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iskyen-my.sharepoint.com/personal/sigmund_engdal_ks_no/Documents/Dokumenter/Modell sammenligning mellom kommuner/Fylkeskommune/2023 - Kostrapublisering 15032024/Publisert/"/>
    </mc:Choice>
  </mc:AlternateContent>
  <xr:revisionPtr revIDLastSave="2" documentId="8_{141DE5FB-48C8-4D94-B887-F30E27FDF768}" xr6:coauthVersionLast="47" xr6:coauthVersionMax="47" xr10:uidLastSave="{6288A6BD-BF22-496E-AA89-58F19562C857}"/>
  <bookViews>
    <workbookView xWindow="-108" yWindow="-108" windowWidth="41496" windowHeight="16896" tabRatio="916" xr2:uid="{00000000-000D-0000-FFFF-FFFF00000000}"/>
  </bookViews>
  <sheets>
    <sheet name="Inngang" sheetId="10" r:id="rId1"/>
    <sheet name="1. Kostratall" sheetId="47" r:id="rId2"/>
    <sheet name="2. Inntektssyst kostnadsnøkler" sheetId="40" r:id="rId3"/>
    <sheet name="Utgiftskorrigering" sheetId="51" r:id="rId4"/>
    <sheet name="3. Disp inntekt og ressursbruk" sheetId="39" r:id="rId5"/>
    <sheet name="4. Ressursbruk tjenest INNTSYS" sheetId="41" r:id="rId6"/>
    <sheet name="Ressurbruk øvrige tjenester" sheetId="42" state="hidden" r:id="rId7"/>
    <sheet name="Inntekts og utgiftskorrigering" sheetId="50" r:id="rId8"/>
    <sheet name="5. Inntektskorr ressursbruk" sheetId="48" r:id="rId9"/>
    <sheet name="6. Inntkorr ressursb  INNTSYS " sheetId="12" r:id="rId10"/>
    <sheet name="7. Inntkorr ressursb øvr tjenes" sheetId="11" r:id="rId11"/>
    <sheet name="Tabeller fylkesko 2021" sheetId="246" state="hidden" r:id="rId12"/>
    <sheet name="Tabeller fylkesko 2022" sheetId="44" state="hidden" r:id="rId13"/>
    <sheet name="Tabeller fylkesko 2023" sheetId="94" state="hidden" r:id="rId14"/>
    <sheet name="2021 Korreksjoner" sheetId="289" state="hidden" r:id="rId15"/>
    <sheet name="2021 Nto driftsutg landet" sheetId="290" state="hidden" r:id="rId16"/>
    <sheet name="2021 Nto driftsutg" sheetId="291" state="hidden" r:id="rId17"/>
    <sheet name="2021 Avskrivning" sheetId="292" state="hidden" r:id="rId18"/>
    <sheet name="2021 Nto driftsutg eks avskriv" sheetId="293" state="hidden" r:id="rId19"/>
    <sheet name="2021 Inntektsnivå" sheetId="294" state="hidden" r:id="rId20"/>
    <sheet name="2021 Lønnsand og arbavg landet" sheetId="295" state="hidden" r:id="rId21"/>
    <sheet name="2021 Lønnsand og pensjon landet" sheetId="296" state="hidden" r:id="rId22"/>
    <sheet name="2021 Lønnsgr arbavg tjeneste" sheetId="297" state="hidden" r:id="rId23"/>
    <sheet name="2021 Arbavg tjeneste" sheetId="298" state="hidden" r:id="rId24"/>
    <sheet name="2021 Lønnsgr pensjon tjeneste" sheetId="299" state="hidden" r:id="rId25"/>
    <sheet name="2021 Pensjon tjeneste" sheetId="300" state="hidden" r:id="rId26"/>
    <sheet name="2021 Revekting utgiftsbehov" sheetId="301" state="hidden" r:id="rId27"/>
    <sheet name="2021 Korr med revekting pensjon" sheetId="302" state="hidden" r:id="rId28"/>
    <sheet name="2021 Korr med revekting arbavg" sheetId="303" state="hidden" r:id="rId29"/>
    <sheet name="2021 Korr med revekt premieavv" sheetId="304" state="hidden" r:id="rId30"/>
    <sheet name="2021 Korr med revekting eiend" sheetId="305" state="hidden" r:id="rId31"/>
    <sheet name="2021 Grunnlag korreksjoner" sheetId="306" state="hidden" r:id="rId32"/>
    <sheet name="2021 Bto driftsutg" sheetId="307" state="hidden" r:id="rId33"/>
    <sheet name="2021 Bto driftsutg eks avskriv" sheetId="308" state="hidden" r:id="rId34"/>
    <sheet name="2021 Nøkkel revektet" sheetId="309" state="hidden" r:id="rId35"/>
    <sheet name="2022 Korreksjoner" sheetId="310" state="hidden" r:id="rId36"/>
    <sheet name="2022 Nto driftsutg landet" sheetId="311" state="hidden" r:id="rId37"/>
    <sheet name="2022 Nto driftsutg" sheetId="312" state="hidden" r:id="rId38"/>
    <sheet name="2022 Avskrivning" sheetId="313" state="hidden" r:id="rId39"/>
    <sheet name="2022 Nto driftsutg eks avskriv" sheetId="314" state="hidden" r:id="rId40"/>
    <sheet name="2022 Inntektsnivå" sheetId="315" state="hidden" r:id="rId41"/>
    <sheet name="2022 Lønnsand og arbavg landet" sheetId="316" state="hidden" r:id="rId42"/>
    <sheet name="2022 Lønnsand og pensjon landet" sheetId="317" state="hidden" r:id="rId43"/>
    <sheet name="2022 Lønnsgr arbavg tjeneste" sheetId="318" state="hidden" r:id="rId44"/>
    <sheet name="2022 Arbavg tjeneste" sheetId="319" state="hidden" r:id="rId45"/>
    <sheet name="2022 Lønnsgr pensjon tjeneste" sheetId="320" state="hidden" r:id="rId46"/>
    <sheet name="2022 Pensjon tjeneste" sheetId="321" state="hidden" r:id="rId47"/>
    <sheet name="2022 Revekting utgiftsbehov" sheetId="322" state="hidden" r:id="rId48"/>
    <sheet name="2022 Korr med revekting pensjon" sheetId="323" state="hidden" r:id="rId49"/>
    <sheet name="2022 Korr med revekting arbavg" sheetId="324" state="hidden" r:id="rId50"/>
    <sheet name="2022 Korr med revekt premieavv" sheetId="325" state="hidden" r:id="rId51"/>
    <sheet name="2022 Korr med revekting eiendom" sheetId="326" state="hidden" r:id="rId52"/>
    <sheet name="2022 Grunnlag korreksjoner" sheetId="327" state="hidden" r:id="rId53"/>
    <sheet name="2022 Bto driftsutg" sheetId="328" state="hidden" r:id="rId54"/>
    <sheet name="2022 Bto driftsutg eks avskriv" sheetId="329" state="hidden" r:id="rId55"/>
    <sheet name="2023 Korreksjoner" sheetId="370" state="hidden" r:id="rId56"/>
    <sheet name="2023 Nto driftsutg landet" sheetId="371" state="hidden" r:id="rId57"/>
    <sheet name="2023 Nto driftsutg" sheetId="351" state="hidden" r:id="rId58"/>
    <sheet name="2023 Avskrivning" sheetId="352" state="hidden" r:id="rId59"/>
    <sheet name="2023 Nto driftsutg eks avskriv" sheetId="353" state="hidden" r:id="rId60"/>
    <sheet name="2023 Inntektsnivå" sheetId="354" state="hidden" r:id="rId61"/>
    <sheet name="2023 Lønnsand og arbavg landet" sheetId="355" state="hidden" r:id="rId62"/>
    <sheet name="2023 Lønnsand og pensjon landet" sheetId="356" state="hidden" r:id="rId63"/>
    <sheet name="2023 Lønnsgr arbavg tjeneste" sheetId="357" state="hidden" r:id="rId64"/>
    <sheet name="2023 Arbavg tjeneste" sheetId="358" state="hidden" r:id="rId65"/>
    <sheet name="2023 Lønnsgr pensjon tjeneste" sheetId="359" state="hidden" r:id="rId66"/>
    <sheet name="2023 Pensjon tjeneste" sheetId="360" state="hidden" r:id="rId67"/>
    <sheet name="2023 Revekting utgiftsbehov" sheetId="361" state="hidden" r:id="rId68"/>
    <sheet name="2023 Korr med revekting pensjon" sheetId="362" state="hidden" r:id="rId69"/>
    <sheet name="2023 Korr med revekting arbavg" sheetId="363" state="hidden" r:id="rId70"/>
    <sheet name="2023 Korr med revekt premieavv" sheetId="364" state="hidden" r:id="rId71"/>
    <sheet name="2023 Korr med revekting eiendom" sheetId="365" state="hidden" r:id="rId72"/>
    <sheet name="2023 Grunnlag korreksjoner" sheetId="366" state="hidden" r:id="rId73"/>
    <sheet name="2023 Bto driftsutg" sheetId="367" state="hidden" r:id="rId74"/>
    <sheet name="2023 Bto driftsutg eks avskriv" sheetId="368" state="hidden" r:id="rId75"/>
    <sheet name="2023 Nøkkel revektet" sheetId="369" state="hidden" r:id="rId76"/>
    <sheet name="Fylkeskommuner" sheetId="160" state="hidden" r:id="rId77"/>
  </sheets>
  <externalReferences>
    <externalReference r:id="rId78"/>
    <externalReference r:id="rId7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94" l="1"/>
  <c r="C69" i="94"/>
  <c r="C66" i="94"/>
  <c r="C65" i="94"/>
  <c r="C64" i="94"/>
  <c r="C63" i="94"/>
  <c r="C57" i="94"/>
  <c r="C56" i="94"/>
  <c r="C55" i="94"/>
  <c r="C54" i="94"/>
  <c r="C53" i="94"/>
  <c r="C52" i="94"/>
  <c r="C43" i="94"/>
  <c r="C42" i="94"/>
  <c r="C41" i="94"/>
  <c r="C40" i="94"/>
  <c r="C39" i="94"/>
  <c r="C36" i="94"/>
  <c r="C35" i="94"/>
  <c r="C34" i="94"/>
  <c r="C33" i="94"/>
  <c r="C19" i="94"/>
  <c r="B28" i="371"/>
  <c r="C28" i="371" s="1"/>
  <c r="B27" i="371"/>
  <c r="C27" i="371" s="1"/>
  <c r="B26" i="371"/>
  <c r="C26" i="371" s="1"/>
  <c r="B25" i="371"/>
  <c r="C25" i="371" s="1"/>
  <c r="B24" i="371"/>
  <c r="C24" i="371" s="1"/>
  <c r="B23" i="371"/>
  <c r="B16" i="371"/>
  <c r="C16" i="371" s="1"/>
  <c r="B15" i="371"/>
  <c r="C15" i="371" s="1"/>
  <c r="D42" i="94" s="1"/>
  <c r="B14" i="371"/>
  <c r="C14" i="371" s="1"/>
  <c r="B13" i="371"/>
  <c r="C13" i="371" s="1"/>
  <c r="B9" i="371"/>
  <c r="C9" i="371" s="1"/>
  <c r="C21" i="94" s="1"/>
  <c r="B8" i="371"/>
  <c r="C8" i="371" s="1"/>
  <c r="B7" i="371"/>
  <c r="C7" i="371" s="1"/>
  <c r="B6" i="371"/>
  <c r="C6" i="371" s="1"/>
  <c r="B5" i="371"/>
  <c r="B4" i="371"/>
  <c r="C4" i="371" s="1"/>
  <c r="AR17" i="370"/>
  <c r="AN17" i="370"/>
  <c r="AM17" i="370"/>
  <c r="AL17" i="370"/>
  <c r="AK17" i="370"/>
  <c r="AJ17" i="370"/>
  <c r="AI17" i="370"/>
  <c r="AF17" i="370"/>
  <c r="AE17" i="370"/>
  <c r="AD17" i="370"/>
  <c r="AC17" i="370"/>
  <c r="AB17" i="370"/>
  <c r="X17" i="370"/>
  <c r="W17" i="370"/>
  <c r="V17" i="370"/>
  <c r="U17" i="370"/>
  <c r="T17" i="370"/>
  <c r="S17" i="370"/>
  <c r="P17" i="370"/>
  <c r="O17" i="370"/>
  <c r="N17" i="370"/>
  <c r="M17" i="370"/>
  <c r="L17" i="370"/>
  <c r="AR15" i="370"/>
  <c r="AN15" i="370"/>
  <c r="AM15" i="370"/>
  <c r="AL15" i="370"/>
  <c r="AK15" i="370"/>
  <c r="AJ15" i="370"/>
  <c r="AI15" i="370"/>
  <c r="AF15" i="370"/>
  <c r="AE15" i="370"/>
  <c r="AD15" i="370"/>
  <c r="AC15" i="370"/>
  <c r="AB15" i="370"/>
  <c r="X15" i="370"/>
  <c r="W15" i="370"/>
  <c r="V15" i="370"/>
  <c r="U15" i="370"/>
  <c r="T15" i="370"/>
  <c r="S15" i="370"/>
  <c r="P15" i="370"/>
  <c r="O15" i="370"/>
  <c r="N15" i="370"/>
  <c r="M15" i="370"/>
  <c r="L15" i="370"/>
  <c r="C15" i="370"/>
  <c r="AR14" i="370"/>
  <c r="AN14" i="370"/>
  <c r="AM14" i="370"/>
  <c r="AL14" i="370"/>
  <c r="AK14" i="370"/>
  <c r="AJ14" i="370"/>
  <c r="AI14" i="370"/>
  <c r="AF14" i="370"/>
  <c r="AE14" i="370"/>
  <c r="AD14" i="370"/>
  <c r="AC14" i="370"/>
  <c r="AB14" i="370"/>
  <c r="X14" i="370"/>
  <c r="D57" i="94" s="1"/>
  <c r="W14" i="370"/>
  <c r="V14" i="370"/>
  <c r="U14" i="370"/>
  <c r="T14" i="370"/>
  <c r="S14" i="370"/>
  <c r="P14" i="370"/>
  <c r="O14" i="370"/>
  <c r="N14" i="370"/>
  <c r="M14" i="370"/>
  <c r="L14" i="370"/>
  <c r="C14" i="370"/>
  <c r="AR13" i="370"/>
  <c r="AN13" i="370"/>
  <c r="AM13" i="370"/>
  <c r="AL13" i="370"/>
  <c r="AK13" i="370"/>
  <c r="AJ13" i="370"/>
  <c r="AI13" i="370"/>
  <c r="AF13" i="370"/>
  <c r="AE13" i="370"/>
  <c r="AD13" i="370"/>
  <c r="AC13" i="370"/>
  <c r="AB13" i="370"/>
  <c r="X13" i="370"/>
  <c r="W13" i="370"/>
  <c r="V13" i="370"/>
  <c r="U13" i="370"/>
  <c r="T13" i="370"/>
  <c r="S13" i="370"/>
  <c r="P13" i="370"/>
  <c r="O13" i="370"/>
  <c r="N13" i="370"/>
  <c r="M13" i="370"/>
  <c r="L13" i="370"/>
  <c r="C13" i="370"/>
  <c r="AR12" i="370"/>
  <c r="AN12" i="370"/>
  <c r="AM12" i="370"/>
  <c r="AL12" i="370"/>
  <c r="AK12" i="370"/>
  <c r="AJ12" i="370"/>
  <c r="AI12" i="370"/>
  <c r="AF12" i="370"/>
  <c r="AE12" i="370"/>
  <c r="AD12" i="370"/>
  <c r="AC12" i="370"/>
  <c r="AB12" i="370"/>
  <c r="X12" i="370"/>
  <c r="W12" i="370"/>
  <c r="V12" i="370"/>
  <c r="U12" i="370"/>
  <c r="T12" i="370"/>
  <c r="S12" i="370"/>
  <c r="P12" i="370"/>
  <c r="O12" i="370"/>
  <c r="N12" i="370"/>
  <c r="M12" i="370"/>
  <c r="L12" i="370"/>
  <c r="C12" i="370"/>
  <c r="AR11" i="370"/>
  <c r="AN11" i="370"/>
  <c r="AM11" i="370"/>
  <c r="AL11" i="370"/>
  <c r="AK11" i="370"/>
  <c r="AJ11" i="370"/>
  <c r="AI11" i="370"/>
  <c r="AF11" i="370"/>
  <c r="AE11" i="370"/>
  <c r="AD11" i="370"/>
  <c r="AC11" i="370"/>
  <c r="AB11" i="370"/>
  <c r="X11" i="370"/>
  <c r="W11" i="370"/>
  <c r="V11" i="370"/>
  <c r="U11" i="370"/>
  <c r="T11" i="370"/>
  <c r="S11" i="370"/>
  <c r="P11" i="370"/>
  <c r="O11" i="370"/>
  <c r="N11" i="370"/>
  <c r="M11" i="370"/>
  <c r="L11" i="370"/>
  <c r="C11" i="370"/>
  <c r="AR10" i="370"/>
  <c r="AN10" i="370"/>
  <c r="AM10" i="370"/>
  <c r="AL10" i="370"/>
  <c r="AK10" i="370"/>
  <c r="AJ10" i="370"/>
  <c r="AI10" i="370"/>
  <c r="AF10" i="370"/>
  <c r="AE10" i="370"/>
  <c r="AD10" i="370"/>
  <c r="AC10" i="370"/>
  <c r="AB10" i="370"/>
  <c r="X10" i="370"/>
  <c r="W10" i="370"/>
  <c r="V10" i="370"/>
  <c r="U10" i="370"/>
  <c r="T10" i="370"/>
  <c r="S10" i="370"/>
  <c r="P10" i="370"/>
  <c r="O10" i="370"/>
  <c r="N10" i="370"/>
  <c r="M10" i="370"/>
  <c r="L10" i="370"/>
  <c r="C10" i="370"/>
  <c r="AR9" i="370"/>
  <c r="AN9" i="370"/>
  <c r="AM9" i="370"/>
  <c r="AL9" i="370"/>
  <c r="AK9" i="370"/>
  <c r="AJ9" i="370"/>
  <c r="AI9" i="370"/>
  <c r="AF9" i="370"/>
  <c r="AE9" i="370"/>
  <c r="AD9" i="370"/>
  <c r="AC9" i="370"/>
  <c r="AB9" i="370"/>
  <c r="X9" i="370"/>
  <c r="W9" i="370"/>
  <c r="V9" i="370"/>
  <c r="U9" i="370"/>
  <c r="T9" i="370"/>
  <c r="S9" i="370"/>
  <c r="P9" i="370"/>
  <c r="O9" i="370"/>
  <c r="N9" i="370"/>
  <c r="M9" i="370"/>
  <c r="L9" i="370"/>
  <c r="C9" i="370"/>
  <c r="AR8" i="370"/>
  <c r="AN8" i="370"/>
  <c r="AM8" i="370"/>
  <c r="AL8" i="370"/>
  <c r="AK8" i="370"/>
  <c r="AJ8" i="370"/>
  <c r="AI8" i="370"/>
  <c r="AF8" i="370"/>
  <c r="AE8" i="370"/>
  <c r="AD8" i="370"/>
  <c r="AC8" i="370"/>
  <c r="AB8" i="370"/>
  <c r="X8" i="370"/>
  <c r="W8" i="370"/>
  <c r="V8" i="370"/>
  <c r="U8" i="370"/>
  <c r="T8" i="370"/>
  <c r="S8" i="370"/>
  <c r="P8" i="370"/>
  <c r="O8" i="370"/>
  <c r="N8" i="370"/>
  <c r="M8" i="370"/>
  <c r="L8" i="370"/>
  <c r="C8" i="370"/>
  <c r="AR7" i="370"/>
  <c r="AN7" i="370"/>
  <c r="AM7" i="370"/>
  <c r="AL7" i="370"/>
  <c r="AK7" i="370"/>
  <c r="AJ7" i="370"/>
  <c r="AI7" i="370"/>
  <c r="AF7" i="370"/>
  <c r="AE7" i="370"/>
  <c r="AD7" i="370"/>
  <c r="AC7" i="370"/>
  <c r="AB7" i="370"/>
  <c r="X7" i="370"/>
  <c r="W7" i="370"/>
  <c r="V7" i="370"/>
  <c r="U7" i="370"/>
  <c r="T7" i="370"/>
  <c r="S7" i="370"/>
  <c r="P7" i="370"/>
  <c r="O7" i="370"/>
  <c r="N7" i="370"/>
  <c r="M7" i="370"/>
  <c r="L7" i="370"/>
  <c r="C7" i="370"/>
  <c r="AR6" i="370"/>
  <c r="AN6" i="370"/>
  <c r="AM6" i="370"/>
  <c r="AL6" i="370"/>
  <c r="AK6" i="370"/>
  <c r="AJ6" i="370"/>
  <c r="AI6" i="370"/>
  <c r="AF6" i="370"/>
  <c r="AE6" i="370"/>
  <c r="AD6" i="370"/>
  <c r="AC6" i="370"/>
  <c r="AB6" i="370"/>
  <c r="X6" i="370"/>
  <c r="W6" i="370"/>
  <c r="V6" i="370"/>
  <c r="U6" i="370"/>
  <c r="T6" i="370"/>
  <c r="S6" i="370"/>
  <c r="P6" i="370"/>
  <c r="O6" i="370"/>
  <c r="N6" i="370"/>
  <c r="M6" i="370"/>
  <c r="L6" i="370"/>
  <c r="C6" i="370"/>
  <c r="AR5" i="370"/>
  <c r="AN5" i="370"/>
  <c r="AM5" i="370"/>
  <c r="AL5" i="370"/>
  <c r="AK5" i="370"/>
  <c r="AJ5" i="370"/>
  <c r="AI5" i="370"/>
  <c r="AF5" i="370"/>
  <c r="AE5" i="370"/>
  <c r="AD5" i="370"/>
  <c r="AC5" i="370"/>
  <c r="AB5" i="370"/>
  <c r="X5" i="370"/>
  <c r="W5" i="370"/>
  <c r="V5" i="370"/>
  <c r="U5" i="370"/>
  <c r="T5" i="370"/>
  <c r="S5" i="370"/>
  <c r="P5" i="370"/>
  <c r="O5" i="370"/>
  <c r="N5" i="370"/>
  <c r="M5" i="370"/>
  <c r="L5" i="370"/>
  <c r="C5" i="370"/>
  <c r="D3" i="370"/>
  <c r="E3" i="370" s="1"/>
  <c r="F3" i="370" s="1"/>
  <c r="G3" i="370" s="1"/>
  <c r="H3" i="370" s="1"/>
  <c r="I3" i="370" s="1"/>
  <c r="J3" i="370" s="1"/>
  <c r="K3" i="370" s="1"/>
  <c r="L3" i="370" s="1"/>
  <c r="M3" i="370" s="1"/>
  <c r="N3" i="370" s="1"/>
  <c r="O3" i="370" s="1"/>
  <c r="P3" i="370" s="1"/>
  <c r="Q3" i="370" s="1"/>
  <c r="R3" i="370" s="1"/>
  <c r="S3" i="370" s="1"/>
  <c r="T3" i="370" s="1"/>
  <c r="U3" i="370" s="1"/>
  <c r="V3" i="370" s="1"/>
  <c r="W3" i="370" s="1"/>
  <c r="X3" i="370" s="1"/>
  <c r="Y3" i="370" s="1"/>
  <c r="Z3" i="370" s="1"/>
  <c r="AA3" i="370" s="1"/>
  <c r="AB3" i="370" s="1"/>
  <c r="AC3" i="370" s="1"/>
  <c r="AD3" i="370" s="1"/>
  <c r="AE3" i="370" s="1"/>
  <c r="AF3" i="370" s="1"/>
  <c r="AG3" i="370" s="1"/>
  <c r="AH3" i="370" s="1"/>
  <c r="AI3" i="370" s="1"/>
  <c r="AJ3" i="370" s="1"/>
  <c r="AK3" i="370" s="1"/>
  <c r="AL3" i="370" s="1"/>
  <c r="AM3" i="370" s="1"/>
  <c r="AN3" i="370" s="1"/>
  <c r="AO3" i="370" s="1"/>
  <c r="AP3" i="370" s="1"/>
  <c r="AQ3" i="370" s="1"/>
  <c r="AR3" i="370" s="1"/>
  <c r="AS3" i="370" s="1"/>
  <c r="AT3" i="370" s="1"/>
  <c r="AU3" i="370" s="1"/>
  <c r="AV3" i="370" s="1"/>
  <c r="C3" i="370"/>
  <c r="B3" i="370"/>
  <c r="B3" i="369"/>
  <c r="C3" i="369" s="1"/>
  <c r="D3" i="369" s="1"/>
  <c r="E3" i="369" s="1"/>
  <c r="F3" i="369" s="1"/>
  <c r="G3" i="369" s="1"/>
  <c r="H3" i="369" s="1"/>
  <c r="R15" i="368"/>
  <c r="Q15" i="368"/>
  <c r="P15" i="368"/>
  <c r="O15" i="368"/>
  <c r="N15" i="368"/>
  <c r="M15" i="368"/>
  <c r="L15" i="368"/>
  <c r="K15" i="368"/>
  <c r="J15" i="368"/>
  <c r="H15" i="368"/>
  <c r="G15" i="368"/>
  <c r="F15" i="368"/>
  <c r="E15" i="368"/>
  <c r="D15" i="368"/>
  <c r="R14" i="368"/>
  <c r="Q14" i="368"/>
  <c r="P14" i="368"/>
  <c r="O14" i="368"/>
  <c r="N14" i="368"/>
  <c r="M14" i="368"/>
  <c r="L14" i="368"/>
  <c r="K14" i="368"/>
  <c r="J14" i="368"/>
  <c r="H14" i="368"/>
  <c r="G14" i="368"/>
  <c r="F14" i="368"/>
  <c r="E14" i="368"/>
  <c r="D14" i="368"/>
  <c r="R13" i="368"/>
  <c r="Q13" i="368"/>
  <c r="P13" i="368"/>
  <c r="O13" i="368"/>
  <c r="N13" i="368"/>
  <c r="M13" i="368"/>
  <c r="L13" i="368"/>
  <c r="K13" i="368"/>
  <c r="J13" i="368"/>
  <c r="H13" i="368"/>
  <c r="G13" i="368"/>
  <c r="F13" i="368"/>
  <c r="E13" i="368"/>
  <c r="D13" i="368"/>
  <c r="R12" i="368"/>
  <c r="Q12" i="368"/>
  <c r="P12" i="368"/>
  <c r="O12" i="368"/>
  <c r="N12" i="368"/>
  <c r="M12" i="368"/>
  <c r="L12" i="368"/>
  <c r="K12" i="368"/>
  <c r="J12" i="368"/>
  <c r="H12" i="368"/>
  <c r="G12" i="368"/>
  <c r="F12" i="368"/>
  <c r="E12" i="368"/>
  <c r="D12" i="368"/>
  <c r="R11" i="368"/>
  <c r="Q11" i="368"/>
  <c r="P11" i="368"/>
  <c r="O11" i="368"/>
  <c r="N11" i="368"/>
  <c r="M11" i="368"/>
  <c r="L11" i="368"/>
  <c r="K11" i="368"/>
  <c r="J11" i="368"/>
  <c r="H11" i="368"/>
  <c r="G11" i="368"/>
  <c r="F11" i="368"/>
  <c r="E11" i="368"/>
  <c r="D11" i="368"/>
  <c r="R10" i="368"/>
  <c r="Q10" i="368"/>
  <c r="P10" i="368"/>
  <c r="O10" i="368"/>
  <c r="N10" i="368"/>
  <c r="M10" i="368"/>
  <c r="L10" i="368"/>
  <c r="K10" i="368"/>
  <c r="J10" i="368"/>
  <c r="H10" i="368"/>
  <c r="G10" i="368"/>
  <c r="F10" i="368"/>
  <c r="E10" i="368"/>
  <c r="D10" i="368"/>
  <c r="R9" i="368"/>
  <c r="Q9" i="368"/>
  <c r="P9" i="368"/>
  <c r="O9" i="368"/>
  <c r="N9" i="368"/>
  <c r="M9" i="368"/>
  <c r="L9" i="368"/>
  <c r="K9" i="368"/>
  <c r="J9" i="368"/>
  <c r="H9" i="368"/>
  <c r="G9" i="368"/>
  <c r="F9" i="368"/>
  <c r="E9" i="368"/>
  <c r="D9" i="368"/>
  <c r="R8" i="368"/>
  <c r="Q8" i="368"/>
  <c r="P8" i="368"/>
  <c r="O8" i="368"/>
  <c r="N8" i="368"/>
  <c r="M8" i="368"/>
  <c r="L8" i="368"/>
  <c r="K8" i="368"/>
  <c r="J8" i="368"/>
  <c r="J17" i="368" s="1"/>
  <c r="H8" i="368"/>
  <c r="G8" i="368"/>
  <c r="F8" i="368"/>
  <c r="E8" i="368"/>
  <c r="D8" i="368"/>
  <c r="R7" i="368"/>
  <c r="Q7" i="368"/>
  <c r="P7" i="368"/>
  <c r="O7" i="368"/>
  <c r="N7" i="368"/>
  <c r="M7" i="368"/>
  <c r="L7" i="368"/>
  <c r="K7" i="368"/>
  <c r="J7" i="368"/>
  <c r="H7" i="368"/>
  <c r="G7" i="368"/>
  <c r="F7" i="368"/>
  <c r="E7" i="368"/>
  <c r="D7" i="368"/>
  <c r="R6" i="368"/>
  <c r="Q6" i="368"/>
  <c r="P6" i="368"/>
  <c r="O6" i="368"/>
  <c r="N6" i="368"/>
  <c r="M6" i="368"/>
  <c r="L6" i="368"/>
  <c r="K6" i="368"/>
  <c r="J6" i="368"/>
  <c r="H6" i="368"/>
  <c r="G6" i="368"/>
  <c r="F6" i="368"/>
  <c r="E6" i="368"/>
  <c r="D6" i="368"/>
  <c r="R5" i="368"/>
  <c r="R17" i="368" s="1"/>
  <c r="Q5" i="368"/>
  <c r="Q17" i="368" s="1"/>
  <c r="P5" i="368"/>
  <c r="P17" i="368" s="1"/>
  <c r="O5" i="368"/>
  <c r="O17" i="368" s="1"/>
  <c r="N5" i="368"/>
  <c r="N17" i="368" s="1"/>
  <c r="M5" i="368"/>
  <c r="M17" i="368" s="1"/>
  <c r="L5" i="368"/>
  <c r="L17" i="368" s="1"/>
  <c r="K5" i="368"/>
  <c r="K17" i="368" s="1"/>
  <c r="J5" i="368"/>
  <c r="H5" i="368"/>
  <c r="H17" i="368" s="1"/>
  <c r="G5" i="368"/>
  <c r="G17" i="368" s="1"/>
  <c r="F5" i="368"/>
  <c r="F17" i="368" s="1"/>
  <c r="E5" i="368"/>
  <c r="E17" i="368" s="1"/>
  <c r="D5" i="368"/>
  <c r="D17" i="368" s="1"/>
  <c r="E3" i="368"/>
  <c r="F3" i="368" s="1"/>
  <c r="G3" i="368" s="1"/>
  <c r="H3" i="368" s="1"/>
  <c r="I3" i="368" s="1"/>
  <c r="J3" i="368" s="1"/>
  <c r="K3" i="368" s="1"/>
  <c r="L3" i="368" s="1"/>
  <c r="M3" i="368" s="1"/>
  <c r="N3" i="368" s="1"/>
  <c r="O3" i="368" s="1"/>
  <c r="P3" i="368" s="1"/>
  <c r="Q3" i="368" s="1"/>
  <c r="R3" i="368" s="1"/>
  <c r="S3" i="368" s="1"/>
  <c r="T3" i="368" s="1"/>
  <c r="U3" i="368" s="1"/>
  <c r="C3" i="368"/>
  <c r="D3" i="368" s="1"/>
  <c r="B3" i="368"/>
  <c r="Y17" i="367"/>
  <c r="X17" i="367"/>
  <c r="R17" i="367"/>
  <c r="Q17" i="367"/>
  <c r="P17" i="367"/>
  <c r="O17" i="367"/>
  <c r="N17" i="367"/>
  <c r="M17" i="367"/>
  <c r="L17" i="367"/>
  <c r="K17" i="367"/>
  <c r="J17" i="367"/>
  <c r="H17" i="367"/>
  <c r="G17" i="367"/>
  <c r="F17" i="367"/>
  <c r="E17" i="367"/>
  <c r="D17" i="367"/>
  <c r="U15" i="367"/>
  <c r="I15" i="367"/>
  <c r="C15" i="367" s="1"/>
  <c r="U14" i="367"/>
  <c r="I14" i="367"/>
  <c r="C14" i="367" s="1"/>
  <c r="U13" i="367"/>
  <c r="I13" i="367"/>
  <c r="C13" i="367" s="1"/>
  <c r="U12" i="367"/>
  <c r="I12" i="367"/>
  <c r="C12" i="367" s="1"/>
  <c r="U11" i="367"/>
  <c r="I11" i="367"/>
  <c r="C11" i="367" s="1"/>
  <c r="U10" i="367"/>
  <c r="I10" i="367"/>
  <c r="C10" i="367" s="1"/>
  <c r="U9" i="367"/>
  <c r="I9" i="367"/>
  <c r="C9" i="367" s="1"/>
  <c r="U8" i="367"/>
  <c r="I8" i="367"/>
  <c r="C8" i="367" s="1"/>
  <c r="U7" i="367"/>
  <c r="I7" i="367"/>
  <c r="C7" i="367" s="1"/>
  <c r="U6" i="367"/>
  <c r="I6" i="367"/>
  <c r="C6" i="367" s="1"/>
  <c r="U5" i="367"/>
  <c r="I5" i="367"/>
  <c r="C5" i="367" s="1"/>
  <c r="E3" i="367"/>
  <c r="F3" i="367" s="1"/>
  <c r="G3" i="367" s="1"/>
  <c r="H3" i="367" s="1"/>
  <c r="I3" i="367" s="1"/>
  <c r="J3" i="367" s="1"/>
  <c r="K3" i="367" s="1"/>
  <c r="L3" i="367" s="1"/>
  <c r="M3" i="367" s="1"/>
  <c r="N3" i="367" s="1"/>
  <c r="O3" i="367" s="1"/>
  <c r="P3" i="367" s="1"/>
  <c r="Q3" i="367" s="1"/>
  <c r="R3" i="367" s="1"/>
  <c r="S3" i="367" s="1"/>
  <c r="T3" i="367" s="1"/>
  <c r="U3" i="367" s="1"/>
  <c r="V3" i="367" s="1"/>
  <c r="W3" i="367" s="1"/>
  <c r="X3" i="367" s="1"/>
  <c r="Y3" i="367" s="1"/>
  <c r="C3" i="367"/>
  <c r="D3" i="367" s="1"/>
  <c r="B3" i="367"/>
  <c r="C17" i="366"/>
  <c r="AM15" i="366"/>
  <c r="AL15" i="366"/>
  <c r="AK15" i="366"/>
  <c r="AJ15" i="366"/>
  <c r="AI15" i="366"/>
  <c r="AH15" i="366"/>
  <c r="AG15" i="366"/>
  <c r="AF15" i="366"/>
  <c r="AD15" i="366"/>
  <c r="AC15" i="366"/>
  <c r="AB15" i="366"/>
  <c r="AA15" i="366"/>
  <c r="Z15" i="366"/>
  <c r="X15" i="366"/>
  <c r="W15" i="366"/>
  <c r="V15" i="366"/>
  <c r="U15" i="366"/>
  <c r="T15" i="366"/>
  <c r="S15" i="366"/>
  <c r="R15" i="366"/>
  <c r="Q15" i="366"/>
  <c r="P15" i="366"/>
  <c r="N15" i="366"/>
  <c r="M15" i="366"/>
  <c r="L15" i="366"/>
  <c r="K15" i="366"/>
  <c r="J15" i="366"/>
  <c r="AM14" i="366"/>
  <c r="AL14" i="366"/>
  <c r="AK14" i="366"/>
  <c r="AJ14" i="366"/>
  <c r="AI14" i="366"/>
  <c r="AH14" i="366"/>
  <c r="AG14" i="366"/>
  <c r="AF14" i="366"/>
  <c r="AD14" i="366"/>
  <c r="AC14" i="366"/>
  <c r="AB14" i="366"/>
  <c r="AA14" i="366"/>
  <c r="Z14" i="366"/>
  <c r="X14" i="366"/>
  <c r="W14" i="366"/>
  <c r="V14" i="366"/>
  <c r="U14" i="366"/>
  <c r="T14" i="366"/>
  <c r="S14" i="366"/>
  <c r="R14" i="366"/>
  <c r="Q14" i="366"/>
  <c r="P14" i="366"/>
  <c r="N14" i="366"/>
  <c r="M14" i="366"/>
  <c r="L14" i="366"/>
  <c r="K14" i="366"/>
  <c r="J14" i="366"/>
  <c r="AM13" i="366"/>
  <c r="AL13" i="366"/>
  <c r="AK13" i="366"/>
  <c r="AJ13" i="366"/>
  <c r="AI13" i="366"/>
  <c r="AH13" i="366"/>
  <c r="AG13" i="366"/>
  <c r="AF13" i="366"/>
  <c r="AD13" i="366"/>
  <c r="AC13" i="366"/>
  <c r="AB13" i="366"/>
  <c r="AA13" i="366"/>
  <c r="Z13" i="366"/>
  <c r="X13" i="366"/>
  <c r="W13" i="366"/>
  <c r="V13" i="366"/>
  <c r="U13" i="366"/>
  <c r="T13" i="366"/>
  <c r="S13" i="366"/>
  <c r="R13" i="366"/>
  <c r="Q13" i="366"/>
  <c r="P13" i="366"/>
  <c r="N13" i="366"/>
  <c r="M13" i="366"/>
  <c r="L13" i="366"/>
  <c r="K13" i="366"/>
  <c r="J13" i="366"/>
  <c r="AM12" i="366"/>
  <c r="AL12" i="366"/>
  <c r="AK12" i="366"/>
  <c r="AJ12" i="366"/>
  <c r="AI12" i="366"/>
  <c r="AH12" i="366"/>
  <c r="AG12" i="366"/>
  <c r="AF12" i="366"/>
  <c r="AD12" i="366"/>
  <c r="AC12" i="366"/>
  <c r="AB12" i="366"/>
  <c r="AA12" i="366"/>
  <c r="Z12" i="366"/>
  <c r="X12" i="366"/>
  <c r="W12" i="366"/>
  <c r="V12" i="366"/>
  <c r="U12" i="366"/>
  <c r="T12" i="366"/>
  <c r="S12" i="366"/>
  <c r="R12" i="366"/>
  <c r="Q12" i="366"/>
  <c r="P12" i="366"/>
  <c r="N12" i="366"/>
  <c r="M12" i="366"/>
  <c r="L12" i="366"/>
  <c r="K12" i="366"/>
  <c r="J12" i="366"/>
  <c r="AM11" i="366"/>
  <c r="AL11" i="366"/>
  <c r="AK11" i="366"/>
  <c r="AJ11" i="366"/>
  <c r="AI11" i="366"/>
  <c r="AH11" i="366"/>
  <c r="AG11" i="366"/>
  <c r="AF11" i="366"/>
  <c r="AD11" i="366"/>
  <c r="AC11" i="366"/>
  <c r="AB11" i="366"/>
  <c r="AA11" i="366"/>
  <c r="Z11" i="366"/>
  <c r="X11" i="366"/>
  <c r="W11" i="366"/>
  <c r="V11" i="366"/>
  <c r="U11" i="366"/>
  <c r="T11" i="366"/>
  <c r="S11" i="366"/>
  <c r="R11" i="366"/>
  <c r="Q11" i="366"/>
  <c r="P11" i="366"/>
  <c r="N11" i="366"/>
  <c r="M11" i="366"/>
  <c r="L11" i="366"/>
  <c r="K11" i="366"/>
  <c r="J11" i="366"/>
  <c r="AM10" i="366"/>
  <c r="AL10" i="366"/>
  <c r="AK10" i="366"/>
  <c r="AJ10" i="366"/>
  <c r="AI10" i="366"/>
  <c r="AH10" i="366"/>
  <c r="AG10" i="366"/>
  <c r="AF10" i="366"/>
  <c r="AD10" i="366"/>
  <c r="AC10" i="366"/>
  <c r="AB10" i="366"/>
  <c r="AA10" i="366"/>
  <c r="Z10" i="366"/>
  <c r="X10" i="366"/>
  <c r="W10" i="366"/>
  <c r="V10" i="366"/>
  <c r="U10" i="366"/>
  <c r="T10" i="366"/>
  <c r="S10" i="366"/>
  <c r="R10" i="366"/>
  <c r="Q10" i="366"/>
  <c r="P10" i="366"/>
  <c r="N10" i="366"/>
  <c r="M10" i="366"/>
  <c r="L10" i="366"/>
  <c r="K10" i="366"/>
  <c r="J10" i="366"/>
  <c r="AM9" i="366"/>
  <c r="AL9" i="366"/>
  <c r="AK9" i="366"/>
  <c r="AJ9" i="366"/>
  <c r="AI9" i="366"/>
  <c r="AH9" i="366"/>
  <c r="AG9" i="366"/>
  <c r="AF9" i="366"/>
  <c r="AD9" i="366"/>
  <c r="AC9" i="366"/>
  <c r="AB9" i="366"/>
  <c r="AA9" i="366"/>
  <c r="Z9" i="366"/>
  <c r="X9" i="366"/>
  <c r="W9" i="366"/>
  <c r="V9" i="366"/>
  <c r="U9" i="366"/>
  <c r="T9" i="366"/>
  <c r="S9" i="366"/>
  <c r="R9" i="366"/>
  <c r="Q9" i="366"/>
  <c r="P9" i="366"/>
  <c r="N9" i="366"/>
  <c r="M9" i="366"/>
  <c r="L9" i="366"/>
  <c r="K9" i="366"/>
  <c r="J9" i="366"/>
  <c r="AM8" i="366"/>
  <c r="AL8" i="366"/>
  <c r="AK8" i="366"/>
  <c r="AJ8" i="366"/>
  <c r="AI8" i="366"/>
  <c r="AH8" i="366"/>
  <c r="AG8" i="366"/>
  <c r="AF8" i="366"/>
  <c r="AD8" i="366"/>
  <c r="AC8" i="366"/>
  <c r="AB8" i="366"/>
  <c r="AA8" i="366"/>
  <c r="Z8" i="366"/>
  <c r="X8" i="366"/>
  <c r="W8" i="366"/>
  <c r="V8" i="366"/>
  <c r="U8" i="366"/>
  <c r="T8" i="366"/>
  <c r="S8" i="366"/>
  <c r="R8" i="366"/>
  <c r="Q8" i="366"/>
  <c r="P8" i="366"/>
  <c r="N8" i="366"/>
  <c r="M8" i="366"/>
  <c r="L8" i="366"/>
  <c r="K8" i="366"/>
  <c r="J8" i="366"/>
  <c r="AM7" i="366"/>
  <c r="AL7" i="366"/>
  <c r="AK7" i="366"/>
  <c r="AJ7" i="366"/>
  <c r="AI7" i="366"/>
  <c r="AH7" i="366"/>
  <c r="AG7" i="366"/>
  <c r="AF7" i="366"/>
  <c r="AD7" i="366"/>
  <c r="AC7" i="366"/>
  <c r="AB7" i="366"/>
  <c r="AA7" i="366"/>
  <c r="Z7" i="366"/>
  <c r="X7" i="366"/>
  <c r="W7" i="366"/>
  <c r="V7" i="366"/>
  <c r="U7" i="366"/>
  <c r="T7" i="366"/>
  <c r="S7" i="366"/>
  <c r="R7" i="366"/>
  <c r="Q7" i="366"/>
  <c r="P7" i="366"/>
  <c r="N7" i="366"/>
  <c r="M7" i="366"/>
  <c r="L7" i="366"/>
  <c r="K7" i="366"/>
  <c r="J7" i="366"/>
  <c r="AM6" i="366"/>
  <c r="AL6" i="366"/>
  <c r="AK6" i="366"/>
  <c r="AJ6" i="366"/>
  <c r="AI6" i="366"/>
  <c r="AH6" i="366"/>
  <c r="AG6" i="366"/>
  <c r="AF6" i="366"/>
  <c r="AD6" i="366"/>
  <c r="AC6" i="366"/>
  <c r="AB6" i="366"/>
  <c r="AA6" i="366"/>
  <c r="Z6" i="366"/>
  <c r="X6" i="366"/>
  <c r="W6" i="366"/>
  <c r="V6" i="366"/>
  <c r="U6" i="366"/>
  <c r="T6" i="366"/>
  <c r="S6" i="366"/>
  <c r="R6" i="366"/>
  <c r="Q6" i="366"/>
  <c r="P6" i="366"/>
  <c r="N6" i="366"/>
  <c r="M6" i="366"/>
  <c r="L6" i="366"/>
  <c r="K6" i="366"/>
  <c r="J6" i="366"/>
  <c r="AM5" i="366"/>
  <c r="AL5" i="366"/>
  <c r="AK5" i="366"/>
  <c r="AJ5" i="366"/>
  <c r="AI5" i="366"/>
  <c r="AH5" i="366"/>
  <c r="AG5" i="366"/>
  <c r="AF5" i="366"/>
  <c r="AD5" i="366"/>
  <c r="AC5" i="366"/>
  <c r="AB5" i="366"/>
  <c r="AA5" i="366"/>
  <c r="Z5" i="366"/>
  <c r="X5" i="366"/>
  <c r="W5" i="366"/>
  <c r="V5" i="366"/>
  <c r="U5" i="366"/>
  <c r="T5" i="366"/>
  <c r="S5" i="366"/>
  <c r="R5" i="366"/>
  <c r="Q5" i="366"/>
  <c r="P5" i="366"/>
  <c r="N5" i="366"/>
  <c r="M5" i="366"/>
  <c r="L5" i="366"/>
  <c r="K5" i="366"/>
  <c r="J5" i="366"/>
  <c r="AF3" i="366"/>
  <c r="AG3" i="366" s="1"/>
  <c r="AH3" i="366" s="1"/>
  <c r="AI3" i="366" s="1"/>
  <c r="AJ3" i="366" s="1"/>
  <c r="AK3" i="366" s="1"/>
  <c r="AL3" i="366" s="1"/>
  <c r="AM3" i="366" s="1"/>
  <c r="B3" i="366"/>
  <c r="C3" i="366" s="1"/>
  <c r="D3" i="366" s="1"/>
  <c r="E3" i="366" s="1"/>
  <c r="F3" i="366" s="1"/>
  <c r="G3" i="366" s="1"/>
  <c r="H3" i="366" s="1"/>
  <c r="I3" i="366" s="1"/>
  <c r="J3" i="366" s="1"/>
  <c r="K3" i="366" s="1"/>
  <c r="L3" i="366" s="1"/>
  <c r="M3" i="366" s="1"/>
  <c r="N3" i="366" s="1"/>
  <c r="O3" i="366" s="1"/>
  <c r="P3" i="366" s="1"/>
  <c r="Q3" i="366" s="1"/>
  <c r="R3" i="366" s="1"/>
  <c r="S3" i="366" s="1"/>
  <c r="T3" i="366" s="1"/>
  <c r="U3" i="366" s="1"/>
  <c r="V3" i="366" s="1"/>
  <c r="W3" i="366" s="1"/>
  <c r="X3" i="366" s="1"/>
  <c r="Y3" i="366" s="1"/>
  <c r="Z3" i="366" s="1"/>
  <c r="AA3" i="366" s="1"/>
  <c r="AB3" i="366" s="1"/>
  <c r="AC3" i="366" s="1"/>
  <c r="AD3" i="366" s="1"/>
  <c r="AE3" i="366" s="1"/>
  <c r="C15" i="365"/>
  <c r="C14" i="365"/>
  <c r="C13" i="365"/>
  <c r="C12" i="365"/>
  <c r="C11" i="365"/>
  <c r="C10" i="365"/>
  <c r="C9" i="365"/>
  <c r="C8" i="365"/>
  <c r="C7" i="365"/>
  <c r="C6" i="365"/>
  <c r="C5" i="365"/>
  <c r="K3" i="365"/>
  <c r="L3" i="365" s="1"/>
  <c r="M3" i="365" s="1"/>
  <c r="H3" i="365"/>
  <c r="I3" i="365" s="1"/>
  <c r="J3" i="365" s="1"/>
  <c r="C3" i="365"/>
  <c r="D3" i="365" s="1"/>
  <c r="E3" i="365" s="1"/>
  <c r="F3" i="365" s="1"/>
  <c r="G3" i="365" s="1"/>
  <c r="B3" i="365"/>
  <c r="C15" i="364"/>
  <c r="C14" i="364"/>
  <c r="C13" i="364"/>
  <c r="C12" i="364"/>
  <c r="C11" i="364"/>
  <c r="C10" i="364"/>
  <c r="C9" i="364"/>
  <c r="C8" i="364"/>
  <c r="C7" i="364"/>
  <c r="C6" i="364"/>
  <c r="C5" i="364"/>
  <c r="E3" i="364"/>
  <c r="F3" i="364" s="1"/>
  <c r="G3" i="364" s="1"/>
  <c r="H3" i="364" s="1"/>
  <c r="I3" i="364" s="1"/>
  <c r="J3" i="364" s="1"/>
  <c r="K3" i="364" s="1"/>
  <c r="B3" i="364"/>
  <c r="C3" i="364" s="1"/>
  <c r="D3" i="364" s="1"/>
  <c r="BP15" i="363"/>
  <c r="BO15" i="363"/>
  <c r="AN15" i="363"/>
  <c r="Z15" i="363"/>
  <c r="L15" i="363"/>
  <c r="E15" i="363"/>
  <c r="C15" i="363"/>
  <c r="BW14" i="363"/>
  <c r="BV14" i="363"/>
  <c r="BT14" i="363"/>
  <c r="BU14" i="363" s="1"/>
  <c r="BP14" i="363"/>
  <c r="BS14" i="363" s="1"/>
  <c r="BO14" i="363"/>
  <c r="AN14" i="363"/>
  <c r="S14" i="363"/>
  <c r="C14" i="363"/>
  <c r="BT13" i="363"/>
  <c r="BU13" i="363" s="1"/>
  <c r="BP13" i="363"/>
  <c r="BO13" i="363"/>
  <c r="BB13" i="363"/>
  <c r="AN13" i="363"/>
  <c r="AG13" i="363"/>
  <c r="AD13" i="363"/>
  <c r="AE13" i="363" s="1"/>
  <c r="Z13" i="363"/>
  <c r="AC13" i="363" s="1"/>
  <c r="Y13" i="363"/>
  <c r="C13" i="363"/>
  <c r="BI13" i="363" s="1"/>
  <c r="BP12" i="363"/>
  <c r="BO12" i="363"/>
  <c r="BB12" i="363"/>
  <c r="AU12" i="363"/>
  <c r="L12" i="363"/>
  <c r="C12" i="363"/>
  <c r="BW12" i="363" s="1"/>
  <c r="BI11" i="363"/>
  <c r="AC11" i="363"/>
  <c r="Z11" i="363"/>
  <c r="AD11" i="363" s="1"/>
  <c r="AE11" i="363" s="1"/>
  <c r="Y11" i="363"/>
  <c r="L11" i="363"/>
  <c r="E11" i="363"/>
  <c r="C11" i="363"/>
  <c r="AG11" i="363" s="1"/>
  <c r="BT10" i="363"/>
  <c r="BP10" i="363"/>
  <c r="BS10" i="363" s="1"/>
  <c r="BO10" i="363"/>
  <c r="C10" i="363"/>
  <c r="BB9" i="363"/>
  <c r="AG9" i="363"/>
  <c r="AD9" i="363"/>
  <c r="AE9" i="363" s="1"/>
  <c r="Z9" i="363"/>
  <c r="AC9" i="363" s="1"/>
  <c r="Y9" i="363"/>
  <c r="C9" i="363"/>
  <c r="BI9" i="363" s="1"/>
  <c r="CA8" i="363"/>
  <c r="CB8" i="363" s="1"/>
  <c r="BZ8" i="363"/>
  <c r="BW8" i="363"/>
  <c r="BV8" i="363"/>
  <c r="BP8" i="363"/>
  <c r="BO8" i="363"/>
  <c r="BB8" i="363"/>
  <c r="AU8" i="363"/>
  <c r="AN8" i="363"/>
  <c r="E8" i="363"/>
  <c r="C8" i="363"/>
  <c r="Z8" i="363" s="1"/>
  <c r="BW7" i="363"/>
  <c r="BV7" i="363"/>
  <c r="BP7" i="363"/>
  <c r="BT7" i="363" s="1"/>
  <c r="BO7" i="363"/>
  <c r="C7" i="363"/>
  <c r="BW6" i="363"/>
  <c r="BP6" i="363"/>
  <c r="BT6" i="363" s="1"/>
  <c r="BU6" i="363" s="1"/>
  <c r="BO6" i="363"/>
  <c r="AG6" i="363"/>
  <c r="S6" i="363"/>
  <c r="C6" i="363"/>
  <c r="CA5" i="363"/>
  <c r="CB5" i="363" s="1"/>
  <c r="BW5" i="363"/>
  <c r="BV5" i="363"/>
  <c r="BT5" i="363"/>
  <c r="BU5" i="363" s="1"/>
  <c r="BS5" i="363"/>
  <c r="BP5" i="363"/>
  <c r="BO5" i="363"/>
  <c r="BF5" i="363"/>
  <c r="BG5" i="363" s="1"/>
  <c r="BE5" i="363"/>
  <c r="BB5" i="363"/>
  <c r="BA5" i="363"/>
  <c r="AU5" i="363"/>
  <c r="AT5" i="363"/>
  <c r="AN5" i="363"/>
  <c r="AG5" i="363"/>
  <c r="Z5" i="363"/>
  <c r="Y5" i="363"/>
  <c r="C5" i="363"/>
  <c r="B3" i="363"/>
  <c r="C3" i="363" s="1"/>
  <c r="D3" i="363" s="1"/>
  <c r="E3" i="363" s="1"/>
  <c r="F3" i="363" s="1"/>
  <c r="G3" i="363" s="1"/>
  <c r="H3" i="363" s="1"/>
  <c r="I3" i="363" s="1"/>
  <c r="J3" i="363" s="1"/>
  <c r="K3" i="363" s="1"/>
  <c r="L3" i="363" s="1"/>
  <c r="M3" i="363" s="1"/>
  <c r="N3" i="363" s="1"/>
  <c r="O3" i="363" s="1"/>
  <c r="P3" i="363" s="1"/>
  <c r="Q3" i="363" s="1"/>
  <c r="R3" i="363" s="1"/>
  <c r="S3" i="363" s="1"/>
  <c r="T3" i="363" s="1"/>
  <c r="U3" i="363" s="1"/>
  <c r="V3" i="363" s="1"/>
  <c r="W3" i="363" s="1"/>
  <c r="X3" i="363" s="1"/>
  <c r="Y3" i="363" s="1"/>
  <c r="Z3" i="363" s="1"/>
  <c r="AA3" i="363" s="1"/>
  <c r="AB3" i="363" s="1"/>
  <c r="AC3" i="363" s="1"/>
  <c r="AD3" i="363" s="1"/>
  <c r="AE3" i="363" s="1"/>
  <c r="AF3" i="363" s="1"/>
  <c r="AG3" i="363" s="1"/>
  <c r="AH3" i="363" s="1"/>
  <c r="AI3" i="363" s="1"/>
  <c r="AJ3" i="363" s="1"/>
  <c r="AK3" i="363" s="1"/>
  <c r="AL3" i="363" s="1"/>
  <c r="AM3" i="363" s="1"/>
  <c r="AN3" i="363" s="1"/>
  <c r="AO3" i="363" s="1"/>
  <c r="AP3" i="363" s="1"/>
  <c r="AQ3" i="363" s="1"/>
  <c r="AR3" i="363" s="1"/>
  <c r="AS3" i="363" s="1"/>
  <c r="AT3" i="363" s="1"/>
  <c r="AU3" i="363" s="1"/>
  <c r="AV3" i="363" s="1"/>
  <c r="AW3" i="363" s="1"/>
  <c r="AX3" i="363" s="1"/>
  <c r="AY3" i="363" s="1"/>
  <c r="AZ3" i="363" s="1"/>
  <c r="BA3" i="363" s="1"/>
  <c r="BB3" i="363" s="1"/>
  <c r="BC3" i="363" s="1"/>
  <c r="BD3" i="363" s="1"/>
  <c r="BE3" i="363" s="1"/>
  <c r="BF3" i="363" s="1"/>
  <c r="BG3" i="363" s="1"/>
  <c r="BH3" i="363" s="1"/>
  <c r="BI3" i="363" s="1"/>
  <c r="BJ3" i="363" s="1"/>
  <c r="BK3" i="363" s="1"/>
  <c r="BL3" i="363" s="1"/>
  <c r="BM3" i="363" s="1"/>
  <c r="BN3" i="363" s="1"/>
  <c r="BT15" i="362"/>
  <c r="BU15" i="362" s="1"/>
  <c r="BS15" i="362"/>
  <c r="BP15" i="362"/>
  <c r="BO15" i="362"/>
  <c r="AU15" i="362"/>
  <c r="AN15" i="362"/>
  <c r="AG15" i="362"/>
  <c r="Z15" i="362"/>
  <c r="C15" i="362"/>
  <c r="BB15" i="362" s="1"/>
  <c r="CA14" i="362"/>
  <c r="CB14" i="362" s="1"/>
  <c r="BZ14" i="362"/>
  <c r="BW14" i="362"/>
  <c r="BV14" i="362"/>
  <c r="BT14" i="362"/>
  <c r="BS14" i="362"/>
  <c r="BP14" i="362"/>
  <c r="BO14" i="362"/>
  <c r="S14" i="362"/>
  <c r="L14" i="362"/>
  <c r="C14" i="362"/>
  <c r="BP13" i="362"/>
  <c r="BS13" i="362" s="1"/>
  <c r="BO13" i="362"/>
  <c r="BI13" i="362"/>
  <c r="AU13" i="362"/>
  <c r="AN13" i="362"/>
  <c r="AG13" i="362"/>
  <c r="Z13" i="362"/>
  <c r="Y13" i="362"/>
  <c r="L13" i="362"/>
  <c r="E13" i="362"/>
  <c r="C13" i="362"/>
  <c r="BB13" i="362" s="1"/>
  <c r="BT12" i="362"/>
  <c r="BU12" i="362" s="1"/>
  <c r="BS12" i="362"/>
  <c r="BP12" i="362"/>
  <c r="BO12" i="362"/>
  <c r="BI12" i="362"/>
  <c r="AU12" i="362"/>
  <c r="AN12" i="362"/>
  <c r="Z12" i="362"/>
  <c r="E12" i="362"/>
  <c r="C12" i="362"/>
  <c r="BI11" i="362"/>
  <c r="BB11" i="362"/>
  <c r="AD11" i="362"/>
  <c r="AE11" i="362" s="1"/>
  <c r="AC11" i="362"/>
  <c r="Z11" i="362"/>
  <c r="Y11" i="362"/>
  <c r="E11" i="362"/>
  <c r="C11" i="362"/>
  <c r="BW11" i="362" s="1"/>
  <c r="BP10" i="362"/>
  <c r="BO10" i="362"/>
  <c r="L10" i="362"/>
  <c r="C10" i="362"/>
  <c r="BP9" i="362"/>
  <c r="AU9" i="362"/>
  <c r="AN9" i="362"/>
  <c r="AG9" i="362"/>
  <c r="Z9" i="362"/>
  <c r="Y9" i="362"/>
  <c r="L9" i="362"/>
  <c r="E9" i="362"/>
  <c r="C9" i="362"/>
  <c r="BB9" i="362" s="1"/>
  <c r="CA8" i="362"/>
  <c r="CB8" i="362" s="1"/>
  <c r="BZ8" i="362"/>
  <c r="BW8" i="362"/>
  <c r="BV8" i="362"/>
  <c r="BT8" i="362"/>
  <c r="BU8" i="362" s="1"/>
  <c r="BS8" i="362"/>
  <c r="BP8" i="362"/>
  <c r="BO8" i="362"/>
  <c r="BI8" i="362"/>
  <c r="BB8" i="362"/>
  <c r="AU8" i="362"/>
  <c r="AN8" i="362"/>
  <c r="Z8" i="362"/>
  <c r="E8" i="362"/>
  <c r="C8" i="362"/>
  <c r="BZ7" i="362"/>
  <c r="BW7" i="362"/>
  <c r="BV7" i="362"/>
  <c r="BT7" i="362"/>
  <c r="BP7" i="362"/>
  <c r="BS7" i="362" s="1"/>
  <c r="BO7" i="362"/>
  <c r="E7" i="362"/>
  <c r="C7" i="362"/>
  <c r="BB7" i="362" s="1"/>
  <c r="BP6" i="362"/>
  <c r="BO6" i="362"/>
  <c r="C6" i="362"/>
  <c r="CA5" i="362"/>
  <c r="BZ5" i="362"/>
  <c r="BW5" i="362"/>
  <c r="BV5" i="362"/>
  <c r="BT5" i="362"/>
  <c r="BU5" i="362" s="1"/>
  <c r="BS5" i="362"/>
  <c r="BP5" i="362"/>
  <c r="BO5" i="362"/>
  <c r="BE5" i="362"/>
  <c r="BB5" i="362"/>
  <c r="BF5" i="362" s="1"/>
  <c r="BG5" i="362" s="1"/>
  <c r="BA5" i="362"/>
  <c r="AU5" i="362"/>
  <c r="AT5" i="362"/>
  <c r="AG5" i="362"/>
  <c r="AD5" i="362"/>
  <c r="AE5" i="362" s="1"/>
  <c r="Z5" i="362"/>
  <c r="Y5" i="362"/>
  <c r="C5" i="362"/>
  <c r="B3" i="362"/>
  <c r="C3" i="362" s="1"/>
  <c r="D3" i="362" s="1"/>
  <c r="E3" i="362" s="1"/>
  <c r="F3" i="362" s="1"/>
  <c r="G3" i="362" s="1"/>
  <c r="H3" i="362" s="1"/>
  <c r="I3" i="362" s="1"/>
  <c r="J3" i="362" s="1"/>
  <c r="K3" i="362" s="1"/>
  <c r="L3" i="362" s="1"/>
  <c r="M3" i="362" s="1"/>
  <c r="N3" i="362" s="1"/>
  <c r="O3" i="362" s="1"/>
  <c r="P3" i="362" s="1"/>
  <c r="Q3" i="362" s="1"/>
  <c r="R3" i="362" s="1"/>
  <c r="S3" i="362" s="1"/>
  <c r="T3" i="362" s="1"/>
  <c r="U3" i="362" s="1"/>
  <c r="V3" i="362" s="1"/>
  <c r="W3" i="362" s="1"/>
  <c r="X3" i="362" s="1"/>
  <c r="Y3" i="362" s="1"/>
  <c r="Z3" i="362" s="1"/>
  <c r="AA3" i="362" s="1"/>
  <c r="AB3" i="362" s="1"/>
  <c r="AC3" i="362" s="1"/>
  <c r="AD3" i="362" s="1"/>
  <c r="AE3" i="362" s="1"/>
  <c r="AF3" i="362" s="1"/>
  <c r="AG3" i="362" s="1"/>
  <c r="AH3" i="362" s="1"/>
  <c r="AI3" i="362" s="1"/>
  <c r="AJ3" i="362" s="1"/>
  <c r="AK3" i="362" s="1"/>
  <c r="AL3" i="362" s="1"/>
  <c r="AM3" i="362" s="1"/>
  <c r="AN3" i="362" s="1"/>
  <c r="AO3" i="362" s="1"/>
  <c r="AP3" i="362" s="1"/>
  <c r="AQ3" i="362" s="1"/>
  <c r="AR3" i="362" s="1"/>
  <c r="AS3" i="362" s="1"/>
  <c r="AT3" i="362" s="1"/>
  <c r="AU3" i="362" s="1"/>
  <c r="AV3" i="362" s="1"/>
  <c r="AW3" i="362" s="1"/>
  <c r="AX3" i="362" s="1"/>
  <c r="AY3" i="362" s="1"/>
  <c r="AZ3" i="362" s="1"/>
  <c r="BA3" i="362" s="1"/>
  <c r="BB3" i="362" s="1"/>
  <c r="BC3" i="362" s="1"/>
  <c r="BD3" i="362" s="1"/>
  <c r="BE3" i="362" s="1"/>
  <c r="BF3" i="362" s="1"/>
  <c r="BG3" i="362" s="1"/>
  <c r="BH3" i="362" s="1"/>
  <c r="BI3" i="362" s="1"/>
  <c r="BJ3" i="362" s="1"/>
  <c r="BK3" i="362" s="1"/>
  <c r="BL3" i="362" s="1"/>
  <c r="BM3" i="362" s="1"/>
  <c r="BN3" i="362" s="1"/>
  <c r="H15" i="361"/>
  <c r="G15" i="361"/>
  <c r="F15" i="361"/>
  <c r="E15" i="361"/>
  <c r="M15" i="361" s="1"/>
  <c r="D15" i="361"/>
  <c r="C15" i="361"/>
  <c r="J15" i="361" s="1"/>
  <c r="S14" i="361"/>
  <c r="P14" i="361"/>
  <c r="M14" i="361"/>
  <c r="J14" i="361"/>
  <c r="H14" i="361"/>
  <c r="G14" i="361"/>
  <c r="F14" i="361"/>
  <c r="E14" i="361"/>
  <c r="D14" i="361"/>
  <c r="C14" i="361"/>
  <c r="M13" i="361"/>
  <c r="H13" i="361"/>
  <c r="G13" i="361"/>
  <c r="F13" i="361"/>
  <c r="E13" i="361"/>
  <c r="D13" i="361"/>
  <c r="C13" i="361"/>
  <c r="V13" i="361" s="1"/>
  <c r="H12" i="361"/>
  <c r="G12" i="361"/>
  <c r="F12" i="361"/>
  <c r="E12" i="361"/>
  <c r="M12" i="361" s="1"/>
  <c r="D12" i="361"/>
  <c r="C12" i="361"/>
  <c r="V12" i="361" s="1"/>
  <c r="P11" i="361"/>
  <c r="H11" i="361"/>
  <c r="G11" i="361"/>
  <c r="F11" i="361"/>
  <c r="E11" i="361"/>
  <c r="D11" i="361"/>
  <c r="C11" i="361"/>
  <c r="J11" i="361" s="1"/>
  <c r="S10" i="361"/>
  <c r="P10" i="361"/>
  <c r="M10" i="361"/>
  <c r="J10" i="361"/>
  <c r="H10" i="361"/>
  <c r="G10" i="361"/>
  <c r="F10" i="361"/>
  <c r="E10" i="361"/>
  <c r="D10" i="361"/>
  <c r="C10" i="361"/>
  <c r="M9" i="361"/>
  <c r="H9" i="361"/>
  <c r="G9" i="361"/>
  <c r="F9" i="361"/>
  <c r="E9" i="361"/>
  <c r="D9" i="361"/>
  <c r="C9" i="361"/>
  <c r="V9" i="361" s="1"/>
  <c r="H8" i="361"/>
  <c r="G8" i="361"/>
  <c r="F8" i="361"/>
  <c r="E8" i="361"/>
  <c r="M8" i="361" s="1"/>
  <c r="D8" i="361"/>
  <c r="C8" i="361"/>
  <c r="V8" i="361" s="1"/>
  <c r="P7" i="361"/>
  <c r="H7" i="361"/>
  <c r="G7" i="361"/>
  <c r="F7" i="361"/>
  <c r="E7" i="361"/>
  <c r="M7" i="361" s="1"/>
  <c r="D7" i="361"/>
  <c r="C7" i="361"/>
  <c r="J7" i="361" s="1"/>
  <c r="S6" i="361"/>
  <c r="P6" i="361"/>
  <c r="M6" i="361"/>
  <c r="J6" i="361"/>
  <c r="H6" i="361"/>
  <c r="G6" i="361"/>
  <c r="F6" i="361"/>
  <c r="E6" i="361"/>
  <c r="D6" i="361"/>
  <c r="C6" i="361"/>
  <c r="M5" i="361"/>
  <c r="H5" i="361"/>
  <c r="G5" i="361"/>
  <c r="F5" i="361"/>
  <c r="E5" i="361"/>
  <c r="D5" i="361"/>
  <c r="C5" i="361"/>
  <c r="C17" i="361" s="1"/>
  <c r="B3" i="361"/>
  <c r="C3" i="361" s="1"/>
  <c r="D3" i="361" s="1"/>
  <c r="E3" i="361" s="1"/>
  <c r="F3" i="361" s="1"/>
  <c r="G3" i="361" s="1"/>
  <c r="H3" i="361" s="1"/>
  <c r="I3" i="361" s="1"/>
  <c r="J3" i="361" s="1"/>
  <c r="K3" i="361" s="1"/>
  <c r="L3" i="361" s="1"/>
  <c r="M3" i="361" s="1"/>
  <c r="N3" i="361" s="1"/>
  <c r="O3" i="361" s="1"/>
  <c r="P3" i="361" s="1"/>
  <c r="Q3" i="361" s="1"/>
  <c r="R3" i="361" s="1"/>
  <c r="S3" i="361" s="1"/>
  <c r="T3" i="361" s="1"/>
  <c r="U3" i="361" s="1"/>
  <c r="V3" i="361" s="1"/>
  <c r="W3" i="361" s="1"/>
  <c r="X3" i="361" s="1"/>
  <c r="Y3" i="361" s="1"/>
  <c r="Z3" i="361" s="1"/>
  <c r="AA3" i="361" s="1"/>
  <c r="AB3" i="361" s="1"/>
  <c r="AC3" i="361" s="1"/>
  <c r="AD3" i="361" s="1"/>
  <c r="R17" i="360"/>
  <c r="Q17" i="360"/>
  <c r="P17" i="360"/>
  <c r="O17" i="360"/>
  <c r="N17" i="360"/>
  <c r="M17" i="360"/>
  <c r="L17" i="360"/>
  <c r="K17" i="360"/>
  <c r="J17" i="360"/>
  <c r="I17" i="360"/>
  <c r="H17" i="360"/>
  <c r="G17" i="360"/>
  <c r="F17" i="360"/>
  <c r="E17" i="360"/>
  <c r="D17" i="360"/>
  <c r="I15" i="360"/>
  <c r="C15" i="360"/>
  <c r="I14" i="360"/>
  <c r="C14" i="360" s="1"/>
  <c r="I13" i="360"/>
  <c r="C13" i="360" s="1"/>
  <c r="I12" i="360"/>
  <c r="C12" i="360"/>
  <c r="I11" i="360"/>
  <c r="C11" i="360"/>
  <c r="I10" i="360"/>
  <c r="C10" i="360" s="1"/>
  <c r="I9" i="360"/>
  <c r="C9" i="360" s="1"/>
  <c r="I8" i="360"/>
  <c r="C8" i="360"/>
  <c r="I7" i="360"/>
  <c r="C7" i="360"/>
  <c r="I6" i="360"/>
  <c r="C6" i="360" s="1"/>
  <c r="I5" i="360"/>
  <c r="C5" i="360" s="1"/>
  <c r="D3" i="360"/>
  <c r="E3" i="360" s="1"/>
  <c r="F3" i="360" s="1"/>
  <c r="G3" i="360" s="1"/>
  <c r="H3" i="360" s="1"/>
  <c r="I3" i="360" s="1"/>
  <c r="J3" i="360" s="1"/>
  <c r="K3" i="360" s="1"/>
  <c r="L3" i="360" s="1"/>
  <c r="M3" i="360" s="1"/>
  <c r="N3" i="360" s="1"/>
  <c r="O3" i="360" s="1"/>
  <c r="P3" i="360" s="1"/>
  <c r="Q3" i="360" s="1"/>
  <c r="R3" i="360" s="1"/>
  <c r="R17" i="359"/>
  <c r="Q17" i="359"/>
  <c r="AM17" i="366" s="1"/>
  <c r="P17" i="359"/>
  <c r="AL17" i="366" s="1"/>
  <c r="O17" i="359"/>
  <c r="AK17" i="366" s="1"/>
  <c r="N17" i="359"/>
  <c r="AJ17" i="366" s="1"/>
  <c r="M17" i="359"/>
  <c r="AI17" i="366" s="1"/>
  <c r="L17" i="359"/>
  <c r="AH17" i="366" s="1"/>
  <c r="K17" i="359"/>
  <c r="AG17" i="366" s="1"/>
  <c r="J17" i="359"/>
  <c r="AF17" i="366" s="1"/>
  <c r="H17" i="359"/>
  <c r="AD17" i="366" s="1"/>
  <c r="G17" i="359"/>
  <c r="AC17" i="366" s="1"/>
  <c r="F17" i="359"/>
  <c r="AB17" i="366" s="1"/>
  <c r="E17" i="359"/>
  <c r="AA17" i="366" s="1"/>
  <c r="D17" i="359"/>
  <c r="Z17" i="366" s="1"/>
  <c r="I15" i="359"/>
  <c r="AE15" i="366" s="1"/>
  <c r="C15" i="359"/>
  <c r="E15" i="364" s="1"/>
  <c r="I14" i="359"/>
  <c r="AE14" i="366" s="1"/>
  <c r="I13" i="359"/>
  <c r="AE13" i="366" s="1"/>
  <c r="I12" i="359"/>
  <c r="AE12" i="366" s="1"/>
  <c r="I11" i="359"/>
  <c r="AE11" i="366" s="1"/>
  <c r="C11" i="359"/>
  <c r="E11" i="364" s="1"/>
  <c r="I10" i="359"/>
  <c r="I9" i="359"/>
  <c r="AE9" i="366" s="1"/>
  <c r="I8" i="359"/>
  <c r="AE8" i="366" s="1"/>
  <c r="I7" i="359"/>
  <c r="AE7" i="366" s="1"/>
  <c r="C7" i="359"/>
  <c r="E7" i="364" s="1"/>
  <c r="I6" i="359"/>
  <c r="I5" i="359"/>
  <c r="AE5" i="366" s="1"/>
  <c r="D3" i="359"/>
  <c r="E3" i="359" s="1"/>
  <c r="F3" i="359" s="1"/>
  <c r="G3" i="359" s="1"/>
  <c r="H3" i="359" s="1"/>
  <c r="I3" i="359" s="1"/>
  <c r="J3" i="359" s="1"/>
  <c r="K3" i="359" s="1"/>
  <c r="L3" i="359" s="1"/>
  <c r="M3" i="359" s="1"/>
  <c r="N3" i="359" s="1"/>
  <c r="O3" i="359" s="1"/>
  <c r="P3" i="359" s="1"/>
  <c r="Q3" i="359" s="1"/>
  <c r="R3" i="359" s="1"/>
  <c r="R17" i="358"/>
  <c r="Q17" i="358"/>
  <c r="P17" i="358"/>
  <c r="O17" i="358"/>
  <c r="N17" i="358"/>
  <c r="M17" i="358"/>
  <c r="E15" i="355" s="1"/>
  <c r="L17" i="358"/>
  <c r="K17" i="358"/>
  <c r="J17" i="358"/>
  <c r="I17" i="358"/>
  <c r="H17" i="358"/>
  <c r="G17" i="358"/>
  <c r="F17" i="358"/>
  <c r="E17" i="358"/>
  <c r="D17" i="358"/>
  <c r="I15" i="358"/>
  <c r="C15" i="358"/>
  <c r="I14" i="358"/>
  <c r="C14" i="358" s="1"/>
  <c r="I13" i="358"/>
  <c r="C13" i="358"/>
  <c r="I12" i="358"/>
  <c r="C12" i="358"/>
  <c r="I11" i="358"/>
  <c r="C11" i="358"/>
  <c r="I10" i="358"/>
  <c r="C10" i="358" s="1"/>
  <c r="I9" i="358"/>
  <c r="C9" i="358"/>
  <c r="I8" i="358"/>
  <c r="C8" i="358"/>
  <c r="I7" i="358"/>
  <c r="C7" i="358"/>
  <c r="I6" i="358"/>
  <c r="C6" i="358" s="1"/>
  <c r="I5" i="358"/>
  <c r="C5" i="358"/>
  <c r="C17" i="358" s="1"/>
  <c r="C3" i="358"/>
  <c r="D3" i="358" s="1"/>
  <c r="E3" i="358" s="1"/>
  <c r="F3" i="358" s="1"/>
  <c r="G3" i="358" s="1"/>
  <c r="H3" i="358" s="1"/>
  <c r="I3" i="358" s="1"/>
  <c r="J3" i="358" s="1"/>
  <c r="K3" i="358" s="1"/>
  <c r="L3" i="358" s="1"/>
  <c r="M3" i="358" s="1"/>
  <c r="N3" i="358" s="1"/>
  <c r="O3" i="358" s="1"/>
  <c r="P3" i="358" s="1"/>
  <c r="Q3" i="358" s="1"/>
  <c r="R3" i="358" s="1"/>
  <c r="R17" i="357"/>
  <c r="X17" i="366" s="1"/>
  <c r="Q17" i="357"/>
  <c r="W17" i="366" s="1"/>
  <c r="P17" i="357"/>
  <c r="V17" i="366" s="1"/>
  <c r="O17" i="357"/>
  <c r="U17" i="366" s="1"/>
  <c r="N17" i="357"/>
  <c r="T17" i="366" s="1"/>
  <c r="M17" i="357"/>
  <c r="L17" i="357"/>
  <c r="R17" i="366" s="1"/>
  <c r="K17" i="357"/>
  <c r="J17" i="357"/>
  <c r="P17" i="366" s="1"/>
  <c r="I17" i="357"/>
  <c r="O17" i="366" s="1"/>
  <c r="H17" i="357"/>
  <c r="N17" i="366" s="1"/>
  <c r="G17" i="357"/>
  <c r="M17" i="366" s="1"/>
  <c r="F17" i="357"/>
  <c r="L17" i="366" s="1"/>
  <c r="E17" i="357"/>
  <c r="D17" i="357"/>
  <c r="J17" i="366" s="1"/>
  <c r="I15" i="357"/>
  <c r="O15" i="366" s="1"/>
  <c r="C15" i="357"/>
  <c r="I14" i="357"/>
  <c r="O14" i="366" s="1"/>
  <c r="C14" i="357"/>
  <c r="I13" i="357"/>
  <c r="O13" i="366" s="1"/>
  <c r="I12" i="357"/>
  <c r="O12" i="366" s="1"/>
  <c r="C12" i="357"/>
  <c r="I11" i="357"/>
  <c r="O11" i="366" s="1"/>
  <c r="C11" i="357"/>
  <c r="I10" i="357"/>
  <c r="O10" i="366" s="1"/>
  <c r="C10" i="357"/>
  <c r="I9" i="357"/>
  <c r="O9" i="366" s="1"/>
  <c r="I8" i="357"/>
  <c r="O8" i="366" s="1"/>
  <c r="C8" i="357"/>
  <c r="I7" i="357"/>
  <c r="O7" i="366" s="1"/>
  <c r="C7" i="357"/>
  <c r="I6" i="357"/>
  <c r="O6" i="366" s="1"/>
  <c r="C6" i="357"/>
  <c r="I5" i="357"/>
  <c r="O5" i="366" s="1"/>
  <c r="I3" i="357"/>
  <c r="J3" i="357" s="1"/>
  <c r="K3" i="357" s="1"/>
  <c r="L3" i="357" s="1"/>
  <c r="M3" i="357" s="1"/>
  <c r="N3" i="357" s="1"/>
  <c r="O3" i="357" s="1"/>
  <c r="P3" i="357" s="1"/>
  <c r="Q3" i="357" s="1"/>
  <c r="R3" i="357" s="1"/>
  <c r="E18" i="356"/>
  <c r="E17" i="356"/>
  <c r="E15" i="356"/>
  <c r="E14" i="356"/>
  <c r="E13" i="356"/>
  <c r="E10" i="356"/>
  <c r="E9" i="356"/>
  <c r="E7" i="356"/>
  <c r="E6" i="356"/>
  <c r="D4" i="356"/>
  <c r="E4" i="356" s="1"/>
  <c r="B4" i="356"/>
  <c r="C4" i="356" s="1"/>
  <c r="E20" i="355"/>
  <c r="E18" i="355"/>
  <c r="E17" i="355"/>
  <c r="E16" i="355"/>
  <c r="E14" i="355"/>
  <c r="E13" i="355"/>
  <c r="E10" i="355"/>
  <c r="E9" i="355"/>
  <c r="E8" i="355"/>
  <c r="E7" i="355"/>
  <c r="E6" i="355"/>
  <c r="B4" i="355"/>
  <c r="C4" i="355" s="1"/>
  <c r="D4" i="355" s="1"/>
  <c r="E4" i="355" s="1"/>
  <c r="B3" i="354"/>
  <c r="C3" i="354" s="1"/>
  <c r="D3" i="354" s="1"/>
  <c r="T17" i="353"/>
  <c r="N17" i="353"/>
  <c r="C16" i="355" s="1"/>
  <c r="L17" i="353"/>
  <c r="T15" i="353"/>
  <c r="S15" i="353"/>
  <c r="R15" i="353"/>
  <c r="D15" i="364" s="1"/>
  <c r="F15" i="364" s="1"/>
  <c r="Q15" i="353"/>
  <c r="P15" i="353"/>
  <c r="O15" i="353"/>
  <c r="N15" i="353"/>
  <c r="M15" i="353"/>
  <c r="L15" i="353"/>
  <c r="K15" i="353"/>
  <c r="I15" i="353" s="1"/>
  <c r="J15" i="353"/>
  <c r="H15" i="353"/>
  <c r="G15" i="353"/>
  <c r="F15" i="353"/>
  <c r="E15" i="353"/>
  <c r="D15" i="353"/>
  <c r="T14" i="353"/>
  <c r="S14" i="353"/>
  <c r="R14" i="353"/>
  <c r="Q14" i="353"/>
  <c r="P14" i="353"/>
  <c r="O14" i="353"/>
  <c r="N14" i="353"/>
  <c r="M14" i="353"/>
  <c r="L14" i="353"/>
  <c r="K14" i="353"/>
  <c r="J14" i="353"/>
  <c r="H14" i="353"/>
  <c r="G14" i="353"/>
  <c r="F14" i="353"/>
  <c r="E14" i="353"/>
  <c r="D14" i="353"/>
  <c r="T13" i="353"/>
  <c r="S13" i="353"/>
  <c r="R13" i="353"/>
  <c r="Q13" i="353"/>
  <c r="P13" i="353"/>
  <c r="O13" i="353"/>
  <c r="N13" i="353"/>
  <c r="M13" i="353"/>
  <c r="L13" i="353"/>
  <c r="K13" i="353"/>
  <c r="J13" i="353"/>
  <c r="H13" i="353"/>
  <c r="G13" i="353"/>
  <c r="F13" i="353"/>
  <c r="E13" i="353"/>
  <c r="D13" i="353"/>
  <c r="T12" i="353"/>
  <c r="S12" i="353"/>
  <c r="R12" i="353"/>
  <c r="D12" i="364" s="1"/>
  <c r="Q12" i="353"/>
  <c r="P12" i="353"/>
  <c r="O12" i="353"/>
  <c r="N12" i="353"/>
  <c r="M12" i="353"/>
  <c r="L12" i="353"/>
  <c r="I12" i="353" s="1"/>
  <c r="K12" i="353"/>
  <c r="J12" i="353"/>
  <c r="H12" i="353"/>
  <c r="G12" i="353"/>
  <c r="F12" i="353"/>
  <c r="E12" i="353"/>
  <c r="D12" i="353"/>
  <c r="T11" i="353"/>
  <c r="S11" i="353"/>
  <c r="R11" i="353"/>
  <c r="D11" i="364" s="1"/>
  <c r="F11" i="364" s="1"/>
  <c r="Q11" i="353"/>
  <c r="P11" i="353"/>
  <c r="O11" i="353"/>
  <c r="N11" i="353"/>
  <c r="M11" i="353"/>
  <c r="L11" i="353"/>
  <c r="K11" i="353"/>
  <c r="J11" i="353"/>
  <c r="H11" i="353"/>
  <c r="G11" i="353"/>
  <c r="F11" i="353"/>
  <c r="E11" i="353"/>
  <c r="D11" i="353"/>
  <c r="T10" i="353"/>
  <c r="S10" i="353"/>
  <c r="R10" i="353"/>
  <c r="Q10" i="353"/>
  <c r="P10" i="353"/>
  <c r="O10" i="353"/>
  <c r="N10" i="353"/>
  <c r="M10" i="353"/>
  <c r="L10" i="353"/>
  <c r="K10" i="353"/>
  <c r="J10" i="353"/>
  <c r="H10" i="353"/>
  <c r="G10" i="353"/>
  <c r="F10" i="353"/>
  <c r="E10" i="353"/>
  <c r="D10" i="353"/>
  <c r="T9" i="353"/>
  <c r="S9" i="353"/>
  <c r="R9" i="353"/>
  <c r="Q9" i="353"/>
  <c r="P9" i="353"/>
  <c r="O9" i="353"/>
  <c r="N9" i="353"/>
  <c r="M9" i="353"/>
  <c r="L9" i="353"/>
  <c r="K9" i="353"/>
  <c r="J9" i="353"/>
  <c r="H9" i="353"/>
  <c r="G9" i="353"/>
  <c r="F9" i="353"/>
  <c r="E9" i="353"/>
  <c r="D9" i="353"/>
  <c r="T8" i="353"/>
  <c r="S8" i="353"/>
  <c r="R8" i="353"/>
  <c r="D8" i="364" s="1"/>
  <c r="Q8" i="353"/>
  <c r="P8" i="353"/>
  <c r="O8" i="353"/>
  <c r="N8" i="353"/>
  <c r="M8" i="353"/>
  <c r="L8" i="353"/>
  <c r="I8" i="353" s="1"/>
  <c r="K8" i="353"/>
  <c r="J8" i="353"/>
  <c r="H8" i="353"/>
  <c r="G8" i="353"/>
  <c r="F8" i="353"/>
  <c r="E8" i="353"/>
  <c r="D8" i="353"/>
  <c r="T7" i="353"/>
  <c r="S7" i="353"/>
  <c r="R7" i="353"/>
  <c r="D7" i="364" s="1"/>
  <c r="F7" i="364" s="1"/>
  <c r="Q7" i="353"/>
  <c r="P7" i="353"/>
  <c r="O7" i="353"/>
  <c r="N7" i="353"/>
  <c r="M7" i="353"/>
  <c r="L7" i="353"/>
  <c r="K7" i="353"/>
  <c r="J7" i="353"/>
  <c r="H7" i="353"/>
  <c r="G7" i="353"/>
  <c r="F7" i="353"/>
  <c r="E7" i="353"/>
  <c r="D7" i="353"/>
  <c r="T6" i="353"/>
  <c r="S6" i="353"/>
  <c r="R6" i="353"/>
  <c r="Q6" i="353"/>
  <c r="P6" i="353"/>
  <c r="O6" i="353"/>
  <c r="N6" i="353"/>
  <c r="M6" i="353"/>
  <c r="L6" i="353"/>
  <c r="K6" i="353"/>
  <c r="J6" i="353"/>
  <c r="H6" i="353"/>
  <c r="G6" i="353"/>
  <c r="F6" i="353"/>
  <c r="E6" i="353"/>
  <c r="D6" i="353"/>
  <c r="T5" i="353"/>
  <c r="S5" i="353"/>
  <c r="S17" i="353" s="1"/>
  <c r="Q5" i="353"/>
  <c r="Q17" i="353" s="1"/>
  <c r="P5" i="353"/>
  <c r="P17" i="353" s="1"/>
  <c r="O5" i="353"/>
  <c r="O17" i="353" s="1"/>
  <c r="N5" i="353"/>
  <c r="M5" i="353"/>
  <c r="M17" i="353" s="1"/>
  <c r="L5" i="353"/>
  <c r="K5" i="353"/>
  <c r="K17" i="353" s="1"/>
  <c r="J5" i="353"/>
  <c r="H5" i="353"/>
  <c r="H17" i="353" s="1"/>
  <c r="G5" i="353"/>
  <c r="G17" i="353" s="1"/>
  <c r="F5" i="353"/>
  <c r="E5" i="353"/>
  <c r="E17" i="353" s="1"/>
  <c r="D5" i="353"/>
  <c r="D17" i="353" s="1"/>
  <c r="B3" i="353"/>
  <c r="C3" i="353" s="1"/>
  <c r="D3" i="353" s="1"/>
  <c r="E3" i="353" s="1"/>
  <c r="F3" i="353" s="1"/>
  <c r="G3" i="353" s="1"/>
  <c r="H3" i="353" s="1"/>
  <c r="I3" i="353" s="1"/>
  <c r="J3" i="353" s="1"/>
  <c r="K3" i="353" s="1"/>
  <c r="L3" i="353" s="1"/>
  <c r="M3" i="353" s="1"/>
  <c r="N3" i="353" s="1"/>
  <c r="O3" i="353" s="1"/>
  <c r="P3" i="353" s="1"/>
  <c r="Q3" i="353" s="1"/>
  <c r="R3" i="353" s="1"/>
  <c r="S3" i="353" s="1"/>
  <c r="T3" i="353" s="1"/>
  <c r="U3" i="353" s="1"/>
  <c r="R17" i="352"/>
  <c r="Q17" i="352"/>
  <c r="P17" i="352"/>
  <c r="O17" i="352"/>
  <c r="N17" i="352"/>
  <c r="M17" i="352"/>
  <c r="L17" i="352"/>
  <c r="K17" i="352"/>
  <c r="J17" i="352"/>
  <c r="H17" i="352"/>
  <c r="G17" i="352"/>
  <c r="F17" i="352"/>
  <c r="E17" i="352"/>
  <c r="D17" i="352"/>
  <c r="I15" i="352"/>
  <c r="C15" i="352" s="1"/>
  <c r="I14" i="352"/>
  <c r="C14" i="352" s="1"/>
  <c r="I13" i="352"/>
  <c r="C13" i="352" s="1"/>
  <c r="I12" i="352"/>
  <c r="C12" i="352"/>
  <c r="I11" i="352"/>
  <c r="C11" i="352" s="1"/>
  <c r="I10" i="352"/>
  <c r="C10" i="352" s="1"/>
  <c r="I9" i="352"/>
  <c r="C9" i="352" s="1"/>
  <c r="I8" i="352"/>
  <c r="C8" i="352"/>
  <c r="I7" i="352"/>
  <c r="C7" i="352" s="1"/>
  <c r="I6" i="352"/>
  <c r="C6" i="352" s="1"/>
  <c r="I5" i="352"/>
  <c r="D3" i="352"/>
  <c r="E3" i="352" s="1"/>
  <c r="F3" i="352" s="1"/>
  <c r="G3" i="352" s="1"/>
  <c r="H3" i="352" s="1"/>
  <c r="I3" i="352" s="1"/>
  <c r="J3" i="352" s="1"/>
  <c r="K3" i="352" s="1"/>
  <c r="L3" i="352" s="1"/>
  <c r="M3" i="352" s="1"/>
  <c r="N3" i="352" s="1"/>
  <c r="O3" i="352" s="1"/>
  <c r="P3" i="352" s="1"/>
  <c r="Q3" i="352" s="1"/>
  <c r="R3" i="352" s="1"/>
  <c r="S3" i="352" s="1"/>
  <c r="T3" i="352" s="1"/>
  <c r="U3" i="352" s="1"/>
  <c r="C3" i="352"/>
  <c r="B3" i="352"/>
  <c r="W17" i="351"/>
  <c r="B7" i="356" s="1"/>
  <c r="D7" i="356" s="1"/>
  <c r="T17" i="351"/>
  <c r="S17" i="351"/>
  <c r="Q17" i="351"/>
  <c r="P17" i="351"/>
  <c r="O17" i="351"/>
  <c r="N17" i="351"/>
  <c r="M17" i="351"/>
  <c r="L17" i="351"/>
  <c r="K17" i="351"/>
  <c r="J17" i="351"/>
  <c r="H17" i="351"/>
  <c r="G17" i="351"/>
  <c r="F17" i="351"/>
  <c r="E17" i="351"/>
  <c r="D17" i="351"/>
  <c r="V15" i="351"/>
  <c r="T15" i="367" s="1"/>
  <c r="I15" i="351"/>
  <c r="C15" i="351"/>
  <c r="V14" i="351"/>
  <c r="T14" i="367" s="1"/>
  <c r="I14" i="351"/>
  <c r="C14" i="351" s="1"/>
  <c r="I13" i="351"/>
  <c r="C13" i="351"/>
  <c r="V13" i="351" s="1"/>
  <c r="T13" i="367" s="1"/>
  <c r="I12" i="351"/>
  <c r="C12" i="351" s="1"/>
  <c r="V12" i="351" s="1"/>
  <c r="T12" i="367" s="1"/>
  <c r="I11" i="351"/>
  <c r="C11" i="351"/>
  <c r="V11" i="351" s="1"/>
  <c r="T11" i="367" s="1"/>
  <c r="I10" i="351"/>
  <c r="C10" i="351" s="1"/>
  <c r="V10" i="351" s="1"/>
  <c r="T10" i="367" s="1"/>
  <c r="V9" i="351"/>
  <c r="T9" i="367" s="1"/>
  <c r="I9" i="351"/>
  <c r="C9" i="351"/>
  <c r="I8" i="351"/>
  <c r="C8" i="351" s="1"/>
  <c r="V8" i="351" s="1"/>
  <c r="T8" i="367" s="1"/>
  <c r="I7" i="351"/>
  <c r="C7" i="351" s="1"/>
  <c r="V7" i="351" s="1"/>
  <c r="T7" i="367" s="1"/>
  <c r="I6" i="351"/>
  <c r="C6" i="351" s="1"/>
  <c r="V6" i="351" s="1"/>
  <c r="T6" i="367" s="1"/>
  <c r="R5" i="351"/>
  <c r="I5" i="351"/>
  <c r="I17" i="351" s="1"/>
  <c r="C3" i="351"/>
  <c r="D3" i="351" s="1"/>
  <c r="E3" i="351" s="1"/>
  <c r="F3" i="351" s="1"/>
  <c r="G3" i="351" s="1"/>
  <c r="H3" i="351" s="1"/>
  <c r="I3" i="351" s="1"/>
  <c r="J3" i="351" s="1"/>
  <c r="K3" i="351" s="1"/>
  <c r="L3" i="351" s="1"/>
  <c r="M3" i="351" s="1"/>
  <c r="N3" i="351" s="1"/>
  <c r="O3" i="351" s="1"/>
  <c r="P3" i="351" s="1"/>
  <c r="Q3" i="351" s="1"/>
  <c r="R3" i="351" s="1"/>
  <c r="S3" i="351" s="1"/>
  <c r="T3" i="351" s="1"/>
  <c r="U3" i="351" s="1"/>
  <c r="V3" i="351" s="1"/>
  <c r="W3" i="351" s="1"/>
  <c r="X3" i="351" s="1"/>
  <c r="Y3" i="351" s="1"/>
  <c r="B3" i="351"/>
  <c r="Q10" i="370" l="1"/>
  <c r="Q12" i="370"/>
  <c r="Z12" i="370" s="1"/>
  <c r="D41" i="94"/>
  <c r="D54" i="94"/>
  <c r="D56" i="94"/>
  <c r="Q6" i="370"/>
  <c r="Z6" i="370" s="1"/>
  <c r="D55" i="94"/>
  <c r="C77" i="94"/>
  <c r="D53" i="94"/>
  <c r="AP17" i="370"/>
  <c r="C82" i="94"/>
  <c r="C83" i="94"/>
  <c r="Q14" i="370"/>
  <c r="Z14" i="370" s="1"/>
  <c r="Q5" i="370"/>
  <c r="Z5" i="370" s="1"/>
  <c r="Z10" i="370"/>
  <c r="D52" i="94"/>
  <c r="Q7" i="370"/>
  <c r="Z7" i="370" s="1"/>
  <c r="Q9" i="370"/>
  <c r="Z9" i="370" s="1"/>
  <c r="C24" i="94"/>
  <c r="C85" i="94"/>
  <c r="AG5" i="370"/>
  <c r="AP5" i="370" s="1"/>
  <c r="Q8" i="370"/>
  <c r="Z8" i="370" s="1"/>
  <c r="Q11" i="370"/>
  <c r="Z11" i="370" s="1"/>
  <c r="C78" i="94"/>
  <c r="AG6" i="370"/>
  <c r="AP6" i="370" s="1"/>
  <c r="AG7" i="370"/>
  <c r="AP7" i="370" s="1"/>
  <c r="Q13" i="370"/>
  <c r="Z13" i="370" s="1"/>
  <c r="AG10" i="370"/>
  <c r="AP10" i="370" s="1"/>
  <c r="AG11" i="370"/>
  <c r="AP11" i="370" s="1"/>
  <c r="Q15" i="370"/>
  <c r="Z15" i="370" s="1"/>
  <c r="C86" i="94"/>
  <c r="AG8" i="370"/>
  <c r="AP8" i="370" s="1"/>
  <c r="Q17" i="370"/>
  <c r="Z17" i="370" s="1"/>
  <c r="C20" i="94"/>
  <c r="AG12" i="370"/>
  <c r="AP12" i="370" s="1"/>
  <c r="AG13" i="370"/>
  <c r="AP13" i="370" s="1"/>
  <c r="B10" i="371"/>
  <c r="C79" i="94"/>
  <c r="D43" i="94"/>
  <c r="AG9" i="370"/>
  <c r="AP9" i="370" s="1"/>
  <c r="AG14" i="370"/>
  <c r="AP14" i="370" s="1"/>
  <c r="AG15" i="370"/>
  <c r="AP15" i="370" s="1"/>
  <c r="B29" i="371"/>
  <c r="C84" i="94"/>
  <c r="G7" i="370"/>
  <c r="G5" i="370"/>
  <c r="G15" i="370"/>
  <c r="G13" i="370"/>
  <c r="G11" i="370"/>
  <c r="G9" i="370"/>
  <c r="G14" i="370"/>
  <c r="D20" i="94" s="1"/>
  <c r="G12" i="370"/>
  <c r="G10" i="370"/>
  <c r="G8" i="370"/>
  <c r="G6" i="370"/>
  <c r="G17" i="370"/>
  <c r="F17" i="370"/>
  <c r="F15" i="370"/>
  <c r="F13" i="370"/>
  <c r="F11" i="370"/>
  <c r="F9" i="370"/>
  <c r="F7" i="370"/>
  <c r="F5" i="370"/>
  <c r="I17" i="370"/>
  <c r="F14" i="370"/>
  <c r="D34" i="94" s="1"/>
  <c r="F12" i="370"/>
  <c r="F10" i="370"/>
  <c r="F8" i="370"/>
  <c r="F6" i="370"/>
  <c r="H6" i="370"/>
  <c r="H15" i="370"/>
  <c r="H13" i="370"/>
  <c r="H11" i="370"/>
  <c r="H9" i="370"/>
  <c r="H7" i="370"/>
  <c r="H5" i="370"/>
  <c r="H14" i="370"/>
  <c r="D21" i="94" s="1"/>
  <c r="H12" i="370"/>
  <c r="H8" i="370"/>
  <c r="H17" i="370"/>
  <c r="H10" i="370"/>
  <c r="I15" i="370"/>
  <c r="I13" i="370"/>
  <c r="I11" i="370"/>
  <c r="I9" i="370"/>
  <c r="I7" i="370"/>
  <c r="I5" i="370"/>
  <c r="I14" i="370"/>
  <c r="D24" i="94" s="1"/>
  <c r="I12" i="370"/>
  <c r="I10" i="370"/>
  <c r="I8" i="370"/>
  <c r="I6" i="370"/>
  <c r="C17" i="371"/>
  <c r="C5" i="371"/>
  <c r="C76" i="94" s="1"/>
  <c r="C23" i="371"/>
  <c r="B17" i="371"/>
  <c r="B19" i="371" s="1"/>
  <c r="C19" i="371" s="1"/>
  <c r="C6" i="356"/>
  <c r="C6" i="355"/>
  <c r="C17" i="356"/>
  <c r="C17" i="355"/>
  <c r="C11" i="353"/>
  <c r="C11" i="354" s="1"/>
  <c r="D11" i="354" s="1"/>
  <c r="C15" i="353"/>
  <c r="C15" i="354" s="1"/>
  <c r="D15" i="354" s="1"/>
  <c r="C14" i="356"/>
  <c r="B13" i="356"/>
  <c r="D13" i="356" s="1"/>
  <c r="C5" i="351"/>
  <c r="C9" i="356"/>
  <c r="C9" i="355"/>
  <c r="C18" i="356"/>
  <c r="C16" i="356"/>
  <c r="BS3" i="362"/>
  <c r="BT3" i="362" s="1"/>
  <c r="BU3" i="362" s="1"/>
  <c r="BV3" i="362" s="1"/>
  <c r="BW3" i="362" s="1"/>
  <c r="BX3" i="362" s="1"/>
  <c r="BY3" i="362" s="1"/>
  <c r="BZ3" i="362" s="1"/>
  <c r="CA3" i="362" s="1"/>
  <c r="CB3" i="362" s="1"/>
  <c r="CC3" i="362" s="1"/>
  <c r="CD3" i="362" s="1"/>
  <c r="CE3" i="362" s="1"/>
  <c r="BO3" i="362"/>
  <c r="BP3" i="362" s="1"/>
  <c r="BQ3" i="362" s="1"/>
  <c r="BR3" i="362" s="1"/>
  <c r="C10" i="356"/>
  <c r="C10" i="355"/>
  <c r="Q17" i="366"/>
  <c r="R5" i="362"/>
  <c r="AE6" i="366"/>
  <c r="C6" i="359"/>
  <c r="E6" i="364" s="1"/>
  <c r="R17" i="351"/>
  <c r="R20" i="351"/>
  <c r="R21" i="351"/>
  <c r="I5" i="353"/>
  <c r="I17" i="353" s="1"/>
  <c r="J17" i="353"/>
  <c r="I18" i="353" s="1"/>
  <c r="R5" i="353"/>
  <c r="I6" i="353"/>
  <c r="D6" i="364"/>
  <c r="C6" i="353"/>
  <c r="C6" i="354" s="1"/>
  <c r="D6" i="354" s="1"/>
  <c r="I7" i="353"/>
  <c r="C7" i="353" s="1"/>
  <c r="C7" i="354" s="1"/>
  <c r="D7" i="354" s="1"/>
  <c r="I9" i="353"/>
  <c r="D9" i="364"/>
  <c r="F9" i="364" s="1"/>
  <c r="C9" i="353"/>
  <c r="C9" i="354" s="1"/>
  <c r="D9" i="354" s="1"/>
  <c r="I10" i="353"/>
  <c r="C10" i="353" s="1"/>
  <c r="C10" i="354" s="1"/>
  <c r="D10" i="354" s="1"/>
  <c r="D10" i="364"/>
  <c r="I11" i="353"/>
  <c r="I13" i="353"/>
  <c r="D13" i="364"/>
  <c r="C13" i="353"/>
  <c r="C13" i="354" s="1"/>
  <c r="D13" i="354" s="1"/>
  <c r="I14" i="353"/>
  <c r="C14" i="353" s="1"/>
  <c r="C14" i="354" s="1"/>
  <c r="F53" i="94" s="1"/>
  <c r="D14" i="364"/>
  <c r="C18" i="355"/>
  <c r="I17" i="352"/>
  <c r="C5" i="352"/>
  <c r="C17" i="352" s="1"/>
  <c r="C8" i="353"/>
  <c r="C8" i="354" s="1"/>
  <c r="D8" i="354" s="1"/>
  <c r="C12" i="353"/>
  <c r="C12" i="354" s="1"/>
  <c r="D12" i="354" s="1"/>
  <c r="C14" i="355"/>
  <c r="B17" i="355"/>
  <c r="D17" i="355" s="1"/>
  <c r="B15" i="355"/>
  <c r="D15" i="355" s="1"/>
  <c r="B13" i="355"/>
  <c r="D13" i="355" s="1"/>
  <c r="B9" i="355"/>
  <c r="D9" i="355" s="1"/>
  <c r="B7" i="355"/>
  <c r="D7" i="355" s="1"/>
  <c r="B18" i="356"/>
  <c r="D18" i="356" s="1"/>
  <c r="B16" i="356"/>
  <c r="B14" i="356"/>
  <c r="D14" i="356" s="1"/>
  <c r="B10" i="356"/>
  <c r="D10" i="356" s="1"/>
  <c r="B8" i="356"/>
  <c r="B6" i="356"/>
  <c r="D6" i="356" s="1"/>
  <c r="B18" i="355"/>
  <c r="D18" i="355" s="1"/>
  <c r="B16" i="355"/>
  <c r="D16" i="355" s="1"/>
  <c r="B14" i="355"/>
  <c r="D14" i="355" s="1"/>
  <c r="B10" i="355"/>
  <c r="D10" i="355" s="1"/>
  <c r="B8" i="355"/>
  <c r="D8" i="355" s="1"/>
  <c r="B6" i="355"/>
  <c r="D6" i="355" s="1"/>
  <c r="B15" i="356"/>
  <c r="D15" i="356" s="1"/>
  <c r="C17" i="360"/>
  <c r="BS3" i="363"/>
  <c r="BT3" i="363" s="1"/>
  <c r="BU3" i="363" s="1"/>
  <c r="BV3" i="363" s="1"/>
  <c r="BW3" i="363" s="1"/>
  <c r="BX3" i="363" s="1"/>
  <c r="BY3" i="363" s="1"/>
  <c r="BZ3" i="363" s="1"/>
  <c r="CA3" i="363" s="1"/>
  <c r="CB3" i="363" s="1"/>
  <c r="CC3" i="363" s="1"/>
  <c r="CD3" i="363" s="1"/>
  <c r="CE3" i="363" s="1"/>
  <c r="BO3" i="363"/>
  <c r="BP3" i="363" s="1"/>
  <c r="BQ3" i="363" s="1"/>
  <c r="BR3" i="363" s="1"/>
  <c r="C13" i="356"/>
  <c r="C13" i="355"/>
  <c r="B9" i="356"/>
  <c r="D9" i="356" s="1"/>
  <c r="C15" i="356"/>
  <c r="C15" i="355"/>
  <c r="C7" i="356"/>
  <c r="C7" i="355"/>
  <c r="F17" i="353"/>
  <c r="B17" i="356"/>
  <c r="D17" i="356" s="1"/>
  <c r="AE10" i="366"/>
  <c r="C10" i="359"/>
  <c r="E10" i="364" s="1"/>
  <c r="F8" i="364"/>
  <c r="D8" i="356"/>
  <c r="D16" i="356"/>
  <c r="S5" i="361"/>
  <c r="H6" i="365"/>
  <c r="F7" i="365"/>
  <c r="D8" i="365"/>
  <c r="I8" i="365" s="1"/>
  <c r="S9" i="361"/>
  <c r="H10" i="365"/>
  <c r="F11" i="365"/>
  <c r="D12" i="365"/>
  <c r="I12" i="365" s="1"/>
  <c r="S13" i="361"/>
  <c r="H14" i="365"/>
  <c r="F15" i="365"/>
  <c r="CA7" i="362"/>
  <c r="CB7" i="362" s="1"/>
  <c r="BT10" i="362"/>
  <c r="BU10" i="362" s="1"/>
  <c r="BS10" i="362"/>
  <c r="E8" i="356"/>
  <c r="E16" i="356"/>
  <c r="C5" i="359"/>
  <c r="C9" i="359"/>
  <c r="E9" i="364" s="1"/>
  <c r="C13" i="359"/>
  <c r="E13" i="364" s="1"/>
  <c r="G7" i="365"/>
  <c r="E8" i="365"/>
  <c r="G11" i="365"/>
  <c r="E12" i="365"/>
  <c r="G15" i="365"/>
  <c r="P15" i="361"/>
  <c r="AN5" i="362"/>
  <c r="CB5" i="362"/>
  <c r="BW10" i="362"/>
  <c r="D5" i="365"/>
  <c r="I5" i="365" s="1"/>
  <c r="H7" i="365"/>
  <c r="F8" i="365"/>
  <c r="D9" i="365"/>
  <c r="I9" i="365" s="1"/>
  <c r="H11" i="365"/>
  <c r="F12" i="365"/>
  <c r="D13" i="365"/>
  <c r="I13" i="365" s="1"/>
  <c r="H15" i="365"/>
  <c r="AN6" i="362"/>
  <c r="BI6" i="362"/>
  <c r="K6" i="362"/>
  <c r="S6" i="362"/>
  <c r="BW6" i="362"/>
  <c r="BW17" i="362" s="1"/>
  <c r="AU10" i="363"/>
  <c r="BB10" i="363"/>
  <c r="BI10" i="363"/>
  <c r="E10" i="363"/>
  <c r="L10" i="363"/>
  <c r="Z10" i="363"/>
  <c r="AG10" i="363"/>
  <c r="S10" i="363"/>
  <c r="BW10" i="363"/>
  <c r="AN10" i="363"/>
  <c r="C14" i="359"/>
  <c r="E14" i="364" s="1"/>
  <c r="E5" i="365"/>
  <c r="V5" i="361"/>
  <c r="G8" i="365"/>
  <c r="P8" i="361"/>
  <c r="E9" i="365"/>
  <c r="G12" i="365"/>
  <c r="P12" i="361"/>
  <c r="E13" i="365"/>
  <c r="AX5" i="362"/>
  <c r="D6" i="362"/>
  <c r="L6" i="362"/>
  <c r="L7" i="362"/>
  <c r="S10" i="362"/>
  <c r="BT12" i="363"/>
  <c r="BU12" i="363" s="1"/>
  <c r="BS12" i="363"/>
  <c r="F5" i="365"/>
  <c r="D6" i="365"/>
  <c r="I6" i="365" s="1"/>
  <c r="S7" i="361"/>
  <c r="H8" i="365"/>
  <c r="F9" i="365"/>
  <c r="D10" i="365"/>
  <c r="I10" i="365" s="1"/>
  <c r="S11" i="361"/>
  <c r="H12" i="365"/>
  <c r="F13" i="365"/>
  <c r="D14" i="365"/>
  <c r="I14" i="365" s="1"/>
  <c r="S15" i="361"/>
  <c r="C17" i="362"/>
  <c r="AT7" i="362" s="1"/>
  <c r="S5" i="362"/>
  <c r="AY5" i="362"/>
  <c r="AZ5" i="362" s="1"/>
  <c r="E6" i="362"/>
  <c r="AG6" i="362"/>
  <c r="AG17" i="362" s="1"/>
  <c r="BB6" i="362"/>
  <c r="AD13" i="362"/>
  <c r="AE13" i="362" s="1"/>
  <c r="AC13" i="362"/>
  <c r="Z7" i="363"/>
  <c r="AG7" i="363"/>
  <c r="AN7" i="363"/>
  <c r="AU7" i="363"/>
  <c r="BB7" i="363"/>
  <c r="L7" i="363"/>
  <c r="S7" i="363"/>
  <c r="E7" i="363"/>
  <c r="I17" i="359"/>
  <c r="G5" i="365"/>
  <c r="P5" i="361"/>
  <c r="E6" i="365"/>
  <c r="V6" i="361"/>
  <c r="J8" i="361"/>
  <c r="G9" i="365"/>
  <c r="P9" i="361"/>
  <c r="E10" i="365"/>
  <c r="V10" i="361"/>
  <c r="J12" i="361"/>
  <c r="G13" i="365"/>
  <c r="P13" i="361"/>
  <c r="E14" i="365"/>
  <c r="V14" i="361"/>
  <c r="D5" i="362"/>
  <c r="L5" i="362"/>
  <c r="Z7" i="362"/>
  <c r="AG7" i="362"/>
  <c r="AU7" i="362"/>
  <c r="BH7" i="362"/>
  <c r="AN7" i="362"/>
  <c r="BT8" i="363"/>
  <c r="BU8" i="363" s="1"/>
  <c r="BS8" i="363"/>
  <c r="C5" i="357"/>
  <c r="C9" i="357"/>
  <c r="C13" i="357"/>
  <c r="K17" i="366"/>
  <c r="S17" i="366"/>
  <c r="H5" i="365"/>
  <c r="F6" i="365"/>
  <c r="D7" i="365"/>
  <c r="I7" i="365" s="1"/>
  <c r="S8" i="361"/>
  <c r="H9" i="365"/>
  <c r="F10" i="365"/>
  <c r="D11" i="365"/>
  <c r="I11" i="365" s="1"/>
  <c r="M11" i="361"/>
  <c r="M17" i="361" s="1"/>
  <c r="N7" i="361" s="1"/>
  <c r="O7" i="361" s="1"/>
  <c r="AA7" i="361" s="1"/>
  <c r="E7" i="369" s="1"/>
  <c r="S12" i="361"/>
  <c r="H13" i="365"/>
  <c r="F14" i="365"/>
  <c r="D15" i="365"/>
  <c r="I15" i="365" s="1"/>
  <c r="E5" i="362"/>
  <c r="AC5" i="362"/>
  <c r="BI5" i="362"/>
  <c r="Y6" i="362"/>
  <c r="BT6" i="362"/>
  <c r="BU6" i="362" s="1"/>
  <c r="BS6" i="362"/>
  <c r="BU7" i="362"/>
  <c r="BH14" i="362"/>
  <c r="AT14" i="362"/>
  <c r="AG14" i="362"/>
  <c r="BI14" i="362"/>
  <c r="AN14" i="362"/>
  <c r="BB14" i="362"/>
  <c r="E14" i="362"/>
  <c r="AU14" i="362"/>
  <c r="Z14" i="362"/>
  <c r="R14" i="362"/>
  <c r="C8" i="359"/>
  <c r="E8" i="364" s="1"/>
  <c r="C12" i="359"/>
  <c r="E12" i="364" s="1"/>
  <c r="F12" i="364" s="1"/>
  <c r="J5" i="361"/>
  <c r="G6" i="365"/>
  <c r="E7" i="365"/>
  <c r="V7" i="361"/>
  <c r="J9" i="361"/>
  <c r="G10" i="365"/>
  <c r="E11" i="365"/>
  <c r="V11" i="361"/>
  <c r="J13" i="361"/>
  <c r="G14" i="365"/>
  <c r="E15" i="365"/>
  <c r="V15" i="361"/>
  <c r="Z6" i="362"/>
  <c r="AU6" i="362"/>
  <c r="AU17" i="362" s="1"/>
  <c r="S7" i="362"/>
  <c r="BI7" i="362"/>
  <c r="AD9" i="362"/>
  <c r="AE9" i="362" s="1"/>
  <c r="AC9" i="362"/>
  <c r="AG10" i="362"/>
  <c r="AN10" i="362"/>
  <c r="AU10" i="362"/>
  <c r="BB10" i="362"/>
  <c r="AT10" i="362"/>
  <c r="BI10" i="362"/>
  <c r="E10" i="362"/>
  <c r="Z10" i="362"/>
  <c r="BI7" i="363"/>
  <c r="L11" i="362"/>
  <c r="BP11" i="362"/>
  <c r="BP17" i="362" s="1"/>
  <c r="AT12" i="362"/>
  <c r="BB12" i="362"/>
  <c r="BT13" i="362"/>
  <c r="BU13" i="362" s="1"/>
  <c r="Y8" i="362"/>
  <c r="AG8" i="362"/>
  <c r="S9" i="362"/>
  <c r="BW9" i="362"/>
  <c r="AU11" i="362"/>
  <c r="Y12" i="362"/>
  <c r="AG12" i="362"/>
  <c r="S13" i="362"/>
  <c r="BW13" i="362"/>
  <c r="BU7" i="363"/>
  <c r="AF11" i="362"/>
  <c r="AN11" i="362"/>
  <c r="K8" i="362"/>
  <c r="S8" i="362"/>
  <c r="BA9" i="362"/>
  <c r="BI9" i="362"/>
  <c r="AG11" i="362"/>
  <c r="K12" i="362"/>
  <c r="S12" i="362"/>
  <c r="BW12" i="362"/>
  <c r="AY5" i="363"/>
  <c r="AZ5" i="363" s="1"/>
  <c r="AX5" i="363"/>
  <c r="D8" i="362"/>
  <c r="L8" i="362"/>
  <c r="AT9" i="362"/>
  <c r="R11" i="362"/>
  <c r="BV11" i="362"/>
  <c r="D12" i="362"/>
  <c r="L12" i="362"/>
  <c r="AT13" i="362"/>
  <c r="AN6" i="363"/>
  <c r="AU6" i="363"/>
  <c r="AU17" i="363" s="1"/>
  <c r="BB6" i="363"/>
  <c r="BI6" i="363"/>
  <c r="E6" i="363"/>
  <c r="L6" i="363"/>
  <c r="Z6" i="363"/>
  <c r="CA7" i="363"/>
  <c r="CB7" i="363" s="1"/>
  <c r="BZ7" i="363"/>
  <c r="K11" i="362"/>
  <c r="S11" i="362"/>
  <c r="BO11" i="362"/>
  <c r="BU14" i="362"/>
  <c r="CA14" i="363"/>
  <c r="CB14" i="363" s="1"/>
  <c r="BZ14" i="363"/>
  <c r="BV15" i="362"/>
  <c r="I18" i="368"/>
  <c r="K15" i="362"/>
  <c r="S15" i="362"/>
  <c r="BW15" i="362"/>
  <c r="C17" i="363"/>
  <c r="AM10" i="363" s="1"/>
  <c r="S5" i="363"/>
  <c r="BS7" i="363"/>
  <c r="AG8" i="363"/>
  <c r="BU10" i="363"/>
  <c r="D15" i="362"/>
  <c r="L15" i="362"/>
  <c r="BH15" i="362"/>
  <c r="L5" i="363"/>
  <c r="BP17" i="363"/>
  <c r="AU14" i="363"/>
  <c r="AM14" i="363"/>
  <c r="BB14" i="363"/>
  <c r="BI14" i="363"/>
  <c r="E14" i="363"/>
  <c r="L14" i="363"/>
  <c r="D14" i="363"/>
  <c r="Z14" i="363"/>
  <c r="AG14" i="363"/>
  <c r="E15" i="362"/>
  <c r="BI15" i="362"/>
  <c r="E5" i="363"/>
  <c r="AC5" i="363"/>
  <c r="BI5" i="363"/>
  <c r="BS6" i="363"/>
  <c r="BI8" i="363"/>
  <c r="K8" i="363"/>
  <c r="S8" i="363"/>
  <c r="BT15" i="363"/>
  <c r="BU15" i="363" s="1"/>
  <c r="BS15" i="363"/>
  <c r="AT15" i="362"/>
  <c r="AD5" i="363"/>
  <c r="AE5" i="363" s="1"/>
  <c r="BZ5" i="363"/>
  <c r="L8" i="363"/>
  <c r="AM9" i="363"/>
  <c r="AU9" i="363"/>
  <c r="S11" i="363"/>
  <c r="BW11" i="363"/>
  <c r="E12" i="363"/>
  <c r="BI12" i="363"/>
  <c r="AU13" i="363"/>
  <c r="BS13" i="363"/>
  <c r="BW15" i="363"/>
  <c r="BI15" i="363"/>
  <c r="S15" i="363"/>
  <c r="AN9" i="363"/>
  <c r="AN17" i="363" s="1"/>
  <c r="BP11" i="363"/>
  <c r="R9" i="363"/>
  <c r="BB11" i="363"/>
  <c r="AN12" i="363"/>
  <c r="AT15" i="363"/>
  <c r="BB15" i="363"/>
  <c r="C17" i="365"/>
  <c r="C10" i="368"/>
  <c r="S9" i="363"/>
  <c r="BO9" i="363"/>
  <c r="BW9" i="363"/>
  <c r="AU11" i="363"/>
  <c r="AG12" i="363"/>
  <c r="S13" i="363"/>
  <c r="BW13" i="363"/>
  <c r="AU15" i="363"/>
  <c r="C17" i="364"/>
  <c r="L9" i="363"/>
  <c r="BP9" i="363"/>
  <c r="AN11" i="363"/>
  <c r="Z12" i="363"/>
  <c r="L13" i="363"/>
  <c r="C17" i="367"/>
  <c r="E9" i="363"/>
  <c r="S12" i="363"/>
  <c r="E13" i="363"/>
  <c r="AG15" i="363"/>
  <c r="U17" i="367"/>
  <c r="I17" i="367"/>
  <c r="I5" i="368"/>
  <c r="I6" i="368"/>
  <c r="C6" i="368" s="1"/>
  <c r="I7" i="368"/>
  <c r="C7" i="368" s="1"/>
  <c r="I8" i="368"/>
  <c r="C8" i="368" s="1"/>
  <c r="I9" i="368"/>
  <c r="C9" i="368" s="1"/>
  <c r="I10" i="368"/>
  <c r="I11" i="368"/>
  <c r="C11" i="368" s="1"/>
  <c r="I12" i="368"/>
  <c r="C12" i="368" s="1"/>
  <c r="I13" i="368"/>
  <c r="C13" i="368" s="1"/>
  <c r="I14" i="368"/>
  <c r="C14" i="368" s="1"/>
  <c r="I15" i="368"/>
  <c r="C15" i="368" s="1"/>
  <c r="F43" i="94" l="1"/>
  <c r="D35" i="94"/>
  <c r="F56" i="94"/>
  <c r="D39" i="94"/>
  <c r="F40" i="94"/>
  <c r="C18" i="94"/>
  <c r="F35" i="94"/>
  <c r="F21" i="94"/>
  <c r="F39" i="94"/>
  <c r="F34" i="94"/>
  <c r="F55" i="94"/>
  <c r="C29" i="371"/>
  <c r="F52" i="94"/>
  <c r="F57" i="94"/>
  <c r="D36" i="94"/>
  <c r="D19" i="94"/>
  <c r="F41" i="94"/>
  <c r="D14" i="354"/>
  <c r="C7" i="94" s="1"/>
  <c r="F42" i="94"/>
  <c r="F24" i="94"/>
  <c r="F54" i="94"/>
  <c r="G36" i="94"/>
  <c r="J17" i="370"/>
  <c r="AV17" i="370" s="1"/>
  <c r="D40" i="94"/>
  <c r="F20" i="94"/>
  <c r="F19" i="94"/>
  <c r="E14" i="370"/>
  <c r="J14" i="370" s="1"/>
  <c r="AV14" i="370" s="1"/>
  <c r="AW14" i="370" s="1"/>
  <c r="E12" i="370"/>
  <c r="J12" i="370" s="1"/>
  <c r="AV12" i="370" s="1"/>
  <c r="AW12" i="370" s="1"/>
  <c r="E10" i="370"/>
  <c r="J10" i="370" s="1"/>
  <c r="AV10" i="370" s="1"/>
  <c r="AW10" i="370" s="1"/>
  <c r="E8" i="370"/>
  <c r="J8" i="370" s="1"/>
  <c r="AV8" i="370" s="1"/>
  <c r="AW8" i="370" s="1"/>
  <c r="E6" i="370"/>
  <c r="C10" i="371"/>
  <c r="E15" i="370"/>
  <c r="J15" i="370" s="1"/>
  <c r="AV15" i="370" s="1"/>
  <c r="AW15" i="370" s="1"/>
  <c r="E13" i="370"/>
  <c r="J13" i="370" s="1"/>
  <c r="AV13" i="370" s="1"/>
  <c r="AW13" i="370" s="1"/>
  <c r="E11" i="370"/>
  <c r="J11" i="370" s="1"/>
  <c r="AV11" i="370" s="1"/>
  <c r="AW11" i="370" s="1"/>
  <c r="E9" i="370"/>
  <c r="J9" i="370" s="1"/>
  <c r="AV9" i="370" s="1"/>
  <c r="AW9" i="370" s="1"/>
  <c r="E7" i="370"/>
  <c r="J7" i="370" s="1"/>
  <c r="AV7" i="370" s="1"/>
  <c r="AW7" i="370" s="1"/>
  <c r="E5" i="370"/>
  <c r="J5" i="370" s="1"/>
  <c r="AV5" i="370" s="1"/>
  <c r="AW5" i="370" s="1"/>
  <c r="AO13" i="363"/>
  <c r="AO5" i="363"/>
  <c r="AO14" i="363"/>
  <c r="AO8" i="363"/>
  <c r="AO15" i="363"/>
  <c r="AV12" i="363"/>
  <c r="AV5" i="363"/>
  <c r="AV8" i="363"/>
  <c r="T11" i="363"/>
  <c r="AH7" i="362"/>
  <c r="BX5" i="362"/>
  <c r="BX8" i="362"/>
  <c r="BX7" i="362"/>
  <c r="BX14" i="362"/>
  <c r="BX11" i="362"/>
  <c r="AV5" i="362"/>
  <c r="AV17" i="362" s="1"/>
  <c r="AV12" i="362"/>
  <c r="AV9" i="362"/>
  <c r="AV8" i="362"/>
  <c r="AV15" i="362"/>
  <c r="AV13" i="362"/>
  <c r="AH13" i="362"/>
  <c r="AH9" i="362"/>
  <c r="AH8" i="362"/>
  <c r="AH15" i="362"/>
  <c r="AH5" i="362"/>
  <c r="AH6" i="362"/>
  <c r="AH11" i="362"/>
  <c r="AH12" i="362"/>
  <c r="BQ15" i="362"/>
  <c r="BQ12" i="362"/>
  <c r="BQ8" i="362"/>
  <c r="BQ14" i="362"/>
  <c r="BQ7" i="362"/>
  <c r="BQ13" i="362"/>
  <c r="BQ6" i="362"/>
  <c r="BQ9" i="362"/>
  <c r="BQ10" i="362"/>
  <c r="BQ5" i="362"/>
  <c r="AA7" i="363"/>
  <c r="M11" i="362"/>
  <c r="T12" i="362"/>
  <c r="T9" i="362"/>
  <c r="AV7" i="363"/>
  <c r="S17" i="362"/>
  <c r="AT11" i="363"/>
  <c r="AV13" i="363"/>
  <c r="K11" i="363"/>
  <c r="R14" i="363"/>
  <c r="AT14" i="363"/>
  <c r="R8" i="363"/>
  <c r="S17" i="363"/>
  <c r="BA6" i="363"/>
  <c r="BX12" i="362"/>
  <c r="AV14" i="362"/>
  <c r="N11" i="361"/>
  <c r="O11" i="361" s="1"/>
  <c r="AA11" i="361" s="1"/>
  <c r="E11" i="369" s="1"/>
  <c r="AV7" i="362"/>
  <c r="BH7" i="363"/>
  <c r="Y10" i="363"/>
  <c r="AM6" i="362"/>
  <c r="N6" i="361"/>
  <c r="O6" i="361" s="1"/>
  <c r="AA6" i="361" s="1"/>
  <c r="E6" i="369" s="1"/>
  <c r="F14" i="364"/>
  <c r="D5" i="364"/>
  <c r="C5" i="353"/>
  <c r="C5" i="354" s="1"/>
  <c r="D5" i="354" s="1"/>
  <c r="R17" i="353"/>
  <c r="BQ5" i="363"/>
  <c r="BQ7" i="363"/>
  <c r="BQ11" i="362"/>
  <c r="AF11" i="363"/>
  <c r="K9" i="363"/>
  <c r="R13" i="363"/>
  <c r="AO10" i="363"/>
  <c r="I17" i="368"/>
  <c r="K12" i="363"/>
  <c r="D9" i="363"/>
  <c r="BQ10" i="363"/>
  <c r="AO9" i="363"/>
  <c r="BA9" i="363"/>
  <c r="BV12" i="363"/>
  <c r="K13" i="363"/>
  <c r="BV9" i="363"/>
  <c r="AM13" i="363"/>
  <c r="AV9" i="363"/>
  <c r="BB17" i="363"/>
  <c r="BC15" i="363" s="1"/>
  <c r="E17" i="363"/>
  <c r="K5" i="363"/>
  <c r="BQ13" i="363"/>
  <c r="R6" i="363"/>
  <c r="AG17" i="363"/>
  <c r="J17" i="361"/>
  <c r="K5" i="361" s="1"/>
  <c r="E17" i="362"/>
  <c r="Y7" i="362"/>
  <c r="Y17" i="362" s="1"/>
  <c r="BH5" i="362"/>
  <c r="AE17" i="366"/>
  <c r="AT7" i="363"/>
  <c r="R7" i="363"/>
  <c r="BA10" i="363"/>
  <c r="R6" i="362"/>
  <c r="AH14" i="362"/>
  <c r="F12" i="363"/>
  <c r="AH10" i="363"/>
  <c r="N15" i="361"/>
  <c r="O15" i="361" s="1"/>
  <c r="AA15" i="361" s="1"/>
  <c r="E15" i="369" s="1"/>
  <c r="N5" i="361"/>
  <c r="Y8" i="363"/>
  <c r="AV11" i="362"/>
  <c r="BX6" i="362"/>
  <c r="N14" i="361"/>
  <c r="O14" i="361" s="1"/>
  <c r="AA14" i="361" s="1"/>
  <c r="E14" i="369" s="1"/>
  <c r="AO11" i="363"/>
  <c r="AM15" i="363"/>
  <c r="BV13" i="363"/>
  <c r="K15" i="363"/>
  <c r="BA12" i="363"/>
  <c r="BA8" i="363"/>
  <c r="BA15" i="362"/>
  <c r="AV14" i="363"/>
  <c r="BH5" i="363"/>
  <c r="BX15" i="362"/>
  <c r="BV6" i="363"/>
  <c r="BC6" i="363"/>
  <c r="AM11" i="362"/>
  <c r="BH11" i="362"/>
  <c r="R10" i="362"/>
  <c r="R17" i="362" s="1"/>
  <c r="AM10" i="362"/>
  <c r="AM14" i="362"/>
  <c r="D7" i="362"/>
  <c r="AO7" i="362"/>
  <c r="R7" i="362"/>
  <c r="K7" i="363"/>
  <c r="AM7" i="363"/>
  <c r="BH8" i="362"/>
  <c r="AH8" i="363"/>
  <c r="AF10" i="363"/>
  <c r="AT10" i="363"/>
  <c r="BH12" i="362"/>
  <c r="AH7" i="363"/>
  <c r="AN17" i="362"/>
  <c r="AO14" i="362" s="1"/>
  <c r="AO5" i="362"/>
  <c r="AM5" i="362"/>
  <c r="AM17" i="362" s="1"/>
  <c r="T11" i="362"/>
  <c r="F13" i="364"/>
  <c r="N13" i="361"/>
  <c r="O13" i="361" s="1"/>
  <c r="AA13" i="361" s="1"/>
  <c r="E13" i="369" s="1"/>
  <c r="AV6" i="362"/>
  <c r="BJ8" i="363"/>
  <c r="D6" i="363"/>
  <c r="AV10" i="362"/>
  <c r="BI17" i="362"/>
  <c r="BJ5" i="362"/>
  <c r="BC10" i="363"/>
  <c r="BX10" i="362"/>
  <c r="C8" i="356"/>
  <c r="C8" i="355"/>
  <c r="N8" i="361"/>
  <c r="O8" i="361" s="1"/>
  <c r="AA8" i="361" s="1"/>
  <c r="E8" i="369" s="1"/>
  <c r="BA13" i="363"/>
  <c r="C5" i="368"/>
  <c r="C17" i="368" s="1"/>
  <c r="BQ9" i="363"/>
  <c r="BQ14" i="363"/>
  <c r="AV11" i="363"/>
  <c r="AO12" i="363"/>
  <c r="BV15" i="363"/>
  <c r="L17" i="363"/>
  <c r="M8" i="363" s="1"/>
  <c r="BW17" i="363"/>
  <c r="AV6" i="363"/>
  <c r="BJ9" i="362"/>
  <c r="BX13" i="362"/>
  <c r="BO9" i="362"/>
  <c r="BO17" i="362" s="1"/>
  <c r="D11" i="362"/>
  <c r="BV10" i="362"/>
  <c r="AF10" i="362"/>
  <c r="AF14" i="362"/>
  <c r="C17" i="357"/>
  <c r="BQ8" i="363"/>
  <c r="L17" i="362"/>
  <c r="P17" i="361"/>
  <c r="Q9" i="361" s="1"/>
  <c r="R9" i="361" s="1"/>
  <c r="AB9" i="361" s="1"/>
  <c r="F9" i="369" s="1"/>
  <c r="BA7" i="363"/>
  <c r="AF7" i="363"/>
  <c r="M7" i="362"/>
  <c r="K5" i="362"/>
  <c r="V17" i="361"/>
  <c r="W14" i="361" s="1"/>
  <c r="X14" i="361" s="1"/>
  <c r="AD14" i="361" s="1"/>
  <c r="H14" i="369" s="1"/>
  <c r="K10" i="363"/>
  <c r="D10" i="363"/>
  <c r="BA6" i="362"/>
  <c r="M8" i="362"/>
  <c r="T15" i="362"/>
  <c r="S17" i="361"/>
  <c r="T5" i="361" s="1"/>
  <c r="N9" i="361"/>
  <c r="O9" i="361" s="1"/>
  <c r="AA9" i="361" s="1"/>
  <c r="E9" i="369" s="1"/>
  <c r="V5" i="351"/>
  <c r="C17" i="351"/>
  <c r="C17" i="353" s="1"/>
  <c r="C17" i="354" s="1"/>
  <c r="D17" i="354" s="1"/>
  <c r="AF15" i="363"/>
  <c r="D13" i="363"/>
  <c r="R12" i="363"/>
  <c r="D15" i="363"/>
  <c r="AF13" i="363"/>
  <c r="AT12" i="363"/>
  <c r="BH11" i="363"/>
  <c r="D11" i="363"/>
  <c r="AF9" i="363"/>
  <c r="K14" i="363"/>
  <c r="AM12" i="363"/>
  <c r="D12" i="363"/>
  <c r="BA11" i="363"/>
  <c r="BH12" i="363"/>
  <c r="AF14" i="363"/>
  <c r="R11" i="363"/>
  <c r="BV11" i="363"/>
  <c r="AF8" i="363"/>
  <c r="R5" i="363"/>
  <c r="AT13" i="363"/>
  <c r="AT9" i="363"/>
  <c r="AT8" i="363"/>
  <c r="AF5" i="363"/>
  <c r="BA15" i="363"/>
  <c r="Y6" i="363"/>
  <c r="K6" i="363"/>
  <c r="R15" i="363"/>
  <c r="AM5" i="363"/>
  <c r="AM8" i="363"/>
  <c r="Y15" i="363"/>
  <c r="Y12" i="363"/>
  <c r="BH14" i="363"/>
  <c r="BQ6" i="363"/>
  <c r="BX9" i="362"/>
  <c r="BB17" i="362"/>
  <c r="BV10" i="363"/>
  <c r="BH9" i="363"/>
  <c r="AM11" i="363"/>
  <c r="AF12" i="363"/>
  <c r="BQ15" i="363"/>
  <c r="AF6" i="363"/>
  <c r="AO10" i="362"/>
  <c r="BJ14" i="362"/>
  <c r="D7" i="363"/>
  <c r="AO7" i="363"/>
  <c r="BC6" i="362"/>
  <c r="R15" i="362"/>
  <c r="Y15" i="362"/>
  <c r="AM13" i="362"/>
  <c r="BA12" i="362"/>
  <c r="AM9" i="362"/>
  <c r="BA13" i="362"/>
  <c r="AM15" i="362"/>
  <c r="BH13" i="362"/>
  <c r="D13" i="362"/>
  <c r="BV12" i="362"/>
  <c r="R12" i="362"/>
  <c r="BH9" i="362"/>
  <c r="D9" i="362"/>
  <c r="D17" i="362" s="1"/>
  <c r="AF13" i="362"/>
  <c r="AF9" i="362"/>
  <c r="AT8" i="362"/>
  <c r="D14" i="362"/>
  <c r="BV9" i="362"/>
  <c r="AM8" i="362"/>
  <c r="BV13" i="362"/>
  <c r="AM12" i="362"/>
  <c r="R9" i="362"/>
  <c r="BA8" i="362"/>
  <c r="AF12" i="362"/>
  <c r="R8" i="362"/>
  <c r="AF8" i="362"/>
  <c r="R13" i="362"/>
  <c r="BA11" i="362"/>
  <c r="K7" i="362"/>
  <c r="AF15" i="362"/>
  <c r="BA14" i="362"/>
  <c r="AT11" i="362"/>
  <c r="K10" i="362"/>
  <c r="AF5" i="362"/>
  <c r="K14" i="362"/>
  <c r="D10" i="362"/>
  <c r="AF7" i="362"/>
  <c r="Z17" i="362"/>
  <c r="M5" i="363"/>
  <c r="AV10" i="363"/>
  <c r="BJ6" i="362"/>
  <c r="F5" i="363"/>
  <c r="E5" i="364"/>
  <c r="E17" i="364" s="1"/>
  <c r="C17" i="359"/>
  <c r="T7" i="362"/>
  <c r="F6" i="364"/>
  <c r="N10" i="361"/>
  <c r="O10" i="361" s="1"/>
  <c r="AA10" i="361" s="1"/>
  <c r="E10" i="369" s="1"/>
  <c r="BH10" i="362"/>
  <c r="T6" i="362"/>
  <c r="AV15" i="363"/>
  <c r="BJ12" i="363"/>
  <c r="BJ15" i="362"/>
  <c r="AT6" i="363"/>
  <c r="AT17" i="363" s="1"/>
  <c r="R10" i="363"/>
  <c r="AM6" i="363"/>
  <c r="BH15" i="363"/>
  <c r="BO11" i="363"/>
  <c r="BO17" i="363" s="1"/>
  <c r="BI17" i="363"/>
  <c r="BJ5" i="363"/>
  <c r="Y14" i="363"/>
  <c r="BA14" i="363"/>
  <c r="D5" i="363"/>
  <c r="Z17" i="363"/>
  <c r="BH6" i="363"/>
  <c r="BH13" i="363"/>
  <c r="BC11" i="363"/>
  <c r="BQ11" i="363"/>
  <c r="D8" i="363"/>
  <c r="BH8" i="363"/>
  <c r="AO6" i="363"/>
  <c r="K13" i="362"/>
  <c r="K9" i="362"/>
  <c r="BC12" i="362"/>
  <c r="BA10" i="362"/>
  <c r="Y10" i="362"/>
  <c r="BJ7" i="362"/>
  <c r="F5" i="362"/>
  <c r="Y14" i="362"/>
  <c r="AT6" i="362"/>
  <c r="F7" i="363"/>
  <c r="AA10" i="362"/>
  <c r="AM7" i="362"/>
  <c r="F6" i="362"/>
  <c r="Y7" i="363"/>
  <c r="T13" i="363"/>
  <c r="T9" i="363"/>
  <c r="F6" i="363"/>
  <c r="BQ12" i="363"/>
  <c r="BA7" i="362"/>
  <c r="BH10" i="363"/>
  <c r="AF6" i="362"/>
  <c r="AH15" i="363"/>
  <c r="T12" i="363"/>
  <c r="T8" i="362"/>
  <c r="I17" i="365"/>
  <c r="J8" i="365" s="1"/>
  <c r="K8" i="365" s="1"/>
  <c r="L8" i="365" s="1"/>
  <c r="M8" i="365" s="1"/>
  <c r="BH6" i="362"/>
  <c r="AA6" i="362"/>
  <c r="T15" i="363"/>
  <c r="AH10" i="362"/>
  <c r="M6" i="362"/>
  <c r="N12" i="361"/>
  <c r="O12" i="361" s="1"/>
  <c r="AA12" i="361" s="1"/>
  <c r="E12" i="369" s="1"/>
  <c r="BV6" i="362"/>
  <c r="BV17" i="362" s="1"/>
  <c r="F10" i="364"/>
  <c r="G9" i="364"/>
  <c r="G17" i="364"/>
  <c r="H17" i="364" s="1"/>
  <c r="G8" i="364"/>
  <c r="I8" i="364" s="1"/>
  <c r="G15" i="364"/>
  <c r="G7" i="364"/>
  <c r="G14" i="364"/>
  <c r="G6" i="364"/>
  <c r="G12" i="364"/>
  <c r="I12" i="364" s="1"/>
  <c r="G11" i="364"/>
  <c r="G13" i="364"/>
  <c r="H13" i="364" s="1"/>
  <c r="G5" i="364"/>
  <c r="G10" i="364"/>
  <c r="K12" i="361" l="1"/>
  <c r="L12" i="361" s="1"/>
  <c r="Z12" i="361" s="1"/>
  <c r="D12" i="369" s="1"/>
  <c r="T11" i="361"/>
  <c r="U11" i="361" s="1"/>
  <c r="AC11" i="361" s="1"/>
  <c r="G11" i="369" s="1"/>
  <c r="Q8" i="361"/>
  <c r="R8" i="361" s="1"/>
  <c r="AB8" i="361" s="1"/>
  <c r="F8" i="369" s="1"/>
  <c r="Q5" i="361"/>
  <c r="D33" i="94"/>
  <c r="J7" i="365"/>
  <c r="K7" i="365" s="1"/>
  <c r="L7" i="365" s="1"/>
  <c r="M7" i="365" s="1"/>
  <c r="Q15" i="361"/>
  <c r="R15" i="361" s="1"/>
  <c r="AB15" i="361" s="1"/>
  <c r="F15" i="369" s="1"/>
  <c r="Q12" i="361"/>
  <c r="R12" i="361" s="1"/>
  <c r="AB12" i="361" s="1"/>
  <c r="F12" i="369" s="1"/>
  <c r="T7" i="361"/>
  <c r="U7" i="361" s="1"/>
  <c r="AC7" i="361" s="1"/>
  <c r="G7" i="369" s="1"/>
  <c r="F18" i="94"/>
  <c r="J15" i="365"/>
  <c r="K15" i="365" s="1"/>
  <c r="L15" i="365" s="1"/>
  <c r="M15" i="365" s="1"/>
  <c r="W11" i="361"/>
  <c r="X11" i="361" s="1"/>
  <c r="AD11" i="361" s="1"/>
  <c r="H11" i="369" s="1"/>
  <c r="W5" i="361"/>
  <c r="F33" i="94"/>
  <c r="J6" i="365"/>
  <c r="K6" i="365" s="1"/>
  <c r="L6" i="365" s="1"/>
  <c r="M6" i="365" s="1"/>
  <c r="T12" i="361"/>
  <c r="U12" i="361" s="1"/>
  <c r="AC12" i="361" s="1"/>
  <c r="G12" i="369" s="1"/>
  <c r="J5" i="365"/>
  <c r="K9" i="361"/>
  <c r="L9" i="361" s="1"/>
  <c r="Z9" i="361" s="1"/>
  <c r="D9" i="369" s="1"/>
  <c r="D18" i="94"/>
  <c r="T15" i="361"/>
  <c r="U15" i="361" s="1"/>
  <c r="AC15" i="361" s="1"/>
  <c r="G15" i="369" s="1"/>
  <c r="T13" i="361"/>
  <c r="U13" i="361" s="1"/>
  <c r="AC13" i="361" s="1"/>
  <c r="G13" i="369" s="1"/>
  <c r="J6" i="370"/>
  <c r="AV6" i="370" s="1"/>
  <c r="AW6" i="370" s="1"/>
  <c r="AW17" i="370" s="1"/>
  <c r="E22" i="370"/>
  <c r="U5" i="361"/>
  <c r="AC5" i="361" s="1"/>
  <c r="G5" i="369" s="1"/>
  <c r="L5" i="361"/>
  <c r="Z5" i="361" s="1"/>
  <c r="D5" i="369" s="1"/>
  <c r="H11" i="364"/>
  <c r="I11" i="364"/>
  <c r="H9" i="364"/>
  <c r="AT17" i="362"/>
  <c r="BJ14" i="363"/>
  <c r="D21" i="356"/>
  <c r="AA5" i="362"/>
  <c r="AA14" i="362"/>
  <c r="AA13" i="362"/>
  <c r="AA15" i="362"/>
  <c r="AA12" i="362"/>
  <c r="AA9" i="362"/>
  <c r="AA11" i="362"/>
  <c r="AA8" i="362"/>
  <c r="BC14" i="362"/>
  <c r="W9" i="361"/>
  <c r="X9" i="361" s="1"/>
  <c r="AD9" i="361" s="1"/>
  <c r="H9" i="369" s="1"/>
  <c r="W13" i="361"/>
  <c r="X13" i="361" s="1"/>
  <c r="AD13" i="361" s="1"/>
  <c r="H13" i="369" s="1"/>
  <c r="W12" i="361"/>
  <c r="X12" i="361" s="1"/>
  <c r="AD12" i="361" s="1"/>
  <c r="H12" i="369" s="1"/>
  <c r="W8" i="361"/>
  <c r="X8" i="361" s="1"/>
  <c r="AD8" i="361" s="1"/>
  <c r="H8" i="369" s="1"/>
  <c r="Q13" i="361"/>
  <c r="R13" i="361" s="1"/>
  <c r="AB13" i="361" s="1"/>
  <c r="F13" i="369" s="1"/>
  <c r="BJ8" i="362"/>
  <c r="BJ11" i="362"/>
  <c r="BJ12" i="362"/>
  <c r="BJ13" i="362"/>
  <c r="BC10" i="362"/>
  <c r="M12" i="362"/>
  <c r="BJ7" i="363"/>
  <c r="BH17" i="363"/>
  <c r="I9" i="364"/>
  <c r="K13" i="361"/>
  <c r="L13" i="361" s="1"/>
  <c r="Z13" i="361" s="1"/>
  <c r="D13" i="369" s="1"/>
  <c r="K17" i="363"/>
  <c r="F5" i="364"/>
  <c r="D17" i="364"/>
  <c r="F17" i="364" s="1"/>
  <c r="T10" i="363"/>
  <c r="T5" i="363"/>
  <c r="T6" i="363"/>
  <c r="T14" i="363"/>
  <c r="BQ17" i="362"/>
  <c r="AO17" i="363"/>
  <c r="BX8" i="363"/>
  <c r="BX12" i="363"/>
  <c r="BX7" i="363"/>
  <c r="BX6" i="363"/>
  <c r="BX5" i="363"/>
  <c r="BX17" i="363" s="1"/>
  <c r="BX14" i="363"/>
  <c r="BJ17" i="362"/>
  <c r="BX15" i="363"/>
  <c r="Y17" i="363"/>
  <c r="T10" i="361"/>
  <c r="U10" i="361" s="1"/>
  <c r="AC10" i="361" s="1"/>
  <c r="G10" i="369" s="1"/>
  <c r="T14" i="361"/>
  <c r="U14" i="361" s="1"/>
  <c r="AC14" i="361" s="1"/>
  <c r="G14" i="369" s="1"/>
  <c r="T6" i="361"/>
  <c r="U6" i="361" s="1"/>
  <c r="AC6" i="361" s="1"/>
  <c r="G6" i="369" s="1"/>
  <c r="X5" i="361"/>
  <c r="AD5" i="361" s="1"/>
  <c r="H5" i="369" s="1"/>
  <c r="M15" i="362"/>
  <c r="BX9" i="363"/>
  <c r="I14" i="364"/>
  <c r="BJ10" i="362"/>
  <c r="T14" i="362"/>
  <c r="T5" i="362"/>
  <c r="T7" i="363"/>
  <c r="AA12" i="363"/>
  <c r="J10" i="365"/>
  <c r="K10" i="365" s="1"/>
  <c r="L10" i="365" s="1"/>
  <c r="M10" i="365" s="1"/>
  <c r="BJ15" i="363"/>
  <c r="K17" i="362"/>
  <c r="M10" i="363"/>
  <c r="M6" i="363"/>
  <c r="M14" i="363"/>
  <c r="M7" i="363"/>
  <c r="M11" i="363"/>
  <c r="M15" i="363"/>
  <c r="M12" i="363"/>
  <c r="E21" i="356"/>
  <c r="BJ10" i="363"/>
  <c r="F12" i="362"/>
  <c r="F7" i="362"/>
  <c r="F8" i="362"/>
  <c r="F13" i="362"/>
  <c r="F9" i="362"/>
  <c r="F11" i="362"/>
  <c r="AH11" i="363"/>
  <c r="AH5" i="363"/>
  <c r="AH13" i="363"/>
  <c r="AH14" i="363"/>
  <c r="AH12" i="363"/>
  <c r="AH6" i="363"/>
  <c r="AH9" i="363"/>
  <c r="BJ6" i="363"/>
  <c r="BJ17" i="363" s="1"/>
  <c r="F15" i="363"/>
  <c r="F14" i="363"/>
  <c r="F8" i="363"/>
  <c r="F17" i="363" s="1"/>
  <c r="F13" i="363"/>
  <c r="F10" i="363"/>
  <c r="F11" i="363"/>
  <c r="J14" i="365"/>
  <c r="K14" i="365" s="1"/>
  <c r="L14" i="365" s="1"/>
  <c r="M14" i="365" s="1"/>
  <c r="K8" i="361"/>
  <c r="L8" i="361" s="1"/>
  <c r="Z8" i="361" s="1"/>
  <c r="D8" i="369" s="1"/>
  <c r="AH17" i="362"/>
  <c r="F15" i="362"/>
  <c r="T13" i="362"/>
  <c r="F9" i="363"/>
  <c r="R5" i="361"/>
  <c r="AB5" i="361" s="1"/>
  <c r="F5" i="369" s="1"/>
  <c r="BX11" i="363"/>
  <c r="H6" i="364"/>
  <c r="J13" i="365"/>
  <c r="K13" i="365" s="1"/>
  <c r="L13" i="365" s="1"/>
  <c r="M13" i="365" s="1"/>
  <c r="J11" i="365"/>
  <c r="K11" i="365" s="1"/>
  <c r="L11" i="365" s="1"/>
  <c r="M11" i="365" s="1"/>
  <c r="AF17" i="363"/>
  <c r="M13" i="362"/>
  <c r="M10" i="362"/>
  <c r="M9" i="362"/>
  <c r="M14" i="362"/>
  <c r="M5" i="362"/>
  <c r="AA7" i="362"/>
  <c r="I13" i="364"/>
  <c r="BC7" i="363"/>
  <c r="BQ17" i="363"/>
  <c r="F14" i="362"/>
  <c r="T8" i="363"/>
  <c r="H12" i="364"/>
  <c r="I10" i="364"/>
  <c r="H7" i="364"/>
  <c r="I7" i="364"/>
  <c r="K5" i="365"/>
  <c r="BJ13" i="363"/>
  <c r="BJ11" i="363"/>
  <c r="BJ9" i="363"/>
  <c r="I6" i="364"/>
  <c r="BX10" i="363"/>
  <c r="AA6" i="363"/>
  <c r="BX13" i="363"/>
  <c r="BC8" i="362"/>
  <c r="BC15" i="362"/>
  <c r="BC7" i="362"/>
  <c r="BC11" i="362"/>
  <c r="BC9" i="362"/>
  <c r="BC5" i="362"/>
  <c r="BC17" i="362" s="1"/>
  <c r="BC13" i="362"/>
  <c r="J9" i="365"/>
  <c r="K9" i="365" s="1"/>
  <c r="L9" i="365" s="1"/>
  <c r="M9" i="365" s="1"/>
  <c r="W10" i="361"/>
  <c r="X10" i="361" s="1"/>
  <c r="AD10" i="361" s="1"/>
  <c r="H10" i="369" s="1"/>
  <c r="AO9" i="362"/>
  <c r="AO13" i="362"/>
  <c r="AO8" i="362"/>
  <c r="AO12" i="362"/>
  <c r="AO15" i="362"/>
  <c r="BV17" i="363"/>
  <c r="J12" i="365"/>
  <c r="K12" i="365" s="1"/>
  <c r="L12" i="365" s="1"/>
  <c r="M12" i="365" s="1"/>
  <c r="O5" i="361"/>
  <c r="AA5" i="361" s="1"/>
  <c r="E5" i="369" s="1"/>
  <c r="N17" i="361"/>
  <c r="W6" i="361"/>
  <c r="X6" i="361" s="1"/>
  <c r="AD6" i="361" s="1"/>
  <c r="H6" i="369" s="1"/>
  <c r="AO11" i="362"/>
  <c r="W15" i="361"/>
  <c r="X15" i="361" s="1"/>
  <c r="AD15" i="361" s="1"/>
  <c r="H15" i="369" s="1"/>
  <c r="F10" i="362"/>
  <c r="F17" i="362" s="1"/>
  <c r="BX17" i="362"/>
  <c r="AV17" i="363"/>
  <c r="AW14" i="362"/>
  <c r="AX14" i="362" s="1"/>
  <c r="AW10" i="362"/>
  <c r="AX10" i="362" s="1"/>
  <c r="AW11" i="362"/>
  <c r="AX11" i="362" s="1"/>
  <c r="AW7" i="362"/>
  <c r="AX7" i="362" s="1"/>
  <c r="AW12" i="362"/>
  <c r="AX12" i="362" s="1"/>
  <c r="AW8" i="362"/>
  <c r="AX8" i="362" s="1"/>
  <c r="AW9" i="362"/>
  <c r="AX9" i="362" s="1"/>
  <c r="AW15" i="362"/>
  <c r="AX15" i="362" s="1"/>
  <c r="AW13" i="362"/>
  <c r="AX13" i="362" s="1"/>
  <c r="AW5" i="362"/>
  <c r="AW6" i="362"/>
  <c r="AX6" i="362" s="1"/>
  <c r="H10" i="364"/>
  <c r="H15" i="364"/>
  <c r="I15" i="364"/>
  <c r="AA15" i="363"/>
  <c r="AA5" i="363"/>
  <c r="AA17" i="363" s="1"/>
  <c r="AA10" i="363"/>
  <c r="AA9" i="363"/>
  <c r="AA11" i="363"/>
  <c r="AA8" i="363"/>
  <c r="AA13" i="363"/>
  <c r="AF17" i="362"/>
  <c r="AA14" i="363"/>
  <c r="T5" i="367"/>
  <c r="T17" i="367" s="1"/>
  <c r="V17" i="351"/>
  <c r="C18" i="359" s="1"/>
  <c r="BA17" i="362"/>
  <c r="D22" i="355"/>
  <c r="E22" i="355"/>
  <c r="T9" i="361"/>
  <c r="U9" i="361" s="1"/>
  <c r="AC9" i="361" s="1"/>
  <c r="G9" i="369" s="1"/>
  <c r="M13" i="363"/>
  <c r="BH17" i="362"/>
  <c r="BC14" i="363"/>
  <c r="AO6" i="362"/>
  <c r="AO17" i="362" s="1"/>
  <c r="BA17" i="363"/>
  <c r="T10" i="362"/>
  <c r="R17" i="363"/>
  <c r="H14" i="364"/>
  <c r="H5" i="364"/>
  <c r="H8" i="364"/>
  <c r="D17" i="363"/>
  <c r="AM17" i="363"/>
  <c r="Q11" i="361"/>
  <c r="R11" i="361" s="1"/>
  <c r="AB11" i="361" s="1"/>
  <c r="F11" i="369" s="1"/>
  <c r="Q7" i="361"/>
  <c r="R7" i="361" s="1"/>
  <c r="AB7" i="361" s="1"/>
  <c r="F7" i="369" s="1"/>
  <c r="Q14" i="361"/>
  <c r="R14" i="361" s="1"/>
  <c r="AB14" i="361" s="1"/>
  <c r="F14" i="369" s="1"/>
  <c r="Q10" i="361"/>
  <c r="R10" i="361" s="1"/>
  <c r="AB10" i="361" s="1"/>
  <c r="F10" i="369" s="1"/>
  <c r="Q6" i="361"/>
  <c r="R6" i="361" s="1"/>
  <c r="AB6" i="361" s="1"/>
  <c r="F6" i="369" s="1"/>
  <c r="T8" i="361"/>
  <c r="U8" i="361" s="1"/>
  <c r="AC8" i="361" s="1"/>
  <c r="G8" i="369" s="1"/>
  <c r="K14" i="361"/>
  <c r="L14" i="361" s="1"/>
  <c r="Z14" i="361" s="1"/>
  <c r="D14" i="369" s="1"/>
  <c r="K10" i="361"/>
  <c r="L10" i="361" s="1"/>
  <c r="Z10" i="361" s="1"/>
  <c r="D10" i="369" s="1"/>
  <c r="K6" i="361"/>
  <c r="L6" i="361" s="1"/>
  <c r="Z6" i="361" s="1"/>
  <c r="D6" i="369" s="1"/>
  <c r="K7" i="361"/>
  <c r="L7" i="361" s="1"/>
  <c r="Z7" i="361" s="1"/>
  <c r="D7" i="369" s="1"/>
  <c r="K15" i="361"/>
  <c r="L15" i="361" s="1"/>
  <c r="Z15" i="361" s="1"/>
  <c r="D15" i="369" s="1"/>
  <c r="K11" i="361"/>
  <c r="L11" i="361" s="1"/>
  <c r="Z11" i="361" s="1"/>
  <c r="D11" i="369" s="1"/>
  <c r="C11" i="369" s="1"/>
  <c r="J11" i="369" s="1"/>
  <c r="BC12" i="363"/>
  <c r="BC5" i="363"/>
  <c r="BC8" i="363"/>
  <c r="BC13" i="363"/>
  <c r="BC9" i="363"/>
  <c r="W7" i="361"/>
  <c r="X7" i="361" s="1"/>
  <c r="AD7" i="361" s="1"/>
  <c r="H7" i="369" s="1"/>
  <c r="M9" i="363"/>
  <c r="M17" i="363" s="1"/>
  <c r="C15" i="369" l="1"/>
  <c r="J15" i="369" s="1"/>
  <c r="C12" i="369"/>
  <c r="J12" i="369" s="1"/>
  <c r="C9" i="369"/>
  <c r="J9" i="369" s="1"/>
  <c r="C7" i="369"/>
  <c r="J7" i="369" s="1"/>
  <c r="BK14" i="363"/>
  <c r="BL14" i="363" s="1"/>
  <c r="BK10" i="363"/>
  <c r="BL10" i="363" s="1"/>
  <c r="BK11" i="363"/>
  <c r="BL11" i="363" s="1"/>
  <c r="BK15" i="363"/>
  <c r="BL15" i="363" s="1"/>
  <c r="BK13" i="363"/>
  <c r="BL13" i="363" s="1"/>
  <c r="BK9" i="363"/>
  <c r="BL9" i="363" s="1"/>
  <c r="BK12" i="363"/>
  <c r="BL12" i="363" s="1"/>
  <c r="BK6" i="363"/>
  <c r="BL6" i="363" s="1"/>
  <c r="BK7" i="363"/>
  <c r="BL7" i="363" s="1"/>
  <c r="BK5" i="363"/>
  <c r="BL5" i="363" s="1"/>
  <c r="BK8" i="363"/>
  <c r="BL8" i="363" s="1"/>
  <c r="N5" i="363"/>
  <c r="O5" i="363" s="1"/>
  <c r="N8" i="363"/>
  <c r="O8" i="363" s="1"/>
  <c r="N9" i="363"/>
  <c r="O9" i="363" s="1"/>
  <c r="N14" i="363"/>
  <c r="O14" i="363" s="1"/>
  <c r="N7" i="363"/>
  <c r="O7" i="363" s="1"/>
  <c r="N11" i="363"/>
  <c r="O11" i="363" s="1"/>
  <c r="N12" i="363"/>
  <c r="O12" i="363" s="1"/>
  <c r="N6" i="363"/>
  <c r="O6" i="363" s="1"/>
  <c r="N13" i="363"/>
  <c r="O13" i="363" s="1"/>
  <c r="N15" i="363"/>
  <c r="O15" i="363" s="1"/>
  <c r="N10" i="363"/>
  <c r="O10" i="363" s="1"/>
  <c r="G7" i="362"/>
  <c r="H7" i="362" s="1"/>
  <c r="G15" i="362"/>
  <c r="H15" i="362" s="1"/>
  <c r="G13" i="362"/>
  <c r="H13" i="362" s="1"/>
  <c r="G6" i="362"/>
  <c r="H6" i="362" s="1"/>
  <c r="G10" i="362"/>
  <c r="H10" i="362" s="1"/>
  <c r="G14" i="362"/>
  <c r="H14" i="362" s="1"/>
  <c r="G11" i="362"/>
  <c r="H11" i="362" s="1"/>
  <c r="G8" i="362"/>
  <c r="H8" i="362" s="1"/>
  <c r="G9" i="362"/>
  <c r="H9" i="362" s="1"/>
  <c r="G12" i="362"/>
  <c r="H12" i="362" s="1"/>
  <c r="G5" i="362"/>
  <c r="H5" i="362" s="1"/>
  <c r="G8" i="363"/>
  <c r="H8" i="363" s="1"/>
  <c r="G5" i="363"/>
  <c r="H5" i="363" s="1"/>
  <c r="G13" i="363"/>
  <c r="H13" i="363" s="1"/>
  <c r="G15" i="363"/>
  <c r="H15" i="363" s="1"/>
  <c r="G10" i="363"/>
  <c r="H10" i="363" s="1"/>
  <c r="G14" i="363"/>
  <c r="H14" i="363" s="1"/>
  <c r="G11" i="363"/>
  <c r="H11" i="363" s="1"/>
  <c r="G12" i="363"/>
  <c r="H12" i="363" s="1"/>
  <c r="G6" i="363"/>
  <c r="H6" i="363" s="1"/>
  <c r="G7" i="363"/>
  <c r="H7" i="363" s="1"/>
  <c r="G9" i="363"/>
  <c r="H9" i="363" s="1"/>
  <c r="C14" i="369"/>
  <c r="J14" i="369" s="1"/>
  <c r="AP14" i="362"/>
  <c r="AQ14" i="362" s="1"/>
  <c r="AP15" i="362"/>
  <c r="AQ15" i="362" s="1"/>
  <c r="AP11" i="362"/>
  <c r="AQ11" i="362" s="1"/>
  <c r="AP7" i="362"/>
  <c r="AQ7" i="362" s="1"/>
  <c r="AP12" i="362"/>
  <c r="AQ12" i="362" s="1"/>
  <c r="AP10" i="362"/>
  <c r="AQ10" i="362" s="1"/>
  <c r="AP9" i="362"/>
  <c r="AQ9" i="362" s="1"/>
  <c r="AP6" i="362"/>
  <c r="AQ6" i="362" s="1"/>
  <c r="AP5" i="362"/>
  <c r="AQ5" i="362" s="1"/>
  <c r="AQ17" i="362" s="1"/>
  <c r="AP13" i="362"/>
  <c r="AQ13" i="362" s="1"/>
  <c r="AP8" i="362"/>
  <c r="AQ8" i="362" s="1"/>
  <c r="AI7" i="362"/>
  <c r="AJ7" i="362" s="1"/>
  <c r="AI15" i="362"/>
  <c r="AJ15" i="362" s="1"/>
  <c r="AI10" i="362"/>
  <c r="AJ10" i="362" s="1"/>
  <c r="AI5" i="362"/>
  <c r="AJ5" i="362" s="1"/>
  <c r="AI11" i="362"/>
  <c r="AJ11" i="362" s="1"/>
  <c r="AI14" i="362"/>
  <c r="AJ14" i="362" s="1"/>
  <c r="AI12" i="362"/>
  <c r="AJ12" i="362" s="1"/>
  <c r="AI13" i="362"/>
  <c r="AJ13" i="362" s="1"/>
  <c r="AI9" i="362"/>
  <c r="AJ9" i="362" s="1"/>
  <c r="AI8" i="362"/>
  <c r="AJ8" i="362" s="1"/>
  <c r="AI6" i="362"/>
  <c r="AJ6" i="362" s="1"/>
  <c r="AH17" i="363"/>
  <c r="BR15" i="362"/>
  <c r="BR13" i="362"/>
  <c r="BR9" i="362"/>
  <c r="BS9" i="362" s="1"/>
  <c r="BR14" i="362"/>
  <c r="BR10" i="362"/>
  <c r="BR12" i="362"/>
  <c r="BR8" i="362"/>
  <c r="BR11" i="362"/>
  <c r="BS11" i="362" s="1"/>
  <c r="BR6" i="362"/>
  <c r="BR5" i="362"/>
  <c r="BR7" i="362"/>
  <c r="BY15" i="363"/>
  <c r="BZ15" i="363" s="1"/>
  <c r="BY13" i="363"/>
  <c r="BZ13" i="363" s="1"/>
  <c r="BY9" i="363"/>
  <c r="BZ9" i="363" s="1"/>
  <c r="BY14" i="363"/>
  <c r="BY10" i="363"/>
  <c r="BZ10" i="363" s="1"/>
  <c r="BY12" i="363"/>
  <c r="BZ12" i="363" s="1"/>
  <c r="BY8" i="363"/>
  <c r="BY5" i="363"/>
  <c r="BY11" i="363"/>
  <c r="BZ11" i="363" s="1"/>
  <c r="BY6" i="363"/>
  <c r="BZ6" i="363" s="1"/>
  <c r="BY7" i="363"/>
  <c r="I5" i="364"/>
  <c r="I17" i="364" s="1"/>
  <c r="J5" i="364" s="1"/>
  <c r="K5" i="364" s="1"/>
  <c r="AW15" i="363"/>
  <c r="AX15" i="363" s="1"/>
  <c r="AW11" i="363"/>
  <c r="AX11" i="363" s="1"/>
  <c r="AW12" i="363"/>
  <c r="AX12" i="363" s="1"/>
  <c r="AW14" i="363"/>
  <c r="AX14" i="363" s="1"/>
  <c r="AW10" i="363"/>
  <c r="AX10" i="363" s="1"/>
  <c r="AW7" i="363"/>
  <c r="AX7" i="363" s="1"/>
  <c r="AW8" i="363"/>
  <c r="AX8" i="363" s="1"/>
  <c r="AW9" i="363"/>
  <c r="AX9" i="363" s="1"/>
  <c r="AW5" i="363"/>
  <c r="AW13" i="363"/>
  <c r="AX13" i="363" s="1"/>
  <c r="AW6" i="363"/>
  <c r="AX6" i="363" s="1"/>
  <c r="BR15" i="363"/>
  <c r="BR14" i="363"/>
  <c r="BR10" i="363"/>
  <c r="BR11" i="363"/>
  <c r="BS11" i="363" s="1"/>
  <c r="BR12" i="363"/>
  <c r="BR9" i="363"/>
  <c r="BS9" i="363" s="1"/>
  <c r="BR5" i="363"/>
  <c r="BR6" i="363"/>
  <c r="BR8" i="363"/>
  <c r="BR7" i="363"/>
  <c r="BR13" i="363"/>
  <c r="C8" i="369"/>
  <c r="J8" i="369" s="1"/>
  <c r="AA17" i="362"/>
  <c r="BY15" i="362"/>
  <c r="BZ15" i="362" s="1"/>
  <c r="BY12" i="362"/>
  <c r="BZ12" i="362" s="1"/>
  <c r="BY8" i="362"/>
  <c r="BY13" i="362"/>
  <c r="BZ13" i="362" s="1"/>
  <c r="BY9" i="362"/>
  <c r="BZ9" i="362" s="1"/>
  <c r="BY10" i="362"/>
  <c r="BZ10" i="362" s="1"/>
  <c r="BY6" i="362"/>
  <c r="BZ6" i="362" s="1"/>
  <c r="BZ17" i="362" s="1"/>
  <c r="BY5" i="362"/>
  <c r="BY14" i="362"/>
  <c r="BY7" i="362"/>
  <c r="BY11" i="362"/>
  <c r="BZ11" i="362" s="1"/>
  <c r="M17" i="362"/>
  <c r="Q17" i="361"/>
  <c r="C13" i="369"/>
  <c r="J13" i="369" s="1"/>
  <c r="T17" i="361"/>
  <c r="T17" i="362"/>
  <c r="C6" i="369"/>
  <c r="J6" i="369" s="1"/>
  <c r="J17" i="365"/>
  <c r="T17" i="363"/>
  <c r="AB12" i="363"/>
  <c r="AC12" i="363" s="1"/>
  <c r="AB5" i="363"/>
  <c r="AB6" i="363"/>
  <c r="AC6" i="363" s="1"/>
  <c r="AB10" i="363"/>
  <c r="AC10" i="363" s="1"/>
  <c r="AB14" i="363"/>
  <c r="AC14" i="363" s="1"/>
  <c r="AB9" i="363"/>
  <c r="AB8" i="363"/>
  <c r="AC8" i="363" s="1"/>
  <c r="AB11" i="363"/>
  <c r="AB7" i="363"/>
  <c r="AC7" i="363" s="1"/>
  <c r="AB15" i="363"/>
  <c r="AC15" i="363" s="1"/>
  <c r="AB13" i="363"/>
  <c r="C10" i="369"/>
  <c r="J10" i="369" s="1"/>
  <c r="BD15" i="362"/>
  <c r="BE15" i="362" s="1"/>
  <c r="BD10" i="362"/>
  <c r="BE10" i="362" s="1"/>
  <c r="BD6" i="362"/>
  <c r="BE6" i="362" s="1"/>
  <c r="BD14" i="362"/>
  <c r="BE14" i="362" s="1"/>
  <c r="BD11" i="362"/>
  <c r="BE11" i="362" s="1"/>
  <c r="BD13" i="362"/>
  <c r="BE13" i="362" s="1"/>
  <c r="BD9" i="362"/>
  <c r="BE9" i="362" s="1"/>
  <c r="BD7" i="362"/>
  <c r="BE7" i="362" s="1"/>
  <c r="BD12" i="362"/>
  <c r="BE12" i="362" s="1"/>
  <c r="BD5" i="362"/>
  <c r="BD8" i="362"/>
  <c r="BE8" i="362" s="1"/>
  <c r="L5" i="365"/>
  <c r="K17" i="365"/>
  <c r="BK13" i="362"/>
  <c r="BL13" i="362" s="1"/>
  <c r="BK9" i="362"/>
  <c r="BL9" i="362" s="1"/>
  <c r="BK10" i="362"/>
  <c r="BL10" i="362" s="1"/>
  <c r="BK6" i="362"/>
  <c r="BL6" i="362" s="1"/>
  <c r="BK15" i="362"/>
  <c r="BL15" i="362" s="1"/>
  <c r="BK11" i="362"/>
  <c r="BL11" i="362" s="1"/>
  <c r="BK7" i="362"/>
  <c r="BL7" i="362" s="1"/>
  <c r="BK14" i="362"/>
  <c r="BL14" i="362" s="1"/>
  <c r="BK12" i="362"/>
  <c r="BL12" i="362" s="1"/>
  <c r="BK8" i="362"/>
  <c r="BL8" i="362" s="1"/>
  <c r="BK5" i="362"/>
  <c r="BL5" i="362" s="1"/>
  <c r="C5" i="369"/>
  <c r="J5" i="369" s="1"/>
  <c r="D18" i="359"/>
  <c r="H18" i="359"/>
  <c r="E18" i="359"/>
  <c r="G18" i="359"/>
  <c r="F18" i="359"/>
  <c r="I18" i="359"/>
  <c r="BC17" i="363"/>
  <c r="AX17" i="362"/>
  <c r="W17" i="361"/>
  <c r="K17" i="361"/>
  <c r="AB11" i="362" l="1"/>
  <c r="AB13" i="362"/>
  <c r="AB9" i="362"/>
  <c r="AB7" i="362"/>
  <c r="AC7" i="362" s="1"/>
  <c r="AB15" i="362"/>
  <c r="AC15" i="362" s="1"/>
  <c r="AB12" i="362"/>
  <c r="AC12" i="362" s="1"/>
  <c r="AB10" i="362"/>
  <c r="AC10" i="362" s="1"/>
  <c r="AB5" i="362"/>
  <c r="AB14" i="362"/>
  <c r="AC14" i="362" s="1"/>
  <c r="AB8" i="362"/>
  <c r="AC8" i="362" s="1"/>
  <c r="AB6" i="362"/>
  <c r="AC6" i="362" s="1"/>
  <c r="N12" i="362"/>
  <c r="O12" i="362" s="1"/>
  <c r="N10" i="362"/>
  <c r="O10" i="362" s="1"/>
  <c r="N6" i="362"/>
  <c r="O6" i="362" s="1"/>
  <c r="N5" i="362"/>
  <c r="O5" i="362" s="1"/>
  <c r="O17" i="362" s="1"/>
  <c r="N7" i="362"/>
  <c r="O7" i="362" s="1"/>
  <c r="N8" i="362"/>
  <c r="O8" i="362" s="1"/>
  <c r="N15" i="362"/>
  <c r="O15" i="362" s="1"/>
  <c r="N9" i="362"/>
  <c r="O9" i="362" s="1"/>
  <c r="N14" i="362"/>
  <c r="O14" i="362" s="1"/>
  <c r="N11" i="362"/>
  <c r="O11" i="362" s="1"/>
  <c r="N13" i="362"/>
  <c r="O13" i="362" s="1"/>
  <c r="AY15" i="362"/>
  <c r="AZ15" i="362" s="1"/>
  <c r="AY8" i="362"/>
  <c r="AZ8" i="362" s="1"/>
  <c r="AY13" i="362"/>
  <c r="AZ13" i="362" s="1"/>
  <c r="AY9" i="362"/>
  <c r="AZ9" i="362" s="1"/>
  <c r="AY12" i="362"/>
  <c r="AZ12" i="362" s="1"/>
  <c r="AY6" i="362"/>
  <c r="AZ6" i="362" s="1"/>
  <c r="AY7" i="362"/>
  <c r="AZ7" i="362" s="1"/>
  <c r="AY14" i="362"/>
  <c r="AZ14" i="362" s="1"/>
  <c r="AY10" i="362"/>
  <c r="AZ10" i="362" s="1"/>
  <c r="AY11" i="362"/>
  <c r="AZ11" i="362" s="1"/>
  <c r="BL17" i="362"/>
  <c r="M5" i="365"/>
  <c r="M17" i="365" s="1"/>
  <c r="L17" i="365"/>
  <c r="U7" i="363"/>
  <c r="V7" i="363" s="1"/>
  <c r="U8" i="363"/>
  <c r="V8" i="363" s="1"/>
  <c r="U11" i="363"/>
  <c r="V11" i="363" s="1"/>
  <c r="U15" i="363"/>
  <c r="V15" i="363" s="1"/>
  <c r="U6" i="363"/>
  <c r="V6" i="363" s="1"/>
  <c r="U5" i="363"/>
  <c r="V5" i="363" s="1"/>
  <c r="U12" i="363"/>
  <c r="V12" i="363" s="1"/>
  <c r="U14" i="363"/>
  <c r="V14" i="363" s="1"/>
  <c r="U9" i="363"/>
  <c r="V9" i="363" s="1"/>
  <c r="U13" i="363"/>
  <c r="V13" i="363" s="1"/>
  <c r="U10" i="363"/>
  <c r="V10" i="363" s="1"/>
  <c r="AX17" i="363"/>
  <c r="BS17" i="362"/>
  <c r="AR12" i="362"/>
  <c r="AS12" i="362" s="1"/>
  <c r="AR15" i="362"/>
  <c r="AS15" i="362" s="1"/>
  <c r="AR8" i="362"/>
  <c r="AS8" i="362" s="1"/>
  <c r="AR14" i="362"/>
  <c r="AS14" i="362" s="1"/>
  <c r="AR6" i="362"/>
  <c r="AS6" i="362" s="1"/>
  <c r="AR13" i="362"/>
  <c r="AS13" i="362" s="1"/>
  <c r="AR11" i="362"/>
  <c r="AS11" i="362" s="1"/>
  <c r="AR5" i="362"/>
  <c r="AS5" i="362" s="1"/>
  <c r="AR9" i="362"/>
  <c r="AS9" i="362" s="1"/>
  <c r="AR10" i="362"/>
  <c r="AS10" i="362" s="1"/>
  <c r="AR7" i="362"/>
  <c r="AS7" i="362" s="1"/>
  <c r="BE17" i="362"/>
  <c r="D19" i="359"/>
  <c r="BS17" i="363"/>
  <c r="AP12" i="363"/>
  <c r="AQ12" i="363" s="1"/>
  <c r="AP13" i="363"/>
  <c r="AQ13" i="363" s="1"/>
  <c r="AP9" i="363"/>
  <c r="AQ9" i="363" s="1"/>
  <c r="AP14" i="363"/>
  <c r="AQ14" i="363" s="1"/>
  <c r="AP10" i="363"/>
  <c r="AQ10" i="363" s="1"/>
  <c r="AP15" i="363"/>
  <c r="AQ15" i="363" s="1"/>
  <c r="AP7" i="363"/>
  <c r="AQ7" i="363" s="1"/>
  <c r="AP8" i="363"/>
  <c r="AQ8" i="363" s="1"/>
  <c r="AP11" i="363"/>
  <c r="AQ11" i="363" s="1"/>
  <c r="AP5" i="363"/>
  <c r="AQ5" i="363" s="1"/>
  <c r="AP6" i="363"/>
  <c r="AQ6" i="363" s="1"/>
  <c r="AI11" i="363"/>
  <c r="AJ11" i="363" s="1"/>
  <c r="AI5" i="363"/>
  <c r="AJ5" i="363" s="1"/>
  <c r="AI12" i="363"/>
  <c r="AJ12" i="363" s="1"/>
  <c r="AI13" i="363"/>
  <c r="AJ13" i="363" s="1"/>
  <c r="AI7" i="363"/>
  <c r="AJ7" i="363" s="1"/>
  <c r="AI9" i="363"/>
  <c r="AJ9" i="363" s="1"/>
  <c r="AI6" i="363"/>
  <c r="AJ6" i="363" s="1"/>
  <c r="AI14" i="363"/>
  <c r="AJ14" i="363" s="1"/>
  <c r="AI10" i="363"/>
  <c r="AJ10" i="363" s="1"/>
  <c r="AI15" i="363"/>
  <c r="AJ15" i="363" s="1"/>
  <c r="AI8" i="363"/>
  <c r="AJ8" i="363" s="1"/>
  <c r="AJ17" i="362"/>
  <c r="O17" i="363"/>
  <c r="U14" i="362"/>
  <c r="V14" i="362" s="1"/>
  <c r="U5" i="362"/>
  <c r="V5" i="362" s="1"/>
  <c r="U15" i="362"/>
  <c r="V15" i="362" s="1"/>
  <c r="U7" i="362"/>
  <c r="V7" i="362" s="1"/>
  <c r="U9" i="362"/>
  <c r="V9" i="362" s="1"/>
  <c r="U13" i="362"/>
  <c r="V13" i="362" s="1"/>
  <c r="U10" i="362"/>
  <c r="V10" i="362" s="1"/>
  <c r="U11" i="362"/>
  <c r="V11" i="362" s="1"/>
  <c r="U12" i="362"/>
  <c r="V12" i="362" s="1"/>
  <c r="U8" i="362"/>
  <c r="V8" i="362" s="1"/>
  <c r="U6" i="362"/>
  <c r="V6" i="362" s="1"/>
  <c r="BD15" i="363"/>
  <c r="BE15" i="363" s="1"/>
  <c r="BD11" i="363"/>
  <c r="BE11" i="363" s="1"/>
  <c r="BD12" i="363"/>
  <c r="BE12" i="363" s="1"/>
  <c r="BD13" i="363"/>
  <c r="BE13" i="363" s="1"/>
  <c r="BD9" i="363"/>
  <c r="BE9" i="363" s="1"/>
  <c r="BD10" i="363"/>
  <c r="BE10" i="363" s="1"/>
  <c r="BD6" i="363"/>
  <c r="BE6" i="363" s="1"/>
  <c r="BD7" i="363"/>
  <c r="BE7" i="363" s="1"/>
  <c r="BD5" i="363"/>
  <c r="BD8" i="363"/>
  <c r="BE8" i="363" s="1"/>
  <c r="BD14" i="363"/>
  <c r="BE14" i="363" s="1"/>
  <c r="CA11" i="362"/>
  <c r="CB11" i="362" s="1"/>
  <c r="CA13" i="362"/>
  <c r="CB13" i="362" s="1"/>
  <c r="CA10" i="362"/>
  <c r="CB10" i="362" s="1"/>
  <c r="CA15" i="362"/>
  <c r="CB15" i="362" s="1"/>
  <c r="CA6" i="362"/>
  <c r="CB6" i="362" s="1"/>
  <c r="CA12" i="362"/>
  <c r="CB12" i="362" s="1"/>
  <c r="CA9" i="362"/>
  <c r="CB9" i="362" s="1"/>
  <c r="H17" i="363"/>
  <c r="AC17" i="363"/>
  <c r="BL17" i="363"/>
  <c r="J15" i="364"/>
  <c r="K15" i="364" s="1"/>
  <c r="J7" i="364"/>
  <c r="K7" i="364" s="1"/>
  <c r="J11" i="364"/>
  <c r="K11" i="364" s="1"/>
  <c r="J8" i="364"/>
  <c r="K8" i="364" s="1"/>
  <c r="J12" i="364"/>
  <c r="K12" i="364" s="1"/>
  <c r="J9" i="364"/>
  <c r="K9" i="364" s="1"/>
  <c r="J6" i="364"/>
  <c r="K6" i="364" s="1"/>
  <c r="K17" i="364" s="1"/>
  <c r="J10" i="364"/>
  <c r="K10" i="364" s="1"/>
  <c r="J14" i="364"/>
  <c r="K14" i="364" s="1"/>
  <c r="J13" i="364"/>
  <c r="K13" i="364" s="1"/>
  <c r="BZ17" i="363"/>
  <c r="H17" i="362"/>
  <c r="BM11" i="363" l="1"/>
  <c r="BN11" i="363" s="1"/>
  <c r="BM13" i="363"/>
  <c r="BN13" i="363" s="1"/>
  <c r="BM9" i="363"/>
  <c r="BN9" i="363" s="1"/>
  <c r="BM12" i="363"/>
  <c r="BN12" i="363" s="1"/>
  <c r="BM14" i="363"/>
  <c r="BN14" i="363" s="1"/>
  <c r="BM15" i="363"/>
  <c r="BN15" i="363" s="1"/>
  <c r="BM7" i="363"/>
  <c r="BN7" i="363" s="1"/>
  <c r="BM6" i="363"/>
  <c r="BN6" i="363" s="1"/>
  <c r="BM10" i="363"/>
  <c r="BN10" i="363" s="1"/>
  <c r="BM8" i="363"/>
  <c r="BN8" i="363" s="1"/>
  <c r="BM5" i="363"/>
  <c r="BN5" i="363" s="1"/>
  <c r="P13" i="363"/>
  <c r="Q13" i="363" s="1"/>
  <c r="P6" i="363"/>
  <c r="Q6" i="363" s="1"/>
  <c r="P8" i="363"/>
  <c r="Q8" i="363" s="1"/>
  <c r="P11" i="363"/>
  <c r="Q11" i="363" s="1"/>
  <c r="P15" i="363"/>
  <c r="Q15" i="363" s="1"/>
  <c r="P12" i="363"/>
  <c r="Q12" i="363" s="1"/>
  <c r="P9" i="363"/>
  <c r="Q9" i="363" s="1"/>
  <c r="P14" i="363"/>
  <c r="Q14" i="363" s="1"/>
  <c r="P7" i="363"/>
  <c r="Q7" i="363" s="1"/>
  <c r="P10" i="363"/>
  <c r="Q10" i="363" s="1"/>
  <c r="P5" i="363"/>
  <c r="Q5" i="363" s="1"/>
  <c r="BT9" i="363"/>
  <c r="BU9" i="363" s="1"/>
  <c r="BT11" i="363"/>
  <c r="BU11" i="363" s="1"/>
  <c r="AD8" i="363"/>
  <c r="AE8" i="363" s="1"/>
  <c r="AD15" i="363"/>
  <c r="AE15" i="363" s="1"/>
  <c r="AD12" i="363"/>
  <c r="AE12" i="363" s="1"/>
  <c r="AD7" i="363"/>
  <c r="AE7" i="363" s="1"/>
  <c r="AD14" i="363"/>
  <c r="AE14" i="363" s="1"/>
  <c r="AD10" i="363"/>
  <c r="AE10" i="363" s="1"/>
  <c r="AD6" i="363"/>
  <c r="AE6" i="363" s="1"/>
  <c r="AK15" i="362"/>
  <c r="AL15" i="362" s="1"/>
  <c r="AK5" i="362"/>
  <c r="AL5" i="362" s="1"/>
  <c r="AK13" i="362"/>
  <c r="AL13" i="362" s="1"/>
  <c r="AK9" i="362"/>
  <c r="AL9" i="362" s="1"/>
  <c r="AK7" i="362"/>
  <c r="AL7" i="362" s="1"/>
  <c r="AK6" i="362"/>
  <c r="AL6" i="362" s="1"/>
  <c r="AK11" i="362"/>
  <c r="AL11" i="362" s="1"/>
  <c r="AK12" i="362"/>
  <c r="AL12" i="362" s="1"/>
  <c r="AK8" i="362"/>
  <c r="AL8" i="362" s="1"/>
  <c r="AK10" i="362"/>
  <c r="AL10" i="362" s="1"/>
  <c r="AK14" i="362"/>
  <c r="AL14" i="362" s="1"/>
  <c r="AJ17" i="363"/>
  <c r="AC17" i="362"/>
  <c r="AY12" i="363"/>
  <c r="AZ12" i="363" s="1"/>
  <c r="AY8" i="363"/>
  <c r="AZ8" i="363" s="1"/>
  <c r="AY15" i="363"/>
  <c r="AZ15" i="363" s="1"/>
  <c r="AY13" i="363"/>
  <c r="AZ13" i="363" s="1"/>
  <c r="AY7" i="363"/>
  <c r="AZ7" i="363" s="1"/>
  <c r="AY14" i="363"/>
  <c r="AZ14" i="363" s="1"/>
  <c r="AY6" i="363"/>
  <c r="AZ6" i="363" s="1"/>
  <c r="AY9" i="363"/>
  <c r="AZ9" i="363" s="1"/>
  <c r="AY10" i="363"/>
  <c r="AZ10" i="363" s="1"/>
  <c r="AY11" i="363"/>
  <c r="AZ11" i="363" s="1"/>
  <c r="P10" i="362"/>
  <c r="Q10" i="362" s="1"/>
  <c r="P13" i="362"/>
  <c r="Q13" i="362" s="1"/>
  <c r="P14" i="362"/>
  <c r="Q14" i="362" s="1"/>
  <c r="P9" i="362"/>
  <c r="Q9" i="362" s="1"/>
  <c r="P6" i="362"/>
  <c r="Q6" i="362" s="1"/>
  <c r="P8" i="362"/>
  <c r="Q8" i="362" s="1"/>
  <c r="P7" i="362"/>
  <c r="Q7" i="362" s="1"/>
  <c r="P15" i="362"/>
  <c r="Q15" i="362" s="1"/>
  <c r="P5" i="362"/>
  <c r="Q5" i="362" s="1"/>
  <c r="P11" i="362"/>
  <c r="Q11" i="362" s="1"/>
  <c r="P12" i="362"/>
  <c r="Q12" i="362" s="1"/>
  <c r="I11" i="362"/>
  <c r="J11" i="362" s="1"/>
  <c r="I12" i="362"/>
  <c r="J12" i="362" s="1"/>
  <c r="I8" i="362"/>
  <c r="J8" i="362" s="1"/>
  <c r="I7" i="362"/>
  <c r="J7" i="362" s="1"/>
  <c r="I6" i="362"/>
  <c r="J6" i="362" s="1"/>
  <c r="I15" i="362"/>
  <c r="J15" i="362" s="1"/>
  <c r="I14" i="362"/>
  <c r="J14" i="362" s="1"/>
  <c r="I10" i="362"/>
  <c r="J10" i="362" s="1"/>
  <c r="I5" i="362"/>
  <c r="J5" i="362" s="1"/>
  <c r="I13" i="362"/>
  <c r="J13" i="362" s="1"/>
  <c r="I9" i="362"/>
  <c r="J9" i="362" s="1"/>
  <c r="CB17" i="362"/>
  <c r="V17" i="363"/>
  <c r="BM12" i="362"/>
  <c r="BN12" i="362" s="1"/>
  <c r="BM11" i="362"/>
  <c r="BN11" i="362" s="1"/>
  <c r="BM8" i="362"/>
  <c r="BN8" i="362" s="1"/>
  <c r="BM5" i="362"/>
  <c r="BN5" i="362" s="1"/>
  <c r="BM9" i="362"/>
  <c r="BN9" i="362" s="1"/>
  <c r="BM6" i="362"/>
  <c r="BN6" i="362" s="1"/>
  <c r="BM7" i="362"/>
  <c r="BN7" i="362" s="1"/>
  <c r="BM10" i="362"/>
  <c r="BN10" i="362" s="1"/>
  <c r="BM14" i="362"/>
  <c r="BN14" i="362" s="1"/>
  <c r="BM13" i="362"/>
  <c r="BN13" i="362" s="1"/>
  <c r="BM15" i="362"/>
  <c r="BN15" i="362" s="1"/>
  <c r="I11" i="363"/>
  <c r="J11" i="363" s="1"/>
  <c r="I15" i="363"/>
  <c r="J15" i="363" s="1"/>
  <c r="I8" i="363"/>
  <c r="J8" i="363" s="1"/>
  <c r="I13" i="363"/>
  <c r="J13" i="363" s="1"/>
  <c r="I12" i="363"/>
  <c r="J12" i="363" s="1"/>
  <c r="I14" i="363"/>
  <c r="J14" i="363" s="1"/>
  <c r="I6" i="363"/>
  <c r="J6" i="363" s="1"/>
  <c r="I7" i="363"/>
  <c r="J7" i="363" s="1"/>
  <c r="I9" i="363"/>
  <c r="J9" i="363" s="1"/>
  <c r="I10" i="363"/>
  <c r="J10" i="363" s="1"/>
  <c r="I5" i="363"/>
  <c r="J5" i="363" s="1"/>
  <c r="BF9" i="362"/>
  <c r="BG9" i="362" s="1"/>
  <c r="BF13" i="362"/>
  <c r="BG13" i="362" s="1"/>
  <c r="BF7" i="362"/>
  <c r="BG7" i="362" s="1"/>
  <c r="BF15" i="362"/>
  <c r="BG15" i="362" s="1"/>
  <c r="BF11" i="362"/>
  <c r="BG11" i="362" s="1"/>
  <c r="BF8" i="362"/>
  <c r="BG8" i="362" s="1"/>
  <c r="BF10" i="362"/>
  <c r="BG10" i="362" s="1"/>
  <c r="BF12" i="362"/>
  <c r="BG12" i="362" s="1"/>
  <c r="BF14" i="362"/>
  <c r="BG14" i="362" s="1"/>
  <c r="BF6" i="362"/>
  <c r="BG6" i="362" s="1"/>
  <c r="AZ17" i="362"/>
  <c r="CA6" i="363"/>
  <c r="CB6" i="363" s="1"/>
  <c r="CB17" i="363" s="1"/>
  <c r="CA10" i="363"/>
  <c r="CB10" i="363" s="1"/>
  <c r="CA12" i="363"/>
  <c r="CB12" i="363" s="1"/>
  <c r="CA13" i="363"/>
  <c r="CB13" i="363" s="1"/>
  <c r="CA11" i="363"/>
  <c r="CB11" i="363" s="1"/>
  <c r="CA9" i="363"/>
  <c r="CB9" i="363" s="1"/>
  <c r="CA15" i="363"/>
  <c r="CB15" i="363" s="1"/>
  <c r="BE17" i="363"/>
  <c r="V17" i="362"/>
  <c r="AQ17" i="363"/>
  <c r="AS17" i="362"/>
  <c r="BT9" i="362"/>
  <c r="BU9" i="362" s="1"/>
  <c r="BT11" i="362"/>
  <c r="BU11" i="362" s="1"/>
  <c r="BU17" i="362" l="1"/>
  <c r="BF13" i="363"/>
  <c r="BG13" i="363" s="1"/>
  <c r="BF8" i="363"/>
  <c r="BG8" i="363" s="1"/>
  <c r="BF9" i="363"/>
  <c r="BG9" i="363" s="1"/>
  <c r="BF12" i="363"/>
  <c r="BG12" i="363" s="1"/>
  <c r="BF7" i="363"/>
  <c r="BG7" i="363" s="1"/>
  <c r="BF15" i="363"/>
  <c r="BG15" i="363" s="1"/>
  <c r="BF14" i="363"/>
  <c r="BG14" i="363" s="1"/>
  <c r="BF6" i="363"/>
  <c r="BG6" i="363" s="1"/>
  <c r="BF11" i="363"/>
  <c r="BG11" i="363" s="1"/>
  <c r="BF10" i="363"/>
  <c r="BG10" i="363" s="1"/>
  <c r="Q17" i="362"/>
  <c r="AE17" i="363"/>
  <c r="BU17" i="363"/>
  <c r="Q17" i="363"/>
  <c r="BG17" i="362"/>
  <c r="J17" i="363"/>
  <c r="AD15" i="362"/>
  <c r="AE15" i="362" s="1"/>
  <c r="AD8" i="362"/>
  <c r="AE8" i="362" s="1"/>
  <c r="AD12" i="362"/>
  <c r="AE12" i="362" s="1"/>
  <c r="AD7" i="362"/>
  <c r="AE7" i="362" s="1"/>
  <c r="AD6" i="362"/>
  <c r="AE6" i="362" s="1"/>
  <c r="AD14" i="362"/>
  <c r="AE14" i="362" s="1"/>
  <c r="AD10" i="362"/>
  <c r="AE10" i="362" s="1"/>
  <c r="AZ17" i="363"/>
  <c r="AK13" i="363"/>
  <c r="AL13" i="363" s="1"/>
  <c r="AK9" i="363"/>
  <c r="AL9" i="363" s="1"/>
  <c r="AK6" i="363"/>
  <c r="AL6" i="363" s="1"/>
  <c r="AK5" i="363"/>
  <c r="AL5" i="363" s="1"/>
  <c r="AK10" i="363"/>
  <c r="AL10" i="363" s="1"/>
  <c r="AK15" i="363"/>
  <c r="AL15" i="363" s="1"/>
  <c r="AK11" i="363"/>
  <c r="AL11" i="363" s="1"/>
  <c r="AK14" i="363"/>
  <c r="AL14" i="363" s="1"/>
  <c r="AK7" i="363"/>
  <c r="AL7" i="363" s="1"/>
  <c r="AK8" i="363"/>
  <c r="AL8" i="363" s="1"/>
  <c r="AK12" i="363"/>
  <c r="AL12" i="363" s="1"/>
  <c r="BN17" i="363"/>
  <c r="W14" i="362"/>
  <c r="X14" i="362" s="1"/>
  <c r="W7" i="362"/>
  <c r="X7" i="362" s="1"/>
  <c r="W11" i="362"/>
  <c r="X11" i="362" s="1"/>
  <c r="W12" i="362"/>
  <c r="X12" i="362" s="1"/>
  <c r="W8" i="362"/>
  <c r="X8" i="362" s="1"/>
  <c r="W15" i="362"/>
  <c r="X15" i="362" s="1"/>
  <c r="W9" i="362"/>
  <c r="X9" i="362" s="1"/>
  <c r="W13" i="362"/>
  <c r="X13" i="362" s="1"/>
  <c r="W10" i="362"/>
  <c r="X10" i="362" s="1"/>
  <c r="W6" i="362"/>
  <c r="X6" i="362" s="1"/>
  <c r="W5" i="362"/>
  <c r="X5" i="362" s="1"/>
  <c r="W14" i="363"/>
  <c r="X14" i="363" s="1"/>
  <c r="W6" i="363"/>
  <c r="X6" i="363" s="1"/>
  <c r="W5" i="363"/>
  <c r="X5" i="363" s="1"/>
  <c r="W7" i="363"/>
  <c r="X7" i="363" s="1"/>
  <c r="W11" i="363"/>
  <c r="X11" i="363" s="1"/>
  <c r="W9" i="363"/>
  <c r="X9" i="363" s="1"/>
  <c r="W10" i="363"/>
  <c r="X10" i="363" s="1"/>
  <c r="W8" i="363"/>
  <c r="X8" i="363" s="1"/>
  <c r="W13" i="363"/>
  <c r="X13" i="363" s="1"/>
  <c r="W15" i="363"/>
  <c r="X15" i="363" s="1"/>
  <c r="W12" i="363"/>
  <c r="X12" i="363" s="1"/>
  <c r="BN17" i="362"/>
  <c r="J17" i="362"/>
  <c r="AR15" i="363"/>
  <c r="AS15" i="363" s="1"/>
  <c r="AR13" i="363"/>
  <c r="AS13" i="363" s="1"/>
  <c r="AR5" i="363"/>
  <c r="AS5" i="363" s="1"/>
  <c r="AR14" i="363"/>
  <c r="AS14" i="363" s="1"/>
  <c r="AR12" i="363"/>
  <c r="AS12" i="363" s="1"/>
  <c r="AR7" i="363"/>
  <c r="AS7" i="363" s="1"/>
  <c r="AR6" i="363"/>
  <c r="AS6" i="363" s="1"/>
  <c r="AR8" i="363"/>
  <c r="AS8" i="363" s="1"/>
  <c r="AR11" i="363"/>
  <c r="AS11" i="363" s="1"/>
  <c r="AR9" i="363"/>
  <c r="AS9" i="363" s="1"/>
  <c r="AR10" i="363"/>
  <c r="AS10" i="363" s="1"/>
  <c r="AL17" i="362"/>
  <c r="BG17" i="363" l="1"/>
  <c r="X17" i="362"/>
  <c r="AE17" i="362"/>
  <c r="AL17" i="363"/>
  <c r="AS17" i="363"/>
  <c r="X17" i="363"/>
  <c r="C70" i="44" l="1"/>
  <c r="C69" i="44"/>
  <c r="C68" i="44"/>
  <c r="C67" i="44"/>
  <c r="C64" i="44"/>
  <c r="C63" i="44"/>
  <c r="F57" i="44"/>
  <c r="D57" i="44"/>
  <c r="C57" i="44"/>
  <c r="F56" i="44"/>
  <c r="D56" i="44"/>
  <c r="C56" i="44"/>
  <c r="F55" i="44"/>
  <c r="D55" i="44"/>
  <c r="C55" i="44"/>
  <c r="F54" i="44"/>
  <c r="D54" i="44"/>
  <c r="C54" i="44"/>
  <c r="F53" i="44"/>
  <c r="D53" i="44"/>
  <c r="C53" i="44"/>
  <c r="F52" i="44"/>
  <c r="D52" i="44"/>
  <c r="C52" i="44"/>
  <c r="F43" i="44"/>
  <c r="D43" i="44"/>
  <c r="C43" i="44"/>
  <c r="C86" i="44" s="1"/>
  <c r="F42" i="44"/>
  <c r="D42" i="44"/>
  <c r="C42" i="44"/>
  <c r="C85" i="44" s="1"/>
  <c r="F41" i="44"/>
  <c r="D41" i="44"/>
  <c r="C41" i="44"/>
  <c r="C84" i="44" s="1"/>
  <c r="F40" i="44"/>
  <c r="D40" i="44"/>
  <c r="C40" i="44"/>
  <c r="C83" i="44" s="1"/>
  <c r="F39" i="44"/>
  <c r="D39" i="44"/>
  <c r="C39" i="44"/>
  <c r="C82" i="44" s="1"/>
  <c r="G38" i="44"/>
  <c r="D38" i="44"/>
  <c r="C38" i="44"/>
  <c r="C81" i="44" s="1"/>
  <c r="F37" i="44"/>
  <c r="D37" i="44"/>
  <c r="C37" i="44"/>
  <c r="C80" i="44" s="1"/>
  <c r="F34" i="44"/>
  <c r="D34" i="44"/>
  <c r="C34" i="44"/>
  <c r="C77" i="44" s="1"/>
  <c r="F33" i="44"/>
  <c r="D33" i="44"/>
  <c r="C33" i="44"/>
  <c r="C76" i="44" s="1"/>
  <c r="F24" i="44"/>
  <c r="D24" i="44"/>
  <c r="C24" i="44"/>
  <c r="F23" i="44"/>
  <c r="D23" i="44"/>
  <c r="C23" i="44"/>
  <c r="F22" i="44"/>
  <c r="D22" i="44"/>
  <c r="C22" i="44"/>
  <c r="F19" i="44"/>
  <c r="D19" i="44"/>
  <c r="C19" i="44"/>
  <c r="F18" i="44"/>
  <c r="D18" i="44"/>
  <c r="C18" i="44"/>
  <c r="C7" i="44"/>
  <c r="B3" i="329"/>
  <c r="C3" i="329"/>
  <c r="D3" i="329" s="1"/>
  <c r="E3" i="329" s="1"/>
  <c r="F3" i="329" s="1"/>
  <c r="G3" i="329" s="1"/>
  <c r="H3" i="329" s="1"/>
  <c r="I3" i="329" s="1"/>
  <c r="J3" i="329" s="1"/>
  <c r="K3" i="329" s="1"/>
  <c r="L3" i="329" s="1"/>
  <c r="M3" i="329" s="1"/>
  <c r="N3" i="329" s="1"/>
  <c r="O3" i="329" s="1"/>
  <c r="P3" i="329" s="1"/>
  <c r="Q3" i="329" s="1"/>
  <c r="R3" i="329" s="1"/>
  <c r="S3" i="329" s="1"/>
  <c r="T3" i="329" s="1"/>
  <c r="U3" i="329" s="1"/>
  <c r="D5" i="329"/>
  <c r="E5" i="329"/>
  <c r="H5" i="329"/>
  <c r="J5" i="329"/>
  <c r="K5" i="329"/>
  <c r="L5" i="329"/>
  <c r="M5" i="329"/>
  <c r="N5" i="329"/>
  <c r="O5" i="329"/>
  <c r="P5" i="329"/>
  <c r="Q5" i="329"/>
  <c r="R5" i="329"/>
  <c r="D6" i="329"/>
  <c r="E6" i="329"/>
  <c r="F6" i="329"/>
  <c r="G6" i="329"/>
  <c r="H6" i="329"/>
  <c r="J6" i="329"/>
  <c r="K6" i="329"/>
  <c r="L6" i="329"/>
  <c r="M6" i="329"/>
  <c r="N6" i="329"/>
  <c r="O6" i="329"/>
  <c r="P6" i="329"/>
  <c r="Q6" i="329"/>
  <c r="R6" i="329"/>
  <c r="D7" i="329"/>
  <c r="E7" i="329"/>
  <c r="F7" i="329"/>
  <c r="G7" i="329"/>
  <c r="H7" i="329"/>
  <c r="J7" i="329"/>
  <c r="K7" i="329"/>
  <c r="L7" i="329"/>
  <c r="M7" i="329"/>
  <c r="N7" i="329"/>
  <c r="O7" i="329"/>
  <c r="P7" i="329"/>
  <c r="Q7" i="329"/>
  <c r="R7" i="329"/>
  <c r="D8" i="329"/>
  <c r="E8" i="329"/>
  <c r="F8" i="329"/>
  <c r="G8" i="329"/>
  <c r="H8" i="329"/>
  <c r="J8" i="329"/>
  <c r="K8" i="329"/>
  <c r="L8" i="329"/>
  <c r="M8" i="329"/>
  <c r="N8" i="329"/>
  <c r="O8" i="329"/>
  <c r="P8" i="329"/>
  <c r="Q8" i="329"/>
  <c r="R8" i="329"/>
  <c r="D9" i="329"/>
  <c r="E9" i="329"/>
  <c r="F9" i="329"/>
  <c r="G9" i="329"/>
  <c r="H9" i="329"/>
  <c r="J9" i="329"/>
  <c r="K9" i="329"/>
  <c r="L9" i="329"/>
  <c r="M9" i="329"/>
  <c r="N9" i="329"/>
  <c r="O9" i="329"/>
  <c r="P9" i="329"/>
  <c r="Q9" i="329"/>
  <c r="R9" i="329"/>
  <c r="D10" i="329"/>
  <c r="E10" i="329"/>
  <c r="F10" i="329"/>
  <c r="G10" i="329"/>
  <c r="H10" i="329"/>
  <c r="J10" i="329"/>
  <c r="K10" i="329"/>
  <c r="L10" i="329"/>
  <c r="M10" i="329"/>
  <c r="N10" i="329"/>
  <c r="O10" i="329"/>
  <c r="P10" i="329"/>
  <c r="Q10" i="329"/>
  <c r="R10" i="329"/>
  <c r="D11" i="329"/>
  <c r="E11" i="329"/>
  <c r="F11" i="329"/>
  <c r="G11" i="329"/>
  <c r="H11" i="329"/>
  <c r="J11" i="329"/>
  <c r="K11" i="329"/>
  <c r="L11" i="329"/>
  <c r="M11" i="329"/>
  <c r="N11" i="329"/>
  <c r="O11" i="329"/>
  <c r="P11" i="329"/>
  <c r="Q11" i="329"/>
  <c r="R11" i="329"/>
  <c r="D12" i="329"/>
  <c r="E12" i="329"/>
  <c r="F12" i="329"/>
  <c r="G12" i="329"/>
  <c r="H12" i="329"/>
  <c r="J12" i="329"/>
  <c r="K12" i="329"/>
  <c r="L12" i="329"/>
  <c r="M12" i="329"/>
  <c r="N12" i="329"/>
  <c r="O12" i="329"/>
  <c r="P12" i="329"/>
  <c r="Q12" i="329"/>
  <c r="R12" i="329"/>
  <c r="D13" i="329"/>
  <c r="E13" i="329"/>
  <c r="F13" i="329"/>
  <c r="G13" i="329"/>
  <c r="H13" i="329"/>
  <c r="J13" i="329"/>
  <c r="K13" i="329"/>
  <c r="L13" i="329"/>
  <c r="M13" i="329"/>
  <c r="N13" i="329"/>
  <c r="O13" i="329"/>
  <c r="P13" i="329"/>
  <c r="Q13" i="329"/>
  <c r="R13" i="329"/>
  <c r="D14" i="329"/>
  <c r="E14" i="329"/>
  <c r="F14" i="329"/>
  <c r="G14" i="329"/>
  <c r="H14" i="329"/>
  <c r="J14" i="329"/>
  <c r="K14" i="329"/>
  <c r="L14" i="329"/>
  <c r="M14" i="329"/>
  <c r="N14" i="329"/>
  <c r="O14" i="329"/>
  <c r="P14" i="329"/>
  <c r="Q14" i="329"/>
  <c r="R14" i="329"/>
  <c r="D15" i="329"/>
  <c r="E15" i="329"/>
  <c r="F15" i="329"/>
  <c r="G15" i="329"/>
  <c r="H15" i="329"/>
  <c r="J15" i="329"/>
  <c r="K15" i="329"/>
  <c r="L15" i="329"/>
  <c r="M15" i="329"/>
  <c r="N15" i="329"/>
  <c r="O15" i="329"/>
  <c r="P15" i="329"/>
  <c r="Q15" i="329"/>
  <c r="R15" i="329"/>
  <c r="D17" i="329"/>
  <c r="E17" i="329"/>
  <c r="H17" i="329"/>
  <c r="J17" i="329"/>
  <c r="K17" i="329"/>
  <c r="L17" i="329"/>
  <c r="M17" i="329"/>
  <c r="N17" i="329"/>
  <c r="O17" i="329"/>
  <c r="Q17" i="329"/>
  <c r="R17" i="329"/>
  <c r="B3" i="328"/>
  <c r="C3" i="328"/>
  <c r="D3" i="328" s="1"/>
  <c r="E3" i="328" s="1"/>
  <c r="F3" i="328" s="1"/>
  <c r="G3" i="328" s="1"/>
  <c r="H3" i="328" s="1"/>
  <c r="I3" i="328" s="1"/>
  <c r="J3" i="328" s="1"/>
  <c r="K3" i="328" s="1"/>
  <c r="L3" i="328" s="1"/>
  <c r="M3" i="328" s="1"/>
  <c r="N3" i="328" s="1"/>
  <c r="O3" i="328" s="1"/>
  <c r="P3" i="328" s="1"/>
  <c r="Q3" i="328" s="1"/>
  <c r="R3" i="328" s="1"/>
  <c r="S3" i="328" s="1"/>
  <c r="T3" i="328" s="1"/>
  <c r="U3" i="328" s="1"/>
  <c r="V3" i="328" s="1"/>
  <c r="W3" i="328" s="1"/>
  <c r="X3" i="328" s="1"/>
  <c r="Y3" i="328" s="1"/>
  <c r="F5" i="328"/>
  <c r="C5" i="328" s="1"/>
  <c r="G5" i="328"/>
  <c r="G5" i="329" s="1"/>
  <c r="G17" i="329" s="1"/>
  <c r="I5" i="328"/>
  <c r="U5" i="328"/>
  <c r="I6" i="328"/>
  <c r="U6" i="328"/>
  <c r="C7" i="328"/>
  <c r="I7" i="328"/>
  <c r="U7" i="328"/>
  <c r="I8" i="328"/>
  <c r="U8" i="328"/>
  <c r="C9" i="328"/>
  <c r="I9" i="328"/>
  <c r="U9" i="328"/>
  <c r="I10" i="328"/>
  <c r="U10" i="328"/>
  <c r="C11" i="328"/>
  <c r="I11" i="328"/>
  <c r="U11" i="328"/>
  <c r="I12" i="328"/>
  <c r="U12" i="328"/>
  <c r="C13" i="328"/>
  <c r="I13" i="328"/>
  <c r="U13" i="328"/>
  <c r="I14" i="328"/>
  <c r="U14" i="328"/>
  <c r="U17" i="328" s="1"/>
  <c r="C15" i="328"/>
  <c r="I15" i="328"/>
  <c r="U15" i="328"/>
  <c r="D17" i="328"/>
  <c r="E17" i="328"/>
  <c r="F17" i="328"/>
  <c r="G17" i="328"/>
  <c r="H17" i="328"/>
  <c r="I17" i="328"/>
  <c r="J17" i="328"/>
  <c r="K17" i="328"/>
  <c r="L17" i="328"/>
  <c r="M17" i="328"/>
  <c r="N17" i="328"/>
  <c r="O17" i="328"/>
  <c r="P17" i="328"/>
  <c r="Q17" i="328"/>
  <c r="R17" i="328"/>
  <c r="X17" i="328"/>
  <c r="Y17" i="328"/>
  <c r="B3" i="327"/>
  <c r="C3" i="327" s="1"/>
  <c r="D3" i="327"/>
  <c r="E3" i="327" s="1"/>
  <c r="F3" i="327" s="1"/>
  <c r="G3" i="327" s="1"/>
  <c r="H3" i="327" s="1"/>
  <c r="I3" i="327" s="1"/>
  <c r="J3" i="327" s="1"/>
  <c r="K3" i="327" s="1"/>
  <c r="L3" i="327" s="1"/>
  <c r="M3" i="327" s="1"/>
  <c r="N3" i="327" s="1"/>
  <c r="O3" i="327" s="1"/>
  <c r="P3" i="327" s="1"/>
  <c r="Q3" i="327" s="1"/>
  <c r="R3" i="327" s="1"/>
  <c r="S3" i="327" s="1"/>
  <c r="T3" i="327" s="1"/>
  <c r="U3" i="327" s="1"/>
  <c r="V3" i="327" s="1"/>
  <c r="W3" i="327" s="1"/>
  <c r="X3" i="327" s="1"/>
  <c r="Y3" i="327" s="1"/>
  <c r="Z3" i="327" s="1"/>
  <c r="AA3" i="327" s="1"/>
  <c r="AB3" i="327" s="1"/>
  <c r="AC3" i="327" s="1"/>
  <c r="AD3" i="327" s="1"/>
  <c r="AE3" i="327" s="1"/>
  <c r="AF3" i="327" s="1"/>
  <c r="AG3" i="327" s="1"/>
  <c r="AH3" i="327" s="1"/>
  <c r="AI3" i="327" s="1"/>
  <c r="AJ3" i="327" s="1"/>
  <c r="AK3" i="327" s="1"/>
  <c r="AL3" i="327" s="1"/>
  <c r="AM3" i="327" s="1"/>
  <c r="J5" i="327"/>
  <c r="K5" i="327"/>
  <c r="L5" i="327"/>
  <c r="M5" i="327"/>
  <c r="N5" i="327"/>
  <c r="P5" i="327"/>
  <c r="Q5" i="327"/>
  <c r="R5" i="327"/>
  <c r="S5" i="327"/>
  <c r="T5" i="327"/>
  <c r="U5" i="327"/>
  <c r="V5" i="327"/>
  <c r="W5" i="327"/>
  <c r="X5" i="327"/>
  <c r="Z5" i="327"/>
  <c r="AA5" i="327"/>
  <c r="AB5" i="327"/>
  <c r="AC5" i="327"/>
  <c r="AD5" i="327"/>
  <c r="AF5" i="327"/>
  <c r="AG5" i="327"/>
  <c r="AH5" i="327"/>
  <c r="AI5" i="327"/>
  <c r="AJ5" i="327"/>
  <c r="AK5" i="327"/>
  <c r="AL5" i="327"/>
  <c r="AM5" i="327"/>
  <c r="J6" i="327"/>
  <c r="K6" i="327"/>
  <c r="L6" i="327"/>
  <c r="M6" i="327"/>
  <c r="N6" i="327"/>
  <c r="P6" i="327"/>
  <c r="Q6" i="327"/>
  <c r="R6" i="327"/>
  <c r="S6" i="327"/>
  <c r="T6" i="327"/>
  <c r="U6" i="327"/>
  <c r="V6" i="327"/>
  <c r="W6" i="327"/>
  <c r="X6" i="327"/>
  <c r="Z6" i="327"/>
  <c r="AA6" i="327"/>
  <c r="AB6" i="327"/>
  <c r="AC6" i="327"/>
  <c r="AD6" i="327"/>
  <c r="AF6" i="327"/>
  <c r="AG6" i="327"/>
  <c r="AH6" i="327"/>
  <c r="AI6" i="327"/>
  <c r="AJ6" i="327"/>
  <c r="AK6" i="327"/>
  <c r="AL6" i="327"/>
  <c r="AM6" i="327"/>
  <c r="J7" i="327"/>
  <c r="K7" i="327"/>
  <c r="L7" i="327"/>
  <c r="M7" i="327"/>
  <c r="N7" i="327"/>
  <c r="P7" i="327"/>
  <c r="Q7" i="327"/>
  <c r="R7" i="327"/>
  <c r="S7" i="327"/>
  <c r="T7" i="327"/>
  <c r="U7" i="327"/>
  <c r="V7" i="327"/>
  <c r="W7" i="327"/>
  <c r="X7" i="327"/>
  <c r="Z7" i="327"/>
  <c r="AA7" i="327"/>
  <c r="AB7" i="327"/>
  <c r="AC7" i="327"/>
  <c r="AD7" i="327"/>
  <c r="AF7" i="327"/>
  <c r="AG7" i="327"/>
  <c r="AH7" i="327"/>
  <c r="AI7" i="327"/>
  <c r="AJ7" i="327"/>
  <c r="AK7" i="327"/>
  <c r="AL7" i="327"/>
  <c r="AM7" i="327"/>
  <c r="J8" i="327"/>
  <c r="K8" i="327"/>
  <c r="L8" i="327"/>
  <c r="M8" i="327"/>
  <c r="N8" i="327"/>
  <c r="P8" i="327"/>
  <c r="Q8" i="327"/>
  <c r="R8" i="327"/>
  <c r="S8" i="327"/>
  <c r="T8" i="327"/>
  <c r="U8" i="327"/>
  <c r="V8" i="327"/>
  <c r="W8" i="327"/>
  <c r="X8" i="327"/>
  <c r="Z8" i="327"/>
  <c r="AA8" i="327"/>
  <c r="AB8" i="327"/>
  <c r="AC8" i="327"/>
  <c r="AD8" i="327"/>
  <c r="AF8" i="327"/>
  <c r="AG8" i="327"/>
  <c r="AH8" i="327"/>
  <c r="AI8" i="327"/>
  <c r="AJ8" i="327"/>
  <c r="AK8" i="327"/>
  <c r="AL8" i="327"/>
  <c r="AM8" i="327"/>
  <c r="J9" i="327"/>
  <c r="K9" i="327"/>
  <c r="L9" i="327"/>
  <c r="M9" i="327"/>
  <c r="N9" i="327"/>
  <c r="P9" i="327"/>
  <c r="Q9" i="327"/>
  <c r="R9" i="327"/>
  <c r="S9" i="327"/>
  <c r="T9" i="327"/>
  <c r="U9" i="327"/>
  <c r="V9" i="327"/>
  <c r="W9" i="327"/>
  <c r="X9" i="327"/>
  <c r="Z9" i="327"/>
  <c r="AA9" i="327"/>
  <c r="AB9" i="327"/>
  <c r="AC9" i="327"/>
  <c r="AD9" i="327"/>
  <c r="AF9" i="327"/>
  <c r="AG9" i="327"/>
  <c r="AH9" i="327"/>
  <c r="AI9" i="327"/>
  <c r="AJ9" i="327"/>
  <c r="AK9" i="327"/>
  <c r="AL9" i="327"/>
  <c r="AM9" i="327"/>
  <c r="J10" i="327"/>
  <c r="K10" i="327"/>
  <c r="L10" i="327"/>
  <c r="M10" i="327"/>
  <c r="N10" i="327"/>
  <c r="P10" i="327"/>
  <c r="Q10" i="327"/>
  <c r="R10" i="327"/>
  <c r="S10" i="327"/>
  <c r="T10" i="327"/>
  <c r="U10" i="327"/>
  <c r="V10" i="327"/>
  <c r="W10" i="327"/>
  <c r="X10" i="327"/>
  <c r="Z10" i="327"/>
  <c r="AA10" i="327"/>
  <c r="AB10" i="327"/>
  <c r="AC10" i="327"/>
  <c r="AD10" i="327"/>
  <c r="AF10" i="327"/>
  <c r="AG10" i="327"/>
  <c r="AH10" i="327"/>
  <c r="AI10" i="327"/>
  <c r="AJ10" i="327"/>
  <c r="AK10" i="327"/>
  <c r="AL10" i="327"/>
  <c r="AM10" i="327"/>
  <c r="J11" i="327"/>
  <c r="K11" i="327"/>
  <c r="L11" i="327"/>
  <c r="M11" i="327"/>
  <c r="N11" i="327"/>
  <c r="P11" i="327"/>
  <c r="Q11" i="327"/>
  <c r="R11" i="327"/>
  <c r="S11" i="327"/>
  <c r="T11" i="327"/>
  <c r="U11" i="327"/>
  <c r="V11" i="327"/>
  <c r="W11" i="327"/>
  <c r="X11" i="327"/>
  <c r="Z11" i="327"/>
  <c r="AA11" i="327"/>
  <c r="AB11" i="327"/>
  <c r="AC11" i="327"/>
  <c r="AD11" i="327"/>
  <c r="AF11" i="327"/>
  <c r="AG11" i="327"/>
  <c r="AH11" i="327"/>
  <c r="AI11" i="327"/>
  <c r="AJ11" i="327"/>
  <c r="AK11" i="327"/>
  <c r="AL11" i="327"/>
  <c r="AM11" i="327"/>
  <c r="J12" i="327"/>
  <c r="K12" i="327"/>
  <c r="L12" i="327"/>
  <c r="M12" i="327"/>
  <c r="N12" i="327"/>
  <c r="P12" i="327"/>
  <c r="Q12" i="327"/>
  <c r="R12" i="327"/>
  <c r="S12" i="327"/>
  <c r="T12" i="327"/>
  <c r="U12" i="327"/>
  <c r="V12" i="327"/>
  <c r="W12" i="327"/>
  <c r="X12" i="327"/>
  <c r="Z12" i="327"/>
  <c r="AA12" i="327"/>
  <c r="AB12" i="327"/>
  <c r="AC12" i="327"/>
  <c r="AD12" i="327"/>
  <c r="AF12" i="327"/>
  <c r="AG12" i="327"/>
  <c r="AH12" i="327"/>
  <c r="AI12" i="327"/>
  <c r="AJ12" i="327"/>
  <c r="AK12" i="327"/>
  <c r="AL12" i="327"/>
  <c r="AM12" i="327"/>
  <c r="J13" i="327"/>
  <c r="K13" i="327"/>
  <c r="L13" i="327"/>
  <c r="M13" i="327"/>
  <c r="N13" i="327"/>
  <c r="P13" i="327"/>
  <c r="Q13" i="327"/>
  <c r="R13" i="327"/>
  <c r="S13" i="327"/>
  <c r="T13" i="327"/>
  <c r="U13" i="327"/>
  <c r="V13" i="327"/>
  <c r="W13" i="327"/>
  <c r="X13" i="327"/>
  <c r="Z13" i="327"/>
  <c r="AA13" i="327"/>
  <c r="AB13" i="327"/>
  <c r="AC13" i="327"/>
  <c r="AD13" i="327"/>
  <c r="AF13" i="327"/>
  <c r="AG13" i="327"/>
  <c r="AH13" i="327"/>
  <c r="AI13" i="327"/>
  <c r="AJ13" i="327"/>
  <c r="AK13" i="327"/>
  <c r="AL13" i="327"/>
  <c r="AM13" i="327"/>
  <c r="J14" i="327"/>
  <c r="K14" i="327"/>
  <c r="L14" i="327"/>
  <c r="M14" i="327"/>
  <c r="N14" i="327"/>
  <c r="P14" i="327"/>
  <c r="Q14" i="327"/>
  <c r="R14" i="327"/>
  <c r="S14" i="327"/>
  <c r="T14" i="327"/>
  <c r="U14" i="327"/>
  <c r="V14" i="327"/>
  <c r="W14" i="327"/>
  <c r="X14" i="327"/>
  <c r="Z14" i="327"/>
  <c r="AA14" i="327"/>
  <c r="AB14" i="327"/>
  <c r="AC14" i="327"/>
  <c r="AD14" i="327"/>
  <c r="AF14" i="327"/>
  <c r="AG14" i="327"/>
  <c r="AH14" i="327"/>
  <c r="AI14" i="327"/>
  <c r="AJ14" i="327"/>
  <c r="AK14" i="327"/>
  <c r="AL14" i="327"/>
  <c r="AM14" i="327"/>
  <c r="J15" i="327"/>
  <c r="K15" i="327"/>
  <c r="L15" i="327"/>
  <c r="M15" i="327"/>
  <c r="N15" i="327"/>
  <c r="P15" i="327"/>
  <c r="Q15" i="327"/>
  <c r="R15" i="327"/>
  <c r="S15" i="327"/>
  <c r="T15" i="327"/>
  <c r="U15" i="327"/>
  <c r="V15" i="327"/>
  <c r="W15" i="327"/>
  <c r="X15" i="327"/>
  <c r="Z15" i="327"/>
  <c r="AA15" i="327"/>
  <c r="AB15" i="327"/>
  <c r="AC15" i="327"/>
  <c r="AD15" i="327"/>
  <c r="AF15" i="327"/>
  <c r="AG15" i="327"/>
  <c r="AH15" i="327"/>
  <c r="AI15" i="327"/>
  <c r="AJ15" i="327"/>
  <c r="AK15" i="327"/>
  <c r="AL15" i="327"/>
  <c r="AM15" i="327"/>
  <c r="C17" i="327"/>
  <c r="B3" i="326"/>
  <c r="C3" i="326"/>
  <c r="D3" i="326"/>
  <c r="E3" i="326" s="1"/>
  <c r="F3" i="326" s="1"/>
  <c r="G3" i="326" s="1"/>
  <c r="H3" i="326" s="1"/>
  <c r="I3" i="326" s="1"/>
  <c r="J3" i="326" s="1"/>
  <c r="K3" i="326" s="1"/>
  <c r="L3" i="326" s="1"/>
  <c r="M3" i="326" s="1"/>
  <c r="C5" i="326"/>
  <c r="C6" i="326"/>
  <c r="C17" i="326" s="1"/>
  <c r="C7" i="326"/>
  <c r="C8" i="326"/>
  <c r="C9" i="326"/>
  <c r="C10" i="326"/>
  <c r="C11" i="326"/>
  <c r="C12" i="326"/>
  <c r="C13" i="326"/>
  <c r="C14" i="326"/>
  <c r="C15" i="326"/>
  <c r="B3" i="325"/>
  <c r="C3" i="325" s="1"/>
  <c r="D3" i="325" s="1"/>
  <c r="E3" i="325" s="1"/>
  <c r="F3" i="325" s="1"/>
  <c r="G3" i="325" s="1"/>
  <c r="H3" i="325" s="1"/>
  <c r="I3" i="325" s="1"/>
  <c r="J3" i="325" s="1"/>
  <c r="K3" i="325" s="1"/>
  <c r="C5" i="325"/>
  <c r="C6" i="325"/>
  <c r="C7" i="325"/>
  <c r="C8" i="325"/>
  <c r="C9" i="325"/>
  <c r="C10" i="325"/>
  <c r="C11" i="325"/>
  <c r="C12" i="325"/>
  <c r="C13" i="325"/>
  <c r="C14" i="325"/>
  <c r="C15" i="325"/>
  <c r="B3" i="324"/>
  <c r="C3" i="324" s="1"/>
  <c r="D3" i="324" s="1"/>
  <c r="E3" i="324" s="1"/>
  <c r="F3" i="324" s="1"/>
  <c r="G3" i="324" s="1"/>
  <c r="H3" i="324" s="1"/>
  <c r="I3" i="324"/>
  <c r="J3" i="324" s="1"/>
  <c r="K3" i="324" s="1"/>
  <c r="L3" i="324" s="1"/>
  <c r="M3" i="324" s="1"/>
  <c r="N3" i="324" s="1"/>
  <c r="O3" i="324" s="1"/>
  <c r="P3" i="324" s="1"/>
  <c r="Q3" i="324" s="1"/>
  <c r="R3" i="324" s="1"/>
  <c r="S3" i="324" s="1"/>
  <c r="T3" i="324" s="1"/>
  <c r="U3" i="324" s="1"/>
  <c r="V3" i="324" s="1"/>
  <c r="W3" i="324" s="1"/>
  <c r="X3" i="324" s="1"/>
  <c r="Y3" i="324" s="1"/>
  <c r="Z3" i="324" s="1"/>
  <c r="AA3" i="324" s="1"/>
  <c r="AB3" i="324" s="1"/>
  <c r="AC3" i="324" s="1"/>
  <c r="AD3" i="324" s="1"/>
  <c r="AE3" i="324" s="1"/>
  <c r="AF3" i="324" s="1"/>
  <c r="AG3" i="324" s="1"/>
  <c r="AH3" i="324" s="1"/>
  <c r="AI3" i="324" s="1"/>
  <c r="AJ3" i="324" s="1"/>
  <c r="AK3" i="324" s="1"/>
  <c r="AL3" i="324" s="1"/>
  <c r="AM3" i="324" s="1"/>
  <c r="AN3" i="324" s="1"/>
  <c r="AO3" i="324" s="1"/>
  <c r="AP3" i="324" s="1"/>
  <c r="AQ3" i="324" s="1"/>
  <c r="AR3" i="324" s="1"/>
  <c r="AS3" i="324" s="1"/>
  <c r="AT3" i="324" s="1"/>
  <c r="AU3" i="324" s="1"/>
  <c r="AV3" i="324" s="1"/>
  <c r="AW3" i="324" s="1"/>
  <c r="AX3" i="324" s="1"/>
  <c r="AY3" i="324" s="1"/>
  <c r="AZ3" i="324" s="1"/>
  <c r="BA3" i="324" s="1"/>
  <c r="BB3" i="324" s="1"/>
  <c r="BC3" i="324" s="1"/>
  <c r="BD3" i="324" s="1"/>
  <c r="BE3" i="324" s="1"/>
  <c r="BF3" i="324" s="1"/>
  <c r="BG3" i="324" s="1"/>
  <c r="BH3" i="324" s="1"/>
  <c r="BI3" i="324" s="1"/>
  <c r="BJ3" i="324" s="1"/>
  <c r="BK3" i="324" s="1"/>
  <c r="BL3" i="324" s="1"/>
  <c r="BM3" i="324" s="1"/>
  <c r="BN3" i="324" s="1"/>
  <c r="C5" i="324"/>
  <c r="K5" i="324"/>
  <c r="L5" i="324"/>
  <c r="O5" i="324" s="1"/>
  <c r="P5" i="324"/>
  <c r="Q5" i="324" s="1"/>
  <c r="S5" i="324"/>
  <c r="Y5" i="324"/>
  <c r="Z5" i="324"/>
  <c r="AC5" i="324"/>
  <c r="AD5" i="324"/>
  <c r="AE5" i="324" s="1"/>
  <c r="AN5" i="324"/>
  <c r="AT5" i="324"/>
  <c r="AU5" i="324"/>
  <c r="AX5" i="324" s="1"/>
  <c r="AY5" i="324"/>
  <c r="AZ5" i="324" s="1"/>
  <c r="BB5" i="324"/>
  <c r="BI5" i="324"/>
  <c r="BO5" i="324"/>
  <c r="BP5" i="324"/>
  <c r="BS5" i="324" s="1"/>
  <c r="BT5" i="324"/>
  <c r="BU5" i="324" s="1"/>
  <c r="BV5" i="324"/>
  <c r="BW5" i="324"/>
  <c r="CA5" i="324" s="1"/>
  <c r="CB5" i="324" s="1"/>
  <c r="C6" i="324"/>
  <c r="E6" i="324"/>
  <c r="L6" i="324"/>
  <c r="S6" i="324"/>
  <c r="Z6" i="324"/>
  <c r="AG6" i="324"/>
  <c r="AN6" i="324"/>
  <c r="AU6" i="324"/>
  <c r="BB6" i="324"/>
  <c r="BI6" i="324"/>
  <c r="BO6" i="324"/>
  <c r="BP6" i="324"/>
  <c r="BS6" i="324"/>
  <c r="BT6" i="324"/>
  <c r="BU6" i="324" s="1"/>
  <c r="BW6" i="324"/>
  <c r="C7" i="324"/>
  <c r="E7" i="324"/>
  <c r="L7" i="324"/>
  <c r="S7" i="324"/>
  <c r="Z7" i="324"/>
  <c r="AG7" i="324"/>
  <c r="AN7" i="324"/>
  <c r="AU7" i="324"/>
  <c r="BB7" i="324"/>
  <c r="BI7" i="324"/>
  <c r="BO7" i="324"/>
  <c r="BP7" i="324"/>
  <c r="BT7" i="324"/>
  <c r="BU7" i="324"/>
  <c r="BV7" i="324"/>
  <c r="BW7" i="324"/>
  <c r="BZ7" i="324"/>
  <c r="CA7" i="324"/>
  <c r="CB7" i="324"/>
  <c r="C8" i="324"/>
  <c r="S8" i="324"/>
  <c r="S17" i="324" s="1"/>
  <c r="BO8" i="324"/>
  <c r="BP8" i="324"/>
  <c r="BT8" i="324"/>
  <c r="BU8" i="324" s="1"/>
  <c r="BV8" i="324"/>
  <c r="BW8" i="324"/>
  <c r="C9" i="324"/>
  <c r="E9" i="324"/>
  <c r="L9" i="324"/>
  <c r="S9" i="324"/>
  <c r="Y9" i="324"/>
  <c r="Z9" i="324"/>
  <c r="AD9" i="324" s="1"/>
  <c r="AE9" i="324" s="1"/>
  <c r="AC9" i="324"/>
  <c r="AG9" i="324"/>
  <c r="AN9" i="324"/>
  <c r="AU9" i="324"/>
  <c r="BB9" i="324"/>
  <c r="BI9" i="324"/>
  <c r="BP9" i="324"/>
  <c r="BW9" i="324"/>
  <c r="C10" i="324"/>
  <c r="E10" i="324"/>
  <c r="L10" i="324"/>
  <c r="S10" i="324"/>
  <c r="Z10" i="324"/>
  <c r="AG10" i="324"/>
  <c r="AM10" i="324"/>
  <c r="AN10" i="324"/>
  <c r="AU10" i="324"/>
  <c r="BB10" i="324"/>
  <c r="BI10" i="324"/>
  <c r="BO10" i="324"/>
  <c r="BP10" i="324"/>
  <c r="BT10" i="324" s="1"/>
  <c r="BU10" i="324" s="1"/>
  <c r="BS10" i="324"/>
  <c r="BV10" i="324"/>
  <c r="BW10" i="324"/>
  <c r="BZ10" i="324"/>
  <c r="CA10" i="324"/>
  <c r="CB10" i="324" s="1"/>
  <c r="C11" i="324"/>
  <c r="E11" i="324"/>
  <c r="L11" i="324"/>
  <c r="S11" i="324"/>
  <c r="Y11" i="324"/>
  <c r="Z11" i="324"/>
  <c r="AC11" i="324"/>
  <c r="AD11" i="324"/>
  <c r="AE11" i="324" s="1"/>
  <c r="AG11" i="324"/>
  <c r="AN11" i="324"/>
  <c r="AU11" i="324"/>
  <c r="BB11" i="324"/>
  <c r="BI11" i="324"/>
  <c r="BP11" i="324"/>
  <c r="BW11" i="324"/>
  <c r="C12" i="324"/>
  <c r="S12" i="324"/>
  <c r="BO12" i="324"/>
  <c r="BP12" i="324"/>
  <c r="BS12" i="324"/>
  <c r="BT12" i="324"/>
  <c r="BW12" i="324"/>
  <c r="C13" i="324"/>
  <c r="E13" i="324"/>
  <c r="L13" i="324"/>
  <c r="S13" i="324"/>
  <c r="Y13" i="324"/>
  <c r="Z13" i="324"/>
  <c r="AD13" i="324" s="1"/>
  <c r="AE13" i="324" s="1"/>
  <c r="AC13" i="324"/>
  <c r="AN13" i="324"/>
  <c r="AU13" i="324"/>
  <c r="BA13" i="324"/>
  <c r="BB13" i="324"/>
  <c r="BI13" i="324"/>
  <c r="BO13" i="324"/>
  <c r="BP13" i="324"/>
  <c r="BS13" i="324" s="1"/>
  <c r="BW13" i="324"/>
  <c r="C14" i="324"/>
  <c r="E14" i="324"/>
  <c r="L14" i="324"/>
  <c r="S14" i="324"/>
  <c r="Z14" i="324"/>
  <c r="AG14" i="324"/>
  <c r="AM14" i="324"/>
  <c r="AN14" i="324"/>
  <c r="AU14" i="324"/>
  <c r="BB14" i="324"/>
  <c r="BH14" i="324"/>
  <c r="BI14" i="324"/>
  <c r="BO14" i="324"/>
  <c r="BP14" i="324"/>
  <c r="BT14" i="324" s="1"/>
  <c r="BU14" i="324" s="1"/>
  <c r="BS14" i="324"/>
  <c r="BV14" i="324"/>
  <c r="BW14" i="324"/>
  <c r="BZ14" i="324"/>
  <c r="CA14" i="324"/>
  <c r="CB14" i="324" s="1"/>
  <c r="C15" i="324"/>
  <c r="E15" i="324"/>
  <c r="L15" i="324"/>
  <c r="S15" i="324"/>
  <c r="AG15" i="324"/>
  <c r="AN15" i="324"/>
  <c r="AU15" i="324"/>
  <c r="BB15" i="324"/>
  <c r="BH15" i="324"/>
  <c r="BI15" i="324"/>
  <c r="BO15" i="324"/>
  <c r="BP15" i="324"/>
  <c r="BV15" i="324"/>
  <c r="BW15" i="324"/>
  <c r="C17" i="324"/>
  <c r="B3" i="323"/>
  <c r="C3" i="323"/>
  <c r="D3" i="323"/>
  <c r="E3" i="323"/>
  <c r="F3" i="323" s="1"/>
  <c r="G3" i="323"/>
  <c r="H3" i="323" s="1"/>
  <c r="I3" i="323" s="1"/>
  <c r="J3" i="323" s="1"/>
  <c r="K3" i="323" s="1"/>
  <c r="L3" i="323" s="1"/>
  <c r="M3" i="323" s="1"/>
  <c r="N3" i="323" s="1"/>
  <c r="O3" i="323" s="1"/>
  <c r="P3" i="323" s="1"/>
  <c r="Q3" i="323" s="1"/>
  <c r="R3" i="323" s="1"/>
  <c r="S3" i="323" s="1"/>
  <c r="T3" i="323" s="1"/>
  <c r="U3" i="323" s="1"/>
  <c r="V3" i="323" s="1"/>
  <c r="W3" i="323" s="1"/>
  <c r="X3" i="323" s="1"/>
  <c r="Y3" i="323" s="1"/>
  <c r="Z3" i="323" s="1"/>
  <c r="AA3" i="323" s="1"/>
  <c r="AB3" i="323" s="1"/>
  <c r="AC3" i="323" s="1"/>
  <c r="AD3" i="323" s="1"/>
  <c r="AE3" i="323" s="1"/>
  <c r="AF3" i="323" s="1"/>
  <c r="AG3" i="323" s="1"/>
  <c r="AH3" i="323" s="1"/>
  <c r="AI3" i="323" s="1"/>
  <c r="AJ3" i="323" s="1"/>
  <c r="AK3" i="323" s="1"/>
  <c r="AL3" i="323" s="1"/>
  <c r="AM3" i="323" s="1"/>
  <c r="AN3" i="323" s="1"/>
  <c r="AO3" i="323" s="1"/>
  <c r="AP3" i="323" s="1"/>
  <c r="AQ3" i="323" s="1"/>
  <c r="AR3" i="323" s="1"/>
  <c r="AS3" i="323" s="1"/>
  <c r="AT3" i="323" s="1"/>
  <c r="AU3" i="323" s="1"/>
  <c r="AV3" i="323" s="1"/>
  <c r="AW3" i="323" s="1"/>
  <c r="AX3" i="323" s="1"/>
  <c r="AY3" i="323" s="1"/>
  <c r="AZ3" i="323" s="1"/>
  <c r="BA3" i="323" s="1"/>
  <c r="BB3" i="323" s="1"/>
  <c r="BC3" i="323" s="1"/>
  <c r="BD3" i="323" s="1"/>
  <c r="BE3" i="323" s="1"/>
  <c r="BF3" i="323" s="1"/>
  <c r="BG3" i="323" s="1"/>
  <c r="BH3" i="323" s="1"/>
  <c r="BI3" i="323" s="1"/>
  <c r="BJ3" i="323" s="1"/>
  <c r="BK3" i="323" s="1"/>
  <c r="BL3" i="323" s="1"/>
  <c r="BM3" i="323" s="1"/>
  <c r="BN3" i="323" s="1"/>
  <c r="C5" i="323"/>
  <c r="K5" i="323"/>
  <c r="L5" i="323"/>
  <c r="Y5" i="323"/>
  <c r="Z5" i="323"/>
  <c r="AC5" i="323" s="1"/>
  <c r="AD5" i="323"/>
  <c r="AT5" i="323"/>
  <c r="AU5" i="323"/>
  <c r="AX5" i="323"/>
  <c r="AY5" i="323"/>
  <c r="AZ5" i="323" s="1"/>
  <c r="BB5" i="323"/>
  <c r="BO5" i="323"/>
  <c r="BP5" i="323"/>
  <c r="BV5" i="323"/>
  <c r="BW5" i="323"/>
  <c r="CA5" i="323" s="1"/>
  <c r="CB5" i="323" s="1"/>
  <c r="C6" i="323"/>
  <c r="E6" i="323"/>
  <c r="L6" i="323"/>
  <c r="S6" i="323"/>
  <c r="AN6" i="323"/>
  <c r="BB6" i="323"/>
  <c r="BI6" i="323"/>
  <c r="BO6" i="323"/>
  <c r="BP6" i="323"/>
  <c r="BS6" i="323" s="1"/>
  <c r="BT6" i="323"/>
  <c r="BU6" i="323" s="1"/>
  <c r="BW6" i="323"/>
  <c r="C7" i="323"/>
  <c r="E7" i="323"/>
  <c r="L7" i="323"/>
  <c r="S7" i="323"/>
  <c r="Z7" i="323"/>
  <c r="AG7" i="323"/>
  <c r="AN7" i="323"/>
  <c r="AU7" i="323"/>
  <c r="BB7" i="323"/>
  <c r="BI7" i="323"/>
  <c r="BO7" i="323"/>
  <c r="BP7" i="323"/>
  <c r="BS7" i="323"/>
  <c r="BT7" i="323"/>
  <c r="BU7" i="323" s="1"/>
  <c r="BV7" i="323"/>
  <c r="BW7" i="323"/>
  <c r="BZ7" i="323"/>
  <c r="CA7" i="323"/>
  <c r="CB7" i="323"/>
  <c r="C8" i="323"/>
  <c r="E8" i="323" s="1"/>
  <c r="L8" i="323"/>
  <c r="S8" i="323"/>
  <c r="Z8" i="323"/>
  <c r="AG8" i="323"/>
  <c r="AN8" i="323"/>
  <c r="AU8" i="323"/>
  <c r="BB8" i="323"/>
  <c r="BI8" i="323"/>
  <c r="BO8" i="323"/>
  <c r="BP8" i="323"/>
  <c r="BS8" i="323"/>
  <c r="BT8" i="323"/>
  <c r="BU8" i="323" s="1"/>
  <c r="BV8" i="323"/>
  <c r="BW8" i="323"/>
  <c r="BZ8" i="323"/>
  <c r="CA8" i="323"/>
  <c r="CB8" i="323"/>
  <c r="C9" i="323"/>
  <c r="Y9" i="323"/>
  <c r="Z9" i="323"/>
  <c r="AC9" i="323" s="1"/>
  <c r="C10" i="323"/>
  <c r="BO10" i="323"/>
  <c r="BP10" i="323"/>
  <c r="BS10" i="323" s="1"/>
  <c r="BV10" i="323"/>
  <c r="BW10" i="323"/>
  <c r="BZ10" i="323" s="1"/>
  <c r="C11" i="323"/>
  <c r="E11" i="323"/>
  <c r="L11" i="323"/>
  <c r="S11" i="323"/>
  <c r="Y11" i="323"/>
  <c r="Z11" i="323"/>
  <c r="AC11" i="323" s="1"/>
  <c r="AD11" i="323"/>
  <c r="AE11" i="323"/>
  <c r="AG11" i="323"/>
  <c r="AN11" i="323"/>
  <c r="AU11" i="323"/>
  <c r="BB11" i="323"/>
  <c r="BI11" i="323"/>
  <c r="BP11" i="323"/>
  <c r="BW11" i="323"/>
  <c r="C12" i="323"/>
  <c r="E12" i="323"/>
  <c r="L12" i="323"/>
  <c r="S12" i="323"/>
  <c r="AG12" i="323"/>
  <c r="AN12" i="323"/>
  <c r="AU12" i="323"/>
  <c r="BB12" i="323"/>
  <c r="BI12" i="323"/>
  <c r="BO12" i="323"/>
  <c r="BP12" i="323"/>
  <c r="BT12" i="323"/>
  <c r="BU12" i="323"/>
  <c r="BW12" i="323"/>
  <c r="C13" i="323"/>
  <c r="Y13" i="323"/>
  <c r="Z13" i="323"/>
  <c r="BO13" i="323"/>
  <c r="BP13" i="323"/>
  <c r="BS13" i="323"/>
  <c r="BT13" i="323"/>
  <c r="BW13" i="323"/>
  <c r="C14" i="323"/>
  <c r="E14" i="323"/>
  <c r="L14" i="323"/>
  <c r="S14" i="323"/>
  <c r="Z14" i="323"/>
  <c r="AG14" i="323"/>
  <c r="AN14" i="323"/>
  <c r="AU14" i="323"/>
  <c r="BI14" i="323"/>
  <c r="BO14" i="323"/>
  <c r="BP14" i="323"/>
  <c r="BV14" i="323"/>
  <c r="BW14" i="323"/>
  <c r="BZ14" i="323" s="1"/>
  <c r="C15" i="323"/>
  <c r="E15" i="323"/>
  <c r="L15" i="323"/>
  <c r="S15" i="323"/>
  <c r="Z15" i="323"/>
  <c r="AG15" i="323"/>
  <c r="AU15" i="323"/>
  <c r="BB15" i="323"/>
  <c r="BI15" i="323"/>
  <c r="BO15" i="323"/>
  <c r="BP15" i="323"/>
  <c r="BT15" i="323" s="1"/>
  <c r="BU15" i="323" s="1"/>
  <c r="BS15" i="323"/>
  <c r="BW15" i="323"/>
  <c r="B3" i="322"/>
  <c r="C3" i="322" s="1"/>
  <c r="D3" i="322" s="1"/>
  <c r="E3" i="322" s="1"/>
  <c r="F3" i="322" s="1"/>
  <c r="G3" i="322" s="1"/>
  <c r="H3" i="322" s="1"/>
  <c r="I3" i="322" s="1"/>
  <c r="J3" i="322"/>
  <c r="K3" i="322" s="1"/>
  <c r="L3" i="322" s="1"/>
  <c r="M3" i="322" s="1"/>
  <c r="N3" i="322" s="1"/>
  <c r="O3" i="322" s="1"/>
  <c r="P3" i="322" s="1"/>
  <c r="Q3" i="322" s="1"/>
  <c r="R3" i="322" s="1"/>
  <c r="S3" i="322" s="1"/>
  <c r="T3" i="322" s="1"/>
  <c r="U3" i="322" s="1"/>
  <c r="V3" i="322" s="1"/>
  <c r="W3" i="322" s="1"/>
  <c r="X3" i="322" s="1"/>
  <c r="Y3" i="322" s="1"/>
  <c r="Z3" i="322" s="1"/>
  <c r="AA3" i="322" s="1"/>
  <c r="AB3" i="322" s="1"/>
  <c r="AC3" i="322" s="1"/>
  <c r="AD3" i="322" s="1"/>
  <c r="C5" i="322"/>
  <c r="D5" i="322"/>
  <c r="E5" i="322"/>
  <c r="F5" i="322"/>
  <c r="G5" i="322"/>
  <c r="H5" i="322"/>
  <c r="C6" i="322"/>
  <c r="D6" i="322"/>
  <c r="E6" i="322"/>
  <c r="F6" i="322"/>
  <c r="G6" i="322"/>
  <c r="H6" i="322"/>
  <c r="C7" i="322"/>
  <c r="D7" i="322"/>
  <c r="E7" i="322"/>
  <c r="F7" i="322"/>
  <c r="G7" i="322"/>
  <c r="H7" i="322"/>
  <c r="C8" i="322"/>
  <c r="D8" i="322"/>
  <c r="E8" i="322"/>
  <c r="F8" i="322"/>
  <c r="G8" i="322"/>
  <c r="H8" i="322"/>
  <c r="C9" i="322"/>
  <c r="D9" i="322"/>
  <c r="E9" i="322"/>
  <c r="F9" i="322"/>
  <c r="G9" i="322"/>
  <c r="H9" i="322"/>
  <c r="C10" i="322"/>
  <c r="D10" i="322"/>
  <c r="E10" i="322"/>
  <c r="F10" i="322"/>
  <c r="G10" i="322"/>
  <c r="H10" i="322"/>
  <c r="C11" i="322"/>
  <c r="D11" i="322"/>
  <c r="E11" i="322"/>
  <c r="F11" i="322"/>
  <c r="G11" i="322"/>
  <c r="H11" i="322"/>
  <c r="C12" i="322"/>
  <c r="D12" i="322"/>
  <c r="E12" i="322"/>
  <c r="F12" i="322"/>
  <c r="G12" i="322"/>
  <c r="H12" i="322"/>
  <c r="C13" i="322"/>
  <c r="D13" i="322"/>
  <c r="E13" i="322"/>
  <c r="F13" i="322"/>
  <c r="G13" i="322"/>
  <c r="H13" i="322"/>
  <c r="C14" i="322"/>
  <c r="D14" i="322"/>
  <c r="E14" i="322"/>
  <c r="F14" i="322"/>
  <c r="G14" i="322"/>
  <c r="H14" i="322"/>
  <c r="C15" i="322"/>
  <c r="D15" i="322"/>
  <c r="E15" i="322"/>
  <c r="F15" i="322"/>
  <c r="G15" i="322"/>
  <c r="H15" i="322"/>
  <c r="C17" i="322"/>
  <c r="D3" i="321"/>
  <c r="E3" i="321" s="1"/>
  <c r="F3" i="321" s="1"/>
  <c r="G3" i="321" s="1"/>
  <c r="H3" i="321" s="1"/>
  <c r="I3" i="321" s="1"/>
  <c r="J3" i="321" s="1"/>
  <c r="K3" i="321" s="1"/>
  <c r="L3" i="321" s="1"/>
  <c r="M3" i="321" s="1"/>
  <c r="N3" i="321" s="1"/>
  <c r="O3" i="321" s="1"/>
  <c r="P3" i="321" s="1"/>
  <c r="Q3" i="321" s="1"/>
  <c r="R3" i="321" s="1"/>
  <c r="I5" i="321"/>
  <c r="C6" i="321"/>
  <c r="I6" i="321"/>
  <c r="C7" i="321"/>
  <c r="I7" i="321"/>
  <c r="C8" i="321"/>
  <c r="I8" i="321"/>
  <c r="I9" i="321"/>
  <c r="C9" i="321" s="1"/>
  <c r="C10" i="321"/>
  <c r="I10" i="321"/>
  <c r="C11" i="321"/>
  <c r="I11" i="321"/>
  <c r="C12" i="321"/>
  <c r="I12" i="321"/>
  <c r="I13" i="321"/>
  <c r="C13" i="321" s="1"/>
  <c r="C14" i="321"/>
  <c r="I14" i="321"/>
  <c r="C15" i="321"/>
  <c r="I15" i="321"/>
  <c r="D17" i="321"/>
  <c r="E17" i="321"/>
  <c r="F17" i="321"/>
  <c r="G17" i="321"/>
  <c r="H17" i="321"/>
  <c r="J17" i="321"/>
  <c r="K17" i="321"/>
  <c r="E13" i="317" s="1"/>
  <c r="L17" i="321"/>
  <c r="M17" i="321"/>
  <c r="N17" i="321"/>
  <c r="O17" i="321"/>
  <c r="P17" i="321"/>
  <c r="Q17" i="321"/>
  <c r="R17" i="321"/>
  <c r="D3" i="320"/>
  <c r="E3" i="320" s="1"/>
  <c r="F3" i="320" s="1"/>
  <c r="G3" i="320" s="1"/>
  <c r="H3" i="320" s="1"/>
  <c r="I3" i="320" s="1"/>
  <c r="J3" i="320" s="1"/>
  <c r="K3" i="320" s="1"/>
  <c r="L3" i="320" s="1"/>
  <c r="M3" i="320" s="1"/>
  <c r="N3" i="320" s="1"/>
  <c r="O3" i="320" s="1"/>
  <c r="P3" i="320" s="1"/>
  <c r="Q3" i="320" s="1"/>
  <c r="R3" i="320" s="1"/>
  <c r="I5" i="320"/>
  <c r="I6" i="320"/>
  <c r="AE6" i="327" s="1"/>
  <c r="C7" i="320"/>
  <c r="E7" i="325" s="1"/>
  <c r="I7" i="320"/>
  <c r="AE7" i="327" s="1"/>
  <c r="I8" i="320"/>
  <c r="I9" i="320"/>
  <c r="I10" i="320"/>
  <c r="AE10" i="327" s="1"/>
  <c r="C11" i="320"/>
  <c r="E11" i="325" s="1"/>
  <c r="I11" i="320"/>
  <c r="AE11" i="327" s="1"/>
  <c r="I12" i="320"/>
  <c r="AE12" i="327" s="1"/>
  <c r="I13" i="320"/>
  <c r="I17" i="320" s="1"/>
  <c r="I14" i="320"/>
  <c r="AE14" i="327" s="1"/>
  <c r="C15" i="320"/>
  <c r="E15" i="325" s="1"/>
  <c r="I15" i="320"/>
  <c r="AE15" i="327" s="1"/>
  <c r="D17" i="320"/>
  <c r="Z17" i="327" s="1"/>
  <c r="E17" i="320"/>
  <c r="F17" i="320"/>
  <c r="G17" i="320"/>
  <c r="AC17" i="327" s="1"/>
  <c r="H17" i="320"/>
  <c r="AD17" i="327" s="1"/>
  <c r="J17" i="320"/>
  <c r="AF17" i="327" s="1"/>
  <c r="K17" i="320"/>
  <c r="L17" i="320"/>
  <c r="AH17" i="327" s="1"/>
  <c r="M17" i="320"/>
  <c r="N17" i="320"/>
  <c r="O17" i="320"/>
  <c r="AK17" i="327" s="1"/>
  <c r="P17" i="320"/>
  <c r="AL17" i="327" s="1"/>
  <c r="Q17" i="320"/>
  <c r="AM17" i="327" s="1"/>
  <c r="R17" i="320"/>
  <c r="C3" i="319"/>
  <c r="D3" i="319"/>
  <c r="E3" i="319" s="1"/>
  <c r="F3" i="319" s="1"/>
  <c r="G3" i="319" s="1"/>
  <c r="H3" i="319" s="1"/>
  <c r="I3" i="319" s="1"/>
  <c r="J3" i="319" s="1"/>
  <c r="K3" i="319" s="1"/>
  <c r="L3" i="319" s="1"/>
  <c r="M3" i="319" s="1"/>
  <c r="N3" i="319" s="1"/>
  <c r="O3" i="319" s="1"/>
  <c r="P3" i="319" s="1"/>
  <c r="Q3" i="319" s="1"/>
  <c r="R3" i="319" s="1"/>
  <c r="I5" i="319"/>
  <c r="C5" i="319" s="1"/>
  <c r="I6" i="319"/>
  <c r="C6" i="319" s="1"/>
  <c r="C17" i="319" s="1"/>
  <c r="I7" i="319"/>
  <c r="C7" i="319" s="1"/>
  <c r="C8" i="319"/>
  <c r="I8" i="319"/>
  <c r="I9" i="319"/>
  <c r="C9" i="319" s="1"/>
  <c r="I10" i="319"/>
  <c r="C10" i="319" s="1"/>
  <c r="I11" i="319"/>
  <c r="C11" i="319" s="1"/>
  <c r="C12" i="319"/>
  <c r="I12" i="319"/>
  <c r="I13" i="319"/>
  <c r="C13" i="319" s="1"/>
  <c r="I14" i="319"/>
  <c r="C14" i="319" s="1"/>
  <c r="I15" i="319"/>
  <c r="C15" i="319" s="1"/>
  <c r="D17" i="319"/>
  <c r="E17" i="319"/>
  <c r="F17" i="319"/>
  <c r="G17" i="319"/>
  <c r="H17" i="319"/>
  <c r="J17" i="319"/>
  <c r="K17" i="319"/>
  <c r="L17" i="319"/>
  <c r="M17" i="319"/>
  <c r="N17" i="319"/>
  <c r="O17" i="319"/>
  <c r="P17" i="319"/>
  <c r="E18" i="316" s="1"/>
  <c r="Q17" i="319"/>
  <c r="R17" i="319"/>
  <c r="I3" i="318"/>
  <c r="J3" i="318" s="1"/>
  <c r="K3" i="318" s="1"/>
  <c r="L3" i="318" s="1"/>
  <c r="M3" i="318" s="1"/>
  <c r="N3" i="318"/>
  <c r="O3" i="318" s="1"/>
  <c r="P3" i="318"/>
  <c r="Q3" i="318"/>
  <c r="R3" i="318" s="1"/>
  <c r="I5" i="318"/>
  <c r="O5" i="327" s="1"/>
  <c r="I6" i="318"/>
  <c r="I7" i="318"/>
  <c r="C8" i="318"/>
  <c r="I8" i="318"/>
  <c r="O8" i="327" s="1"/>
  <c r="I9" i="318"/>
  <c r="O9" i="327" s="1"/>
  <c r="I10" i="318"/>
  <c r="I11" i="318"/>
  <c r="C12" i="318"/>
  <c r="I12" i="318"/>
  <c r="O12" i="327" s="1"/>
  <c r="I13" i="318"/>
  <c r="O13" i="327" s="1"/>
  <c r="I14" i="318"/>
  <c r="I15" i="318"/>
  <c r="D17" i="318"/>
  <c r="J17" i="327" s="1"/>
  <c r="E17" i="318"/>
  <c r="K17" i="327" s="1"/>
  <c r="F17" i="318"/>
  <c r="L17" i="327" s="1"/>
  <c r="G17" i="318"/>
  <c r="M17" i="327" s="1"/>
  <c r="H17" i="318"/>
  <c r="N17" i="327" s="1"/>
  <c r="J17" i="318"/>
  <c r="P17" i="327" s="1"/>
  <c r="K17" i="318"/>
  <c r="L17" i="318"/>
  <c r="R17" i="327" s="1"/>
  <c r="M17" i="318"/>
  <c r="S17" i="327" s="1"/>
  <c r="N17" i="318"/>
  <c r="O17" i="318"/>
  <c r="U17" i="327" s="1"/>
  <c r="P17" i="318"/>
  <c r="V17" i="327" s="1"/>
  <c r="Q17" i="318"/>
  <c r="W17" i="327" s="1"/>
  <c r="R17" i="318"/>
  <c r="X17" i="327" s="1"/>
  <c r="B4" i="317"/>
  <c r="C4" i="317"/>
  <c r="D4" i="317"/>
  <c r="E4" i="317"/>
  <c r="E6" i="317"/>
  <c r="E7" i="317"/>
  <c r="E8" i="317"/>
  <c r="E9" i="317"/>
  <c r="E10" i="317"/>
  <c r="E14" i="317"/>
  <c r="E15" i="317"/>
  <c r="E16" i="317"/>
  <c r="E17" i="317"/>
  <c r="E18" i="317"/>
  <c r="B4" i="316"/>
  <c r="C4" i="316"/>
  <c r="D4" i="316" s="1"/>
  <c r="E4" i="316"/>
  <c r="E6" i="316"/>
  <c r="E7" i="316"/>
  <c r="E8" i="316"/>
  <c r="E9" i="316"/>
  <c r="E10" i="316"/>
  <c r="E13" i="316"/>
  <c r="E14" i="316"/>
  <c r="E15" i="316"/>
  <c r="E17" i="316"/>
  <c r="B3" i="315"/>
  <c r="C3" i="315"/>
  <c r="D3" i="315" s="1"/>
  <c r="B3" i="314"/>
  <c r="C3" i="314"/>
  <c r="D3" i="314"/>
  <c r="E3" i="314" s="1"/>
  <c r="F3" i="314" s="1"/>
  <c r="G3" i="314" s="1"/>
  <c r="H3" i="314" s="1"/>
  <c r="I3" i="314" s="1"/>
  <c r="J3" i="314" s="1"/>
  <c r="K3" i="314" s="1"/>
  <c r="L3" i="314" s="1"/>
  <c r="M3" i="314"/>
  <c r="N3" i="314" s="1"/>
  <c r="O3" i="314" s="1"/>
  <c r="P3" i="314" s="1"/>
  <c r="Q3" i="314" s="1"/>
  <c r="R3" i="314" s="1"/>
  <c r="S3" i="314" s="1"/>
  <c r="T3" i="314" s="1"/>
  <c r="U3" i="314" s="1"/>
  <c r="D5" i="314"/>
  <c r="D17" i="314" s="1"/>
  <c r="E5" i="314"/>
  <c r="H5" i="314"/>
  <c r="J5" i="314"/>
  <c r="K5" i="314"/>
  <c r="L5" i="314"/>
  <c r="M5" i="314"/>
  <c r="N5" i="314"/>
  <c r="O5" i="314"/>
  <c r="P5" i="314"/>
  <c r="Q5" i="314"/>
  <c r="R5" i="314"/>
  <c r="S5" i="314"/>
  <c r="T5" i="314"/>
  <c r="D6" i="314"/>
  <c r="E6" i="314"/>
  <c r="F6" i="314"/>
  <c r="G6" i="314"/>
  <c r="H6" i="314"/>
  <c r="J6" i="314"/>
  <c r="K6" i="314"/>
  <c r="L6" i="314"/>
  <c r="M6" i="314"/>
  <c r="N6" i="314"/>
  <c r="O6" i="314"/>
  <c r="P6" i="314"/>
  <c r="Q6" i="314"/>
  <c r="R6" i="314"/>
  <c r="S6" i="314"/>
  <c r="T6" i="314"/>
  <c r="D7" i="314"/>
  <c r="E7" i="314"/>
  <c r="F7" i="314"/>
  <c r="G7" i="314"/>
  <c r="H7" i="314"/>
  <c r="J7" i="314"/>
  <c r="K7" i="314"/>
  <c r="L7" i="314"/>
  <c r="M7" i="314"/>
  <c r="N7" i="314"/>
  <c r="O7" i="314"/>
  <c r="P7" i="314"/>
  <c r="Q7" i="314"/>
  <c r="R7" i="314"/>
  <c r="D7" i="325" s="1"/>
  <c r="F7" i="325" s="1"/>
  <c r="S7" i="314"/>
  <c r="T7" i="314"/>
  <c r="D8" i="314"/>
  <c r="E8" i="314"/>
  <c r="F8" i="314"/>
  <c r="G8" i="314"/>
  <c r="H8" i="314"/>
  <c r="J8" i="314"/>
  <c r="K8" i="314"/>
  <c r="L8" i="314"/>
  <c r="M8" i="314"/>
  <c r="N8" i="314"/>
  <c r="O8" i="314"/>
  <c r="P8" i="314"/>
  <c r="Q8" i="314"/>
  <c r="R8" i="314"/>
  <c r="D8" i="325" s="1"/>
  <c r="S8" i="314"/>
  <c r="T8" i="314"/>
  <c r="D9" i="314"/>
  <c r="E9" i="314"/>
  <c r="F9" i="314"/>
  <c r="G9" i="314"/>
  <c r="H9" i="314"/>
  <c r="J9" i="314"/>
  <c r="K9" i="314"/>
  <c r="L9" i="314"/>
  <c r="M9" i="314"/>
  <c r="N9" i="314"/>
  <c r="O9" i="314"/>
  <c r="P9" i="314"/>
  <c r="Q9" i="314"/>
  <c r="R9" i="314"/>
  <c r="D9" i="325" s="1"/>
  <c r="S9" i="314"/>
  <c r="T9" i="314"/>
  <c r="D10" i="314"/>
  <c r="E10" i="314"/>
  <c r="F10" i="314"/>
  <c r="G10" i="314"/>
  <c r="H10" i="314"/>
  <c r="J10" i="314"/>
  <c r="I10" i="314" s="1"/>
  <c r="K10" i="314"/>
  <c r="L10" i="314"/>
  <c r="M10" i="314"/>
  <c r="N10" i="314"/>
  <c r="O10" i="314"/>
  <c r="P10" i="314"/>
  <c r="Q10" i="314"/>
  <c r="R10" i="314"/>
  <c r="S10" i="314"/>
  <c r="T10" i="314"/>
  <c r="D11" i="314"/>
  <c r="E11" i="314"/>
  <c r="F11" i="314"/>
  <c r="G11" i="314"/>
  <c r="H11" i="314"/>
  <c r="J11" i="314"/>
  <c r="K11" i="314"/>
  <c r="L11" i="314"/>
  <c r="M11" i="314"/>
  <c r="N11" i="314"/>
  <c r="O11" i="314"/>
  <c r="O17" i="314" s="1"/>
  <c r="B27" i="311" s="1"/>
  <c r="P11" i="314"/>
  <c r="Q11" i="314"/>
  <c r="R11" i="314"/>
  <c r="D11" i="325" s="1"/>
  <c r="F11" i="325" s="1"/>
  <c r="S11" i="314"/>
  <c r="T11" i="314"/>
  <c r="D12" i="314"/>
  <c r="E12" i="314"/>
  <c r="F12" i="314"/>
  <c r="G12" i="314"/>
  <c r="H12" i="314"/>
  <c r="J12" i="314"/>
  <c r="K12" i="314"/>
  <c r="L12" i="314"/>
  <c r="I12" i="314" s="1"/>
  <c r="M12" i="314"/>
  <c r="N12" i="314"/>
  <c r="N17" i="314" s="1"/>
  <c r="O12" i="314"/>
  <c r="P12" i="314"/>
  <c r="Q12" i="314"/>
  <c r="R12" i="314"/>
  <c r="D12" i="325" s="1"/>
  <c r="S12" i="314"/>
  <c r="T12" i="314"/>
  <c r="D13" i="314"/>
  <c r="E13" i="314"/>
  <c r="F13" i="314"/>
  <c r="G13" i="314"/>
  <c r="H13" i="314"/>
  <c r="J13" i="314"/>
  <c r="K13" i="314"/>
  <c r="K17" i="314" s="1"/>
  <c r="L13" i="314"/>
  <c r="M13" i="314"/>
  <c r="N13" i="314"/>
  <c r="O13" i="314"/>
  <c r="P13" i="314"/>
  <c r="Q13" i="314"/>
  <c r="R13" i="314"/>
  <c r="D13" i="325" s="1"/>
  <c r="S13" i="314"/>
  <c r="S17" i="314" s="1"/>
  <c r="B15" i="311" s="1"/>
  <c r="T13" i="314"/>
  <c r="D14" i="314"/>
  <c r="E14" i="314"/>
  <c r="F14" i="314"/>
  <c r="G14" i="314"/>
  <c r="H14" i="314"/>
  <c r="J14" i="314"/>
  <c r="I14" i="314" s="1"/>
  <c r="K14" i="314"/>
  <c r="L14" i="314"/>
  <c r="M14" i="314"/>
  <c r="N14" i="314"/>
  <c r="O14" i="314"/>
  <c r="P14" i="314"/>
  <c r="Q14" i="314"/>
  <c r="Q17" i="314" s="1"/>
  <c r="R14" i="314"/>
  <c r="S14" i="314"/>
  <c r="T14" i="314"/>
  <c r="D15" i="314"/>
  <c r="E15" i="314"/>
  <c r="F15" i="314"/>
  <c r="G15" i="314"/>
  <c r="H15" i="314"/>
  <c r="J15" i="314"/>
  <c r="I15" i="314" s="1"/>
  <c r="K15" i="314"/>
  <c r="L15" i="314"/>
  <c r="M15" i="314"/>
  <c r="N15" i="314"/>
  <c r="O15" i="314"/>
  <c r="P15" i="314"/>
  <c r="Q15" i="314"/>
  <c r="R15" i="314"/>
  <c r="D15" i="325" s="1"/>
  <c r="S15" i="314"/>
  <c r="T15" i="314"/>
  <c r="E17" i="314"/>
  <c r="F17" i="314"/>
  <c r="M17" i="314"/>
  <c r="B3" i="313"/>
  <c r="C3" i="313" s="1"/>
  <c r="D3" i="313" s="1"/>
  <c r="E3" i="313" s="1"/>
  <c r="F3" i="313" s="1"/>
  <c r="G3" i="313" s="1"/>
  <c r="H3" i="313" s="1"/>
  <c r="I3" i="313" s="1"/>
  <c r="J3" i="313" s="1"/>
  <c r="K3" i="313" s="1"/>
  <c r="L3" i="313" s="1"/>
  <c r="M3" i="313" s="1"/>
  <c r="N3" i="313" s="1"/>
  <c r="O3" i="313" s="1"/>
  <c r="P3" i="313" s="1"/>
  <c r="Q3" i="313" s="1"/>
  <c r="R3" i="313" s="1"/>
  <c r="S3" i="313" s="1"/>
  <c r="T3" i="313" s="1"/>
  <c r="U3" i="313" s="1"/>
  <c r="C5" i="313"/>
  <c r="I5" i="313"/>
  <c r="I6" i="313"/>
  <c r="C6" i="313" s="1"/>
  <c r="C7" i="313"/>
  <c r="I7" i="313"/>
  <c r="C8" i="313"/>
  <c r="I8" i="313"/>
  <c r="C9" i="313"/>
  <c r="I9" i="313"/>
  <c r="I10" i="313"/>
  <c r="C10" i="313" s="1"/>
  <c r="C11" i="313"/>
  <c r="I11" i="313"/>
  <c r="C12" i="313"/>
  <c r="I12" i="313"/>
  <c r="C13" i="313"/>
  <c r="I13" i="313"/>
  <c r="I14" i="313"/>
  <c r="C14" i="313" s="1"/>
  <c r="C15" i="313"/>
  <c r="I15" i="313"/>
  <c r="D17" i="313"/>
  <c r="E17" i="313"/>
  <c r="F17" i="313"/>
  <c r="G17" i="313"/>
  <c r="H17" i="313"/>
  <c r="I17" i="313"/>
  <c r="J17" i="313"/>
  <c r="K17" i="313"/>
  <c r="L17" i="313"/>
  <c r="M17" i="313"/>
  <c r="N17" i="313"/>
  <c r="O17" i="313"/>
  <c r="P17" i="313"/>
  <c r="Q17" i="313"/>
  <c r="R17" i="313"/>
  <c r="B3" i="312"/>
  <c r="C3" i="312" s="1"/>
  <c r="D3" i="312" s="1"/>
  <c r="E3" i="312" s="1"/>
  <c r="F3" i="312" s="1"/>
  <c r="G3" i="312" s="1"/>
  <c r="H3" i="312" s="1"/>
  <c r="I3" i="312" s="1"/>
  <c r="J3" i="312" s="1"/>
  <c r="K3" i="312" s="1"/>
  <c r="L3" i="312" s="1"/>
  <c r="M3" i="312" s="1"/>
  <c r="N3" i="312" s="1"/>
  <c r="O3" i="312" s="1"/>
  <c r="P3" i="312" s="1"/>
  <c r="Q3" i="312" s="1"/>
  <c r="R3" i="312" s="1"/>
  <c r="S3" i="312" s="1"/>
  <c r="T3" i="312" s="1"/>
  <c r="U3" i="312" s="1"/>
  <c r="V3" i="312" s="1"/>
  <c r="W3" i="312" s="1"/>
  <c r="X3" i="312" s="1"/>
  <c r="Y3" i="312" s="1"/>
  <c r="C5" i="312"/>
  <c r="F5" i="312"/>
  <c r="F5" i="314" s="1"/>
  <c r="G5" i="312"/>
  <c r="G5" i="314" s="1"/>
  <c r="G17" i="314" s="1"/>
  <c r="I5" i="312"/>
  <c r="I6" i="312"/>
  <c r="C7" i="312"/>
  <c r="V7" i="312" s="1"/>
  <c r="T7" i="328" s="1"/>
  <c r="I7" i="312"/>
  <c r="I8" i="312"/>
  <c r="C8" i="312" s="1"/>
  <c r="V8" i="312" s="1"/>
  <c r="T8" i="328" s="1"/>
  <c r="C9" i="312"/>
  <c r="V9" i="312" s="1"/>
  <c r="T9" i="328" s="1"/>
  <c r="I9" i="312"/>
  <c r="I10" i="312"/>
  <c r="C10" i="312" s="1"/>
  <c r="V10" i="312" s="1"/>
  <c r="T10" i="328" s="1"/>
  <c r="I11" i="312"/>
  <c r="C11" i="312" s="1"/>
  <c r="V11" i="312"/>
  <c r="T11" i="328" s="1"/>
  <c r="I12" i="312"/>
  <c r="C12" i="312" s="1"/>
  <c r="V12" i="312" s="1"/>
  <c r="T12" i="328" s="1"/>
  <c r="C13" i="312"/>
  <c r="V13" i="312" s="1"/>
  <c r="T13" i="328" s="1"/>
  <c r="I13" i="312"/>
  <c r="I14" i="312"/>
  <c r="C14" i="312" s="1"/>
  <c r="V14" i="312" s="1"/>
  <c r="T14" i="328" s="1"/>
  <c r="C15" i="312"/>
  <c r="V15" i="312" s="1"/>
  <c r="T15" i="328" s="1"/>
  <c r="I15" i="312"/>
  <c r="D17" i="312"/>
  <c r="E17" i="312"/>
  <c r="F17" i="312"/>
  <c r="H17" i="312"/>
  <c r="J17" i="312"/>
  <c r="K17" i="312"/>
  <c r="L17" i="312"/>
  <c r="M17" i="312"/>
  <c r="N17" i="312"/>
  <c r="O17" i="312"/>
  <c r="P17" i="312"/>
  <c r="Q17" i="312"/>
  <c r="R17" i="312"/>
  <c r="S17" i="312"/>
  <c r="T17" i="312"/>
  <c r="W17" i="312"/>
  <c r="C17" i="317" s="1"/>
  <c r="B4" i="311"/>
  <c r="C4" i="311"/>
  <c r="B6" i="311"/>
  <c r="B25" i="311"/>
  <c r="C25" i="311"/>
  <c r="B3" i="310"/>
  <c r="C3" i="310"/>
  <c r="D3" i="310" s="1"/>
  <c r="E3" i="310" s="1"/>
  <c r="F3" i="310" s="1"/>
  <c r="G3" i="310" s="1"/>
  <c r="H3" i="310" s="1"/>
  <c r="I3" i="310"/>
  <c r="J3" i="310" s="1"/>
  <c r="K3" i="310" s="1"/>
  <c r="L3" i="310" s="1"/>
  <c r="M3" i="310" s="1"/>
  <c r="N3" i="310" s="1"/>
  <c r="O3" i="310" s="1"/>
  <c r="P3" i="310" s="1"/>
  <c r="Q3" i="310"/>
  <c r="R3" i="310" s="1"/>
  <c r="S3" i="310" s="1"/>
  <c r="T3" i="310" s="1"/>
  <c r="U3" i="310" s="1"/>
  <c r="V3" i="310" s="1"/>
  <c r="W3" i="310" s="1"/>
  <c r="X3" i="310" s="1"/>
  <c r="Y3" i="310" s="1"/>
  <c r="Z3" i="310" s="1"/>
  <c r="AA3" i="310" s="1"/>
  <c r="AB3" i="310" s="1"/>
  <c r="AC3" i="310" s="1"/>
  <c r="AD3" i="310" s="1"/>
  <c r="AE3" i="310" s="1"/>
  <c r="AF3" i="310" s="1"/>
  <c r="AG3" i="310" s="1"/>
  <c r="AH3" i="310" s="1"/>
  <c r="AI3" i="310" s="1"/>
  <c r="AJ3" i="310" s="1"/>
  <c r="AK3" i="310" s="1"/>
  <c r="AL3" i="310" s="1"/>
  <c r="AM3" i="310" s="1"/>
  <c r="AN3" i="310" s="1"/>
  <c r="AO3" i="310" s="1"/>
  <c r="AP3" i="310" s="1"/>
  <c r="AQ3" i="310" s="1"/>
  <c r="AR3" i="310" s="1"/>
  <c r="AS3" i="310" s="1"/>
  <c r="AT3" i="310" s="1"/>
  <c r="AU3" i="310" s="1"/>
  <c r="AV3" i="310" s="1"/>
  <c r="C5" i="310"/>
  <c r="M5" i="310"/>
  <c r="O5" i="310"/>
  <c r="T5" i="310"/>
  <c r="W5" i="310"/>
  <c r="X5" i="310"/>
  <c r="AE5" i="310"/>
  <c r="AJ5" i="310"/>
  <c r="AN5" i="310"/>
  <c r="C6" i="310"/>
  <c r="W6" i="310"/>
  <c r="AM6" i="310"/>
  <c r="C7" i="310"/>
  <c r="W7" i="310"/>
  <c r="X7" i="310"/>
  <c r="AM7" i="310"/>
  <c r="AN7" i="310"/>
  <c r="C8" i="310"/>
  <c r="W8" i="310"/>
  <c r="AM8" i="310"/>
  <c r="AN8" i="310"/>
  <c r="C9" i="310"/>
  <c r="O9" i="310"/>
  <c r="C10" i="310"/>
  <c r="W10" i="310"/>
  <c r="X10" i="310"/>
  <c r="C11" i="310"/>
  <c r="O11" i="310"/>
  <c r="AE11" i="310"/>
  <c r="C12" i="310"/>
  <c r="W12" i="310"/>
  <c r="AM12" i="310"/>
  <c r="C13" i="310"/>
  <c r="O13" i="310"/>
  <c r="AM13" i="310"/>
  <c r="C14" i="310"/>
  <c r="W14" i="310"/>
  <c r="X14" i="310"/>
  <c r="C15" i="310"/>
  <c r="AM15" i="310"/>
  <c r="S17" i="310"/>
  <c r="C16" i="317" l="1"/>
  <c r="C16" i="316"/>
  <c r="B26" i="311"/>
  <c r="C26" i="311" s="1"/>
  <c r="T17" i="314"/>
  <c r="B16" i="311" s="1"/>
  <c r="C16" i="311" s="1"/>
  <c r="C15" i="311"/>
  <c r="B23" i="311"/>
  <c r="C13" i="317"/>
  <c r="C13" i="316"/>
  <c r="T17" i="327"/>
  <c r="E16" i="316"/>
  <c r="D14" i="325"/>
  <c r="C14" i="314"/>
  <c r="I13" i="314"/>
  <c r="I11" i="314"/>
  <c r="D10" i="325"/>
  <c r="F10" i="325" s="1"/>
  <c r="C10" i="314"/>
  <c r="I9" i="314"/>
  <c r="C9" i="314" s="1"/>
  <c r="I7" i="314"/>
  <c r="D6" i="325"/>
  <c r="R17" i="314"/>
  <c r="B14" i="311" s="1"/>
  <c r="C14" i="311" s="1"/>
  <c r="J17" i="314"/>
  <c r="I6" i="314"/>
  <c r="C6" i="314" s="1"/>
  <c r="I5" i="314"/>
  <c r="BO3" i="323"/>
  <c r="BP3" i="323" s="1"/>
  <c r="BQ3" i="323" s="1"/>
  <c r="BR3" i="323" s="1"/>
  <c r="BS3" i="323"/>
  <c r="BT3" i="323" s="1"/>
  <c r="BU3" i="323" s="1"/>
  <c r="BV3" i="323" s="1"/>
  <c r="BW3" i="323" s="1"/>
  <c r="BX3" i="323" s="1"/>
  <c r="BY3" i="323" s="1"/>
  <c r="BZ3" i="323" s="1"/>
  <c r="CA3" i="323" s="1"/>
  <c r="CB3" i="323" s="1"/>
  <c r="CC3" i="323" s="1"/>
  <c r="CD3" i="323" s="1"/>
  <c r="CE3" i="323" s="1"/>
  <c r="H17" i="314"/>
  <c r="P17" i="314"/>
  <c r="D13" i="326"/>
  <c r="I13" i="326" s="1"/>
  <c r="C15" i="317"/>
  <c r="C27" i="311"/>
  <c r="B5" i="311"/>
  <c r="C6" i="317"/>
  <c r="C6" i="316"/>
  <c r="B9" i="317"/>
  <c r="D9" i="317" s="1"/>
  <c r="C17" i="313"/>
  <c r="C8" i="317"/>
  <c r="C8" i="316"/>
  <c r="B7" i="311"/>
  <c r="C7" i="311" s="1"/>
  <c r="P7" i="322" s="1"/>
  <c r="I17" i="312"/>
  <c r="C6" i="312"/>
  <c r="V6" i="312" s="1"/>
  <c r="T6" i="328" s="1"/>
  <c r="C7" i="317"/>
  <c r="I8" i="314"/>
  <c r="C8" i="314" s="1"/>
  <c r="C17" i="316"/>
  <c r="B7" i="316"/>
  <c r="D7" i="316" s="1"/>
  <c r="B9" i="316"/>
  <c r="D9" i="316" s="1"/>
  <c r="B13" i="316"/>
  <c r="B15" i="316"/>
  <c r="D15" i="316" s="1"/>
  <c r="B17" i="316"/>
  <c r="D17" i="316" s="1"/>
  <c r="B6" i="317"/>
  <c r="D6" i="317" s="1"/>
  <c r="B10" i="317"/>
  <c r="D10" i="317" s="1"/>
  <c r="B14" i="317"/>
  <c r="D14" i="317" s="1"/>
  <c r="B16" i="317"/>
  <c r="B6" i="316"/>
  <c r="D6" i="316" s="1"/>
  <c r="B10" i="316"/>
  <c r="D10" i="316" s="1"/>
  <c r="B14" i="316"/>
  <c r="D14" i="316" s="1"/>
  <c r="B16" i="316"/>
  <c r="D16" i="316" s="1"/>
  <c r="B7" i="317"/>
  <c r="D7" i="317" s="1"/>
  <c r="B13" i="317"/>
  <c r="D13" i="317" s="1"/>
  <c r="C6" i="311"/>
  <c r="B17" i="317"/>
  <c r="D17" i="317" s="1"/>
  <c r="B15" i="317"/>
  <c r="D15" i="317" s="1"/>
  <c r="C9" i="317"/>
  <c r="C9" i="316"/>
  <c r="B8" i="311"/>
  <c r="C8" i="311" s="1"/>
  <c r="L17" i="314"/>
  <c r="O11" i="327"/>
  <c r="C11" i="318"/>
  <c r="F8" i="326"/>
  <c r="T8" i="324"/>
  <c r="F15" i="325"/>
  <c r="O6" i="327"/>
  <c r="C6" i="318"/>
  <c r="I17" i="318"/>
  <c r="F12" i="326"/>
  <c r="T12" i="324"/>
  <c r="H7" i="326"/>
  <c r="H6" i="326"/>
  <c r="H5" i="326"/>
  <c r="G17" i="312"/>
  <c r="AE9" i="327"/>
  <c r="C9" i="320"/>
  <c r="E9" i="325" s="1"/>
  <c r="C13" i="314"/>
  <c r="O10" i="327"/>
  <c r="C10" i="318"/>
  <c r="V5" i="312"/>
  <c r="F9" i="325"/>
  <c r="D5" i="325"/>
  <c r="AE13" i="327"/>
  <c r="C13" i="320"/>
  <c r="E13" i="325" s="1"/>
  <c r="F13" i="325" s="1"/>
  <c r="I17" i="321"/>
  <c r="AE17" i="327" s="1"/>
  <c r="C5" i="321"/>
  <c r="C17" i="321" s="1"/>
  <c r="H15" i="326"/>
  <c r="AF15" i="324"/>
  <c r="D9" i="326"/>
  <c r="I9" i="326" s="1"/>
  <c r="C12" i="314"/>
  <c r="Q17" i="327"/>
  <c r="D13" i="316"/>
  <c r="O15" i="327"/>
  <c r="C15" i="318"/>
  <c r="F12" i="325"/>
  <c r="F8" i="325"/>
  <c r="C7" i="316"/>
  <c r="O14" i="327"/>
  <c r="C14" i="318"/>
  <c r="E20" i="316"/>
  <c r="AJ17" i="327"/>
  <c r="D16" i="317"/>
  <c r="AB17" i="327"/>
  <c r="AE5" i="327"/>
  <c r="C5" i="320"/>
  <c r="H11" i="326"/>
  <c r="C15" i="314"/>
  <c r="C11" i="314"/>
  <c r="C7" i="314"/>
  <c r="C15" i="316"/>
  <c r="O7" i="327"/>
  <c r="C7" i="318"/>
  <c r="G15" i="326"/>
  <c r="E12" i="326"/>
  <c r="K12" i="324"/>
  <c r="G11" i="326"/>
  <c r="E8" i="326"/>
  <c r="G7" i="326"/>
  <c r="Y7" i="324"/>
  <c r="G6" i="326"/>
  <c r="G5" i="326"/>
  <c r="L13" i="323"/>
  <c r="E13" i="323"/>
  <c r="BI13" i="323"/>
  <c r="BB13" i="323"/>
  <c r="AU13" i="323"/>
  <c r="AN13" i="323"/>
  <c r="AG13" i="323"/>
  <c r="I17" i="319"/>
  <c r="C14" i="320"/>
  <c r="E14" i="325" s="1"/>
  <c r="C10" i="320"/>
  <c r="E10" i="325" s="1"/>
  <c r="C6" i="320"/>
  <c r="E6" i="325" s="1"/>
  <c r="F15" i="326"/>
  <c r="T15" i="324"/>
  <c r="H14" i="326"/>
  <c r="D12" i="326"/>
  <c r="I12" i="326" s="1"/>
  <c r="F11" i="326"/>
  <c r="T11" i="324"/>
  <c r="H10" i="326"/>
  <c r="D8" i="326"/>
  <c r="I8" i="326" s="1"/>
  <c r="F7" i="326"/>
  <c r="T7" i="324"/>
  <c r="T6" i="324"/>
  <c r="F6" i="326"/>
  <c r="T5" i="324"/>
  <c r="F5" i="326"/>
  <c r="AG10" i="323"/>
  <c r="Z10" i="323"/>
  <c r="E10" i="323"/>
  <c r="BB10" i="323"/>
  <c r="S10" i="323"/>
  <c r="AU10" i="323"/>
  <c r="AN10" i="323"/>
  <c r="L10" i="323"/>
  <c r="E9" i="323"/>
  <c r="BI9" i="323"/>
  <c r="AU9" i="323"/>
  <c r="AN9" i="323"/>
  <c r="BP9" i="323"/>
  <c r="S9" i="323"/>
  <c r="AG9" i="323"/>
  <c r="C17" i="323"/>
  <c r="BW9" i="323"/>
  <c r="L9" i="323"/>
  <c r="E15" i="326"/>
  <c r="G14" i="326"/>
  <c r="E11" i="326"/>
  <c r="G10" i="326"/>
  <c r="E7" i="326"/>
  <c r="E6" i="326"/>
  <c r="BS14" i="323"/>
  <c r="BT14" i="323"/>
  <c r="AC13" i="323"/>
  <c r="AD13" i="323"/>
  <c r="K8" i="324"/>
  <c r="AI17" i="327"/>
  <c r="AA17" i="327"/>
  <c r="M15" i="322"/>
  <c r="D15" i="326"/>
  <c r="I15" i="326" s="1"/>
  <c r="F14" i="326"/>
  <c r="T14" i="324"/>
  <c r="H13" i="326"/>
  <c r="M11" i="322"/>
  <c r="D11" i="326"/>
  <c r="I11" i="326" s="1"/>
  <c r="F10" i="326"/>
  <c r="T10" i="324"/>
  <c r="H9" i="326"/>
  <c r="M7" i="322"/>
  <c r="D7" i="326"/>
  <c r="I7" i="326" s="1"/>
  <c r="D6" i="326"/>
  <c r="I6" i="326" s="1"/>
  <c r="D5" i="326"/>
  <c r="I5" i="326" s="1"/>
  <c r="BI10" i="323"/>
  <c r="BB9" i="323"/>
  <c r="AE8" i="327"/>
  <c r="E14" i="326"/>
  <c r="G13" i="326"/>
  <c r="E10" i="326"/>
  <c r="G9" i="326"/>
  <c r="M6" i="322"/>
  <c r="BU13" i="323"/>
  <c r="S13" i="323"/>
  <c r="C13" i="318"/>
  <c r="C9" i="318"/>
  <c r="C5" i="318"/>
  <c r="AG17" i="327"/>
  <c r="C12" i="320"/>
  <c r="E12" i="325" s="1"/>
  <c r="C8" i="320"/>
  <c r="E8" i="325" s="1"/>
  <c r="S15" i="322"/>
  <c r="M14" i="322"/>
  <c r="D14" i="326"/>
  <c r="I14" i="326" s="1"/>
  <c r="T13" i="324"/>
  <c r="F13" i="326"/>
  <c r="H12" i="326"/>
  <c r="S11" i="322"/>
  <c r="M10" i="322"/>
  <c r="D10" i="326"/>
  <c r="I10" i="326" s="1"/>
  <c r="F9" i="326"/>
  <c r="T9" i="324"/>
  <c r="H8" i="326"/>
  <c r="S7" i="322"/>
  <c r="E13" i="326"/>
  <c r="G12" i="326"/>
  <c r="E9" i="326"/>
  <c r="G8" i="326"/>
  <c r="S6" i="322"/>
  <c r="S5" i="322"/>
  <c r="E5" i="323"/>
  <c r="BI5" i="323"/>
  <c r="AM5" i="323"/>
  <c r="AN5" i="323"/>
  <c r="AG5" i="323"/>
  <c r="BO3" i="324"/>
  <c r="BP3" i="324" s="1"/>
  <c r="BQ3" i="324" s="1"/>
  <c r="BR3" i="324" s="1"/>
  <c r="BS3" i="324"/>
  <c r="BT3" i="324" s="1"/>
  <c r="BU3" i="324" s="1"/>
  <c r="BV3" i="324" s="1"/>
  <c r="BW3" i="324" s="1"/>
  <c r="BX3" i="324" s="1"/>
  <c r="BY3" i="324" s="1"/>
  <c r="BZ3" i="324" s="1"/>
  <c r="CA3" i="324" s="1"/>
  <c r="CB3" i="324" s="1"/>
  <c r="CC3" i="324" s="1"/>
  <c r="CD3" i="324" s="1"/>
  <c r="CE3" i="324" s="1"/>
  <c r="BS12" i="323"/>
  <c r="S5" i="323"/>
  <c r="BS5" i="323"/>
  <c r="BT5" i="323"/>
  <c r="AE5" i="323"/>
  <c r="BT10" i="323"/>
  <c r="O5" i="323"/>
  <c r="P5" i="323"/>
  <c r="BQ15" i="324"/>
  <c r="BS15" i="324"/>
  <c r="BT15" i="324"/>
  <c r="BP17" i="324"/>
  <c r="R15" i="324"/>
  <c r="BQ8" i="324"/>
  <c r="CA14" i="323"/>
  <c r="CA10" i="323"/>
  <c r="E5" i="326"/>
  <c r="AN15" i="323"/>
  <c r="BB14" i="323"/>
  <c r="Z12" i="323"/>
  <c r="AD9" i="323"/>
  <c r="BZ5" i="323"/>
  <c r="D12" i="324"/>
  <c r="L12" i="324"/>
  <c r="BH12" i="324"/>
  <c r="E12" i="324"/>
  <c r="BA12" i="324"/>
  <c r="BI12" i="324"/>
  <c r="AT12" i="324"/>
  <c r="BB12" i="324"/>
  <c r="AM12" i="324"/>
  <c r="AU12" i="324"/>
  <c r="AF12" i="324"/>
  <c r="AN12" i="324"/>
  <c r="Y12" i="324"/>
  <c r="AG12" i="324"/>
  <c r="R12" i="324"/>
  <c r="Z12" i="324"/>
  <c r="BV12" i="324"/>
  <c r="D8" i="324"/>
  <c r="L8" i="324"/>
  <c r="BH8" i="324"/>
  <c r="E8" i="324"/>
  <c r="BA8" i="324"/>
  <c r="BI8" i="324"/>
  <c r="AT8" i="324"/>
  <c r="BB8" i="324"/>
  <c r="AM8" i="324"/>
  <c r="AU8" i="324"/>
  <c r="AF8" i="324"/>
  <c r="AN8" i="324"/>
  <c r="Y8" i="324"/>
  <c r="AG8" i="324"/>
  <c r="R8" i="324"/>
  <c r="Z8" i="324"/>
  <c r="BQ7" i="324"/>
  <c r="Y6" i="324"/>
  <c r="K7" i="324"/>
  <c r="K6" i="324"/>
  <c r="BH6" i="324"/>
  <c r="AT7" i="324"/>
  <c r="BA6" i="324"/>
  <c r="BH5" i="324"/>
  <c r="AT6" i="324"/>
  <c r="AT17" i="324" s="1"/>
  <c r="BA5" i="324"/>
  <c r="AM6" i="324"/>
  <c r="AF6" i="324"/>
  <c r="R6" i="324"/>
  <c r="AM7" i="324"/>
  <c r="AT9" i="324"/>
  <c r="AF10" i="324"/>
  <c r="R11" i="324"/>
  <c r="BV11" i="324"/>
  <c r="BV6" i="324"/>
  <c r="Y10" i="324"/>
  <c r="K11" i="324"/>
  <c r="BO11" i="324"/>
  <c r="AM13" i="324"/>
  <c r="Y14" i="324"/>
  <c r="K15" i="324"/>
  <c r="BH7" i="324"/>
  <c r="AF9" i="324"/>
  <c r="R10" i="324"/>
  <c r="D11" i="324"/>
  <c r="BH11" i="324"/>
  <c r="AF13" i="324"/>
  <c r="R14" i="324"/>
  <c r="D15" i="324"/>
  <c r="R7" i="324"/>
  <c r="AF7" i="324"/>
  <c r="BA7" i="324"/>
  <c r="K10" i="324"/>
  <c r="BA11" i="324"/>
  <c r="K14" i="324"/>
  <c r="AF5" i="324"/>
  <c r="D7" i="324"/>
  <c r="R9" i="324"/>
  <c r="BV9" i="324"/>
  <c r="D10" i="324"/>
  <c r="BH10" i="324"/>
  <c r="AT11" i="324"/>
  <c r="R13" i="324"/>
  <c r="BV13" i="324"/>
  <c r="D14" i="324"/>
  <c r="K9" i="324"/>
  <c r="BO9" i="324"/>
  <c r="BO17" i="324" s="1"/>
  <c r="BA10" i="324"/>
  <c r="AM11" i="324"/>
  <c r="K13" i="324"/>
  <c r="BA14" i="324"/>
  <c r="D9" i="324"/>
  <c r="BH9" i="324"/>
  <c r="AT10" i="324"/>
  <c r="AF11" i="324"/>
  <c r="D13" i="324"/>
  <c r="BH13" i="324"/>
  <c r="AM15" i="324"/>
  <c r="I13" i="329"/>
  <c r="C13" i="329"/>
  <c r="C9" i="329"/>
  <c r="P17" i="329"/>
  <c r="C5" i="329"/>
  <c r="Z6" i="323"/>
  <c r="AG6" i="323"/>
  <c r="AT15" i="324"/>
  <c r="AT14" i="324"/>
  <c r="AT13" i="324"/>
  <c r="BQ11" i="324"/>
  <c r="AM9" i="324"/>
  <c r="BX12" i="324"/>
  <c r="BX8" i="324"/>
  <c r="BZ8" i="324"/>
  <c r="CA8" i="324"/>
  <c r="AU6" i="323"/>
  <c r="BW17" i="324"/>
  <c r="BX6" i="324" s="1"/>
  <c r="BA15" i="324"/>
  <c r="Y15" i="324"/>
  <c r="BU12" i="324"/>
  <c r="BA9" i="324"/>
  <c r="I5" i="329"/>
  <c r="AF14" i="324"/>
  <c r="I10" i="329"/>
  <c r="C10" i="329" s="1"/>
  <c r="BQ10" i="324"/>
  <c r="BS7" i="324"/>
  <c r="I15" i="329"/>
  <c r="C15" i="329" s="1"/>
  <c r="I7" i="329"/>
  <c r="C7" i="329" s="1"/>
  <c r="D6" i="324"/>
  <c r="I12" i="329"/>
  <c r="AG13" i="324"/>
  <c r="BS8" i="324"/>
  <c r="C17" i="325"/>
  <c r="I9" i="329"/>
  <c r="BT13" i="324"/>
  <c r="I14" i="329"/>
  <c r="C14" i="329" s="1"/>
  <c r="I6" i="329"/>
  <c r="C6" i="329" s="1"/>
  <c r="AM5" i="324"/>
  <c r="I11" i="329"/>
  <c r="C11" i="329" s="1"/>
  <c r="C12" i="329"/>
  <c r="Z15" i="324"/>
  <c r="I8" i="329"/>
  <c r="C8" i="329" s="1"/>
  <c r="BZ5" i="324"/>
  <c r="F5" i="329"/>
  <c r="F17" i="329" s="1"/>
  <c r="E5" i="324"/>
  <c r="BX5" i="324"/>
  <c r="D5" i="324"/>
  <c r="R5" i="324"/>
  <c r="C14" i="328"/>
  <c r="C12" i="328"/>
  <c r="C10" i="328"/>
  <c r="C8" i="328"/>
  <c r="C6" i="328"/>
  <c r="C17" i="328" s="1"/>
  <c r="AG5" i="324"/>
  <c r="AF17" i="324" l="1"/>
  <c r="BH17" i="324"/>
  <c r="Z17" i="324"/>
  <c r="AA8" i="324"/>
  <c r="BC8" i="324"/>
  <c r="BB17" i="324"/>
  <c r="CB8" i="324"/>
  <c r="X8" i="310"/>
  <c r="C17" i="329"/>
  <c r="I18" i="329"/>
  <c r="B18" i="317"/>
  <c r="D18" i="317" s="1"/>
  <c r="B18" i="316"/>
  <c r="D18" i="316" s="1"/>
  <c r="AH13" i="324"/>
  <c r="D17" i="324"/>
  <c r="BU10" i="323"/>
  <c r="AM10" i="310"/>
  <c r="F10" i="323"/>
  <c r="Y7" i="323"/>
  <c r="K8" i="323"/>
  <c r="K7" i="323"/>
  <c r="BA8" i="323"/>
  <c r="D7" i="323"/>
  <c r="BH7" i="323"/>
  <c r="AT8" i="323"/>
  <c r="K6" i="323"/>
  <c r="BA7" i="323"/>
  <c r="AM8" i="323"/>
  <c r="D6" i="323"/>
  <c r="BH6" i="323"/>
  <c r="AT7" i="323"/>
  <c r="D8" i="323"/>
  <c r="BV12" i="323"/>
  <c r="K12" i="323"/>
  <c r="AM14" i="323"/>
  <c r="Y15" i="323"/>
  <c r="R11" i="323"/>
  <c r="BV11" i="323"/>
  <c r="D12" i="323"/>
  <c r="BH12" i="323"/>
  <c r="AF14" i="323"/>
  <c r="R15" i="323"/>
  <c r="BV15" i="323"/>
  <c r="AF7" i="323"/>
  <c r="Y8" i="323"/>
  <c r="K11" i="323"/>
  <c r="BO11" i="323"/>
  <c r="BA12" i="323"/>
  <c r="Y14" i="323"/>
  <c r="K15" i="323"/>
  <c r="AT6" i="323"/>
  <c r="D11" i="323"/>
  <c r="BH11" i="323"/>
  <c r="AT12" i="323"/>
  <c r="R14" i="323"/>
  <c r="D15" i="323"/>
  <c r="BH15" i="323"/>
  <c r="R7" i="323"/>
  <c r="BA11" i="323"/>
  <c r="AM12" i="323"/>
  <c r="K14" i="323"/>
  <c r="BA15" i="323"/>
  <c r="BA6" i="323"/>
  <c r="AM7" i="323"/>
  <c r="AF8" i="323"/>
  <c r="AT11" i="323"/>
  <c r="AF6" i="323"/>
  <c r="BA14" i="323"/>
  <c r="D5" i="323"/>
  <c r="BH14" i="323"/>
  <c r="AM15" i="323"/>
  <c r="R8" i="323"/>
  <c r="BH8" i="323"/>
  <c r="Y12" i="323"/>
  <c r="AT15" i="323"/>
  <c r="AF12" i="323"/>
  <c r="BO9" i="323"/>
  <c r="BO17" i="323" s="1"/>
  <c r="AM11" i="323"/>
  <c r="D14" i="323"/>
  <c r="AU17" i="323"/>
  <c r="BV6" i="323"/>
  <c r="BA17" i="324"/>
  <c r="Y17" i="324"/>
  <c r="AV8" i="324"/>
  <c r="AU17" i="324"/>
  <c r="L17" i="324"/>
  <c r="CB10" i="323"/>
  <c r="AN10" i="310"/>
  <c r="BU15" i="324"/>
  <c r="W15" i="310"/>
  <c r="AN17" i="323"/>
  <c r="AF11" i="323"/>
  <c r="AF15" i="323"/>
  <c r="I17" i="326"/>
  <c r="J10" i="326" s="1"/>
  <c r="K10" i="326" s="1"/>
  <c r="L10" i="326" s="1"/>
  <c r="M10" i="326" s="1"/>
  <c r="J5" i="326"/>
  <c r="BU14" i="323"/>
  <c r="AM14" i="310"/>
  <c r="BH9" i="323"/>
  <c r="AO9" i="323"/>
  <c r="AF10" i="323"/>
  <c r="R10" i="323"/>
  <c r="AM6" i="323"/>
  <c r="AM17" i="323" s="1"/>
  <c r="AF5" i="323"/>
  <c r="K13" i="323"/>
  <c r="R13" i="323"/>
  <c r="C17" i="318"/>
  <c r="J7" i="326"/>
  <c r="K7" i="326" s="1"/>
  <c r="L7" i="326" s="1"/>
  <c r="M7" i="326" s="1"/>
  <c r="J11" i="326"/>
  <c r="K11" i="326" s="1"/>
  <c r="L11" i="326" s="1"/>
  <c r="M11" i="326" s="1"/>
  <c r="AT9" i="323"/>
  <c r="AF9" i="323"/>
  <c r="J12" i="326"/>
  <c r="K12" i="326" s="1"/>
  <c r="L12" i="326" s="1"/>
  <c r="M12" i="326" s="1"/>
  <c r="BA13" i="323"/>
  <c r="P9" i="322"/>
  <c r="P13" i="322"/>
  <c r="P10" i="322"/>
  <c r="P14" i="322"/>
  <c r="P5" i="322"/>
  <c r="P6" i="322"/>
  <c r="P11" i="322"/>
  <c r="P15" i="322"/>
  <c r="I17" i="314"/>
  <c r="B13" i="311" s="1"/>
  <c r="J14" i="326"/>
  <c r="K14" i="326" s="1"/>
  <c r="L14" i="326" s="1"/>
  <c r="M14" i="326" s="1"/>
  <c r="J15" i="326"/>
  <c r="K15" i="326" s="1"/>
  <c r="L15" i="326" s="1"/>
  <c r="M15" i="326" s="1"/>
  <c r="AE13" i="323"/>
  <c r="AE13" i="310"/>
  <c r="AM9" i="323"/>
  <c r="K10" i="323"/>
  <c r="BA10" i="323"/>
  <c r="J8" i="326"/>
  <c r="K8" i="326" s="1"/>
  <c r="L8" i="326" s="1"/>
  <c r="M8" i="326" s="1"/>
  <c r="AF13" i="323"/>
  <c r="BH13" i="323"/>
  <c r="C5" i="314"/>
  <c r="M5" i="322"/>
  <c r="M8" i="322"/>
  <c r="M12" i="322"/>
  <c r="M9" i="322"/>
  <c r="M13" i="322"/>
  <c r="F17" i="310"/>
  <c r="G17" i="310"/>
  <c r="I17" i="310"/>
  <c r="G10" i="325"/>
  <c r="G8" i="325"/>
  <c r="I18" i="314"/>
  <c r="AO10" i="323"/>
  <c r="AM17" i="324"/>
  <c r="E17" i="324"/>
  <c r="BU13" i="324"/>
  <c r="W13" i="310"/>
  <c r="BI17" i="324"/>
  <c r="BJ8" i="324" s="1"/>
  <c r="BH5" i="323"/>
  <c r="BA5" i="323"/>
  <c r="L17" i="323"/>
  <c r="BJ9" i="323"/>
  <c r="AM10" i="323"/>
  <c r="T17" i="324"/>
  <c r="AV13" i="323"/>
  <c r="M8" i="324"/>
  <c r="AH13" i="323"/>
  <c r="D17" i="325"/>
  <c r="O17" i="327"/>
  <c r="P8" i="322"/>
  <c r="C5" i="311"/>
  <c r="J13" i="326"/>
  <c r="K13" i="326" s="1"/>
  <c r="L13" i="326" s="1"/>
  <c r="M13" i="326" s="1"/>
  <c r="Q5" i="323"/>
  <c r="AC5" i="310"/>
  <c r="BJ5" i="323"/>
  <c r="BI17" i="323"/>
  <c r="BJ10" i="323" s="1"/>
  <c r="B8" i="317"/>
  <c r="D8" i="317" s="1"/>
  <c r="B8" i="316"/>
  <c r="D8" i="316" s="1"/>
  <c r="G5" i="325" s="1"/>
  <c r="S17" i="323"/>
  <c r="BW17" i="323"/>
  <c r="BQ9" i="323"/>
  <c r="BP17" i="323"/>
  <c r="BA9" i="323"/>
  <c r="AV10" i="323"/>
  <c r="D10" i="323"/>
  <c r="AT14" i="323"/>
  <c r="AM13" i="323"/>
  <c r="D13" i="323"/>
  <c r="P12" i="322"/>
  <c r="B24" i="311"/>
  <c r="C24" i="311" s="1"/>
  <c r="C14" i="317"/>
  <c r="C14" i="316"/>
  <c r="C18" i="316"/>
  <c r="B28" i="311"/>
  <c r="C28" i="311" s="1"/>
  <c r="C18" i="317"/>
  <c r="AV9" i="323"/>
  <c r="AO13" i="323"/>
  <c r="BC12" i="324"/>
  <c r="CB14" i="323"/>
  <c r="AN14" i="310"/>
  <c r="E17" i="323"/>
  <c r="AG17" i="324"/>
  <c r="R17" i="324"/>
  <c r="I17" i="329"/>
  <c r="R6" i="323"/>
  <c r="K17" i="324"/>
  <c r="AO8" i="324"/>
  <c r="AN17" i="324"/>
  <c r="AO12" i="324" s="1"/>
  <c r="BU5" i="323"/>
  <c r="AM5" i="310"/>
  <c r="R5" i="323"/>
  <c r="BV13" i="323"/>
  <c r="J6" i="326"/>
  <c r="K6" i="326" s="1"/>
  <c r="L6" i="326" s="1"/>
  <c r="M6" i="326" s="1"/>
  <c r="K9" i="323"/>
  <c r="R9" i="323"/>
  <c r="E5" i="325"/>
  <c r="E17" i="325" s="1"/>
  <c r="C17" i="320"/>
  <c r="S8" i="322"/>
  <c r="S12" i="322"/>
  <c r="S9" i="322"/>
  <c r="S13" i="322"/>
  <c r="S10" i="322"/>
  <c r="S14" i="322"/>
  <c r="H17" i="310"/>
  <c r="C10" i="317"/>
  <c r="C10" i="316"/>
  <c r="B9" i="311"/>
  <c r="C9" i="311" s="1"/>
  <c r="F6" i="325"/>
  <c r="F14" i="325"/>
  <c r="C23" i="311"/>
  <c r="B29" i="311"/>
  <c r="BB17" i="323"/>
  <c r="BC14" i="323" s="1"/>
  <c r="BX7" i="324"/>
  <c r="BX17" i="324" s="1"/>
  <c r="BX11" i="324"/>
  <c r="BX10" i="324"/>
  <c r="BX9" i="324"/>
  <c r="BX13" i="324"/>
  <c r="BX14" i="324"/>
  <c r="BX15" i="324"/>
  <c r="Y6" i="323"/>
  <c r="Y17" i="323" s="1"/>
  <c r="Z17" i="323"/>
  <c r="AA12" i="323" s="1"/>
  <c r="BV17" i="324"/>
  <c r="AE9" i="323"/>
  <c r="AE9" i="310"/>
  <c r="BQ6" i="324"/>
  <c r="BQ5" i="324"/>
  <c r="BQ12" i="324"/>
  <c r="BQ9" i="324"/>
  <c r="BQ13" i="324"/>
  <c r="BQ14" i="324"/>
  <c r="AG17" i="323"/>
  <c r="AH5" i="323" s="1"/>
  <c r="AA12" i="324"/>
  <c r="R12" i="323"/>
  <c r="F5" i="324"/>
  <c r="BV9" i="323"/>
  <c r="D9" i="323"/>
  <c r="BH10" i="323"/>
  <c r="AT10" i="323"/>
  <c r="Y10" i="323"/>
  <c r="AT13" i="323"/>
  <c r="J9" i="326"/>
  <c r="K9" i="326" s="1"/>
  <c r="L9" i="326" s="1"/>
  <c r="M9" i="326" s="1"/>
  <c r="T5" i="328"/>
  <c r="T17" i="328" s="1"/>
  <c r="V17" i="312"/>
  <c r="M10" i="323"/>
  <c r="C17" i="312"/>
  <c r="C17" i="314" s="1"/>
  <c r="BY6" i="324" l="1"/>
  <c r="BZ6" i="324" s="1"/>
  <c r="BY5" i="324"/>
  <c r="BY8" i="324"/>
  <c r="BY12" i="324"/>
  <c r="BZ12" i="324" s="1"/>
  <c r="BY7" i="324"/>
  <c r="BY11" i="324"/>
  <c r="BZ11" i="324" s="1"/>
  <c r="BY10" i="324"/>
  <c r="BY15" i="324"/>
  <c r="BZ15" i="324" s="1"/>
  <c r="BY14" i="324"/>
  <c r="BY9" i="324"/>
  <c r="BZ9" i="324" s="1"/>
  <c r="BY13" i="324"/>
  <c r="BZ13" i="324" s="1"/>
  <c r="BX7" i="323"/>
  <c r="BX6" i="323"/>
  <c r="BX12" i="323"/>
  <c r="BX8" i="323"/>
  <c r="BX11" i="323"/>
  <c r="BX15" i="323"/>
  <c r="BX10" i="323"/>
  <c r="BX14" i="323"/>
  <c r="BX5" i="323"/>
  <c r="BX13" i="323"/>
  <c r="B10" i="311"/>
  <c r="M5" i="323"/>
  <c r="M15" i="323"/>
  <c r="M6" i="323"/>
  <c r="M11" i="323"/>
  <c r="M13" i="323"/>
  <c r="M12" i="323"/>
  <c r="M7" i="323"/>
  <c r="M8" i="323"/>
  <c r="M9" i="323"/>
  <c r="M14" i="323"/>
  <c r="G9" i="325"/>
  <c r="AV5" i="323"/>
  <c r="AV7" i="323"/>
  <c r="AV14" i="323"/>
  <c r="AV8" i="323"/>
  <c r="AV12" i="323"/>
  <c r="AV15" i="323"/>
  <c r="AV11" i="323"/>
  <c r="C18" i="320"/>
  <c r="D21" i="317"/>
  <c r="R17" i="323"/>
  <c r="U8" i="324"/>
  <c r="V8" i="324" s="1"/>
  <c r="U6" i="324"/>
  <c r="V6" i="324" s="1"/>
  <c r="U14" i="324"/>
  <c r="V14" i="324" s="1"/>
  <c r="U9" i="324"/>
  <c r="V9" i="324" s="1"/>
  <c r="U7" i="324"/>
  <c r="V7" i="324" s="1"/>
  <c r="U13" i="324"/>
  <c r="V13" i="324" s="1"/>
  <c r="U11" i="324"/>
  <c r="V11" i="324" s="1"/>
  <c r="U5" i="324"/>
  <c r="V5" i="324" s="1"/>
  <c r="U10" i="324"/>
  <c r="V10" i="324" s="1"/>
  <c r="U15" i="324"/>
  <c r="V15" i="324" s="1"/>
  <c r="U12" i="324"/>
  <c r="V12" i="324" s="1"/>
  <c r="BA17" i="323"/>
  <c r="E21" i="317"/>
  <c r="AH8" i="324"/>
  <c r="BC9" i="323"/>
  <c r="F7" i="323"/>
  <c r="F12" i="323"/>
  <c r="F11" i="323"/>
  <c r="F15" i="323"/>
  <c r="F14" i="323"/>
  <c r="F8" i="323"/>
  <c r="F6" i="323"/>
  <c r="BX9" i="323"/>
  <c r="T12" i="323"/>
  <c r="T14" i="323"/>
  <c r="T10" i="323"/>
  <c r="T6" i="323"/>
  <c r="T8" i="323"/>
  <c r="T7" i="323"/>
  <c r="T11" i="323"/>
  <c r="T9" i="323"/>
  <c r="T15" i="323"/>
  <c r="BJ8" i="323"/>
  <c r="BJ7" i="323"/>
  <c r="BJ6" i="323"/>
  <c r="BJ17" i="323" s="1"/>
  <c r="BJ12" i="323"/>
  <c r="BJ11" i="323"/>
  <c r="BJ15" i="323"/>
  <c r="BJ14" i="323"/>
  <c r="J10" i="322"/>
  <c r="J14" i="322"/>
  <c r="C10" i="311"/>
  <c r="J13" i="322"/>
  <c r="J6" i="322"/>
  <c r="J12" i="322"/>
  <c r="J11" i="322"/>
  <c r="J5" i="322"/>
  <c r="J15" i="322"/>
  <c r="J7" i="322"/>
  <c r="J9" i="322"/>
  <c r="J8" i="322"/>
  <c r="BH17" i="323"/>
  <c r="G17" i="325"/>
  <c r="H17" i="325" s="1"/>
  <c r="G12" i="325"/>
  <c r="AF17" i="323"/>
  <c r="AV6" i="323"/>
  <c r="T13" i="323"/>
  <c r="F5" i="323"/>
  <c r="T12" i="322"/>
  <c r="U12" i="322" s="1"/>
  <c r="AC12" i="322" s="1"/>
  <c r="H12" i="310" s="1"/>
  <c r="BC13" i="323"/>
  <c r="BQ7" i="323"/>
  <c r="BQ13" i="323"/>
  <c r="BQ6" i="323"/>
  <c r="BQ10" i="323"/>
  <c r="BQ11" i="323"/>
  <c r="BQ8" i="323"/>
  <c r="BQ14" i="323"/>
  <c r="BQ12" i="323"/>
  <c r="BQ5" i="323"/>
  <c r="BQ15" i="323"/>
  <c r="AH9" i="323"/>
  <c r="F8" i="324"/>
  <c r="F9" i="324"/>
  <c r="F15" i="324"/>
  <c r="F6" i="324"/>
  <c r="F17" i="324" s="1"/>
  <c r="F13" i="324"/>
  <c r="F7" i="324"/>
  <c r="F10" i="324"/>
  <c r="F11" i="324"/>
  <c r="F14" i="324"/>
  <c r="G15" i="325"/>
  <c r="AO11" i="323"/>
  <c r="AO7" i="323"/>
  <c r="AO12" i="323"/>
  <c r="AO8" i="323"/>
  <c r="AO14" i="323"/>
  <c r="AO6" i="323"/>
  <c r="D17" i="323"/>
  <c r="F13" i="323"/>
  <c r="AA13" i="324"/>
  <c r="AA7" i="324"/>
  <c r="AA10" i="324"/>
  <c r="AA9" i="324"/>
  <c r="AA15" i="324"/>
  <c r="AA5" i="324"/>
  <c r="AA14" i="324"/>
  <c r="AA6" i="324"/>
  <c r="AA11" i="324"/>
  <c r="H8" i="325"/>
  <c r="G7" i="325"/>
  <c r="J17" i="310"/>
  <c r="M15" i="324"/>
  <c r="M11" i="324"/>
  <c r="M9" i="324"/>
  <c r="M7" i="324"/>
  <c r="M5" i="324"/>
  <c r="M13" i="324"/>
  <c r="M14" i="324"/>
  <c r="M10" i="324"/>
  <c r="M6" i="324"/>
  <c r="F9" i="323"/>
  <c r="H10" i="325"/>
  <c r="BJ12" i="324"/>
  <c r="C29" i="311"/>
  <c r="T10" i="322"/>
  <c r="U10" i="322" s="1"/>
  <c r="AC10" i="322" s="1"/>
  <c r="H10" i="310" s="1"/>
  <c r="AH5" i="324"/>
  <c r="AH12" i="323"/>
  <c r="AH10" i="323"/>
  <c r="AH8" i="323"/>
  <c r="AH15" i="323"/>
  <c r="AH14" i="323"/>
  <c r="AH7" i="323"/>
  <c r="AH11" i="323"/>
  <c r="BQ17" i="324"/>
  <c r="AO14" i="324"/>
  <c r="AO7" i="324"/>
  <c r="AO11" i="324"/>
  <c r="AO15" i="324"/>
  <c r="AO10" i="324"/>
  <c r="AO6" i="324"/>
  <c r="AO5" i="324"/>
  <c r="AO17" i="324" s="1"/>
  <c r="AO13" i="324"/>
  <c r="AO9" i="324"/>
  <c r="F17" i="325"/>
  <c r="G14" i="325"/>
  <c r="H14" i="325" s="1"/>
  <c r="BC10" i="323"/>
  <c r="BJ13" i="323"/>
  <c r="AO5" i="323"/>
  <c r="BV17" i="323"/>
  <c r="AT17" i="323"/>
  <c r="F12" i="324"/>
  <c r="T5" i="323"/>
  <c r="T17" i="323" s="1"/>
  <c r="AA6" i="323"/>
  <c r="M12" i="324"/>
  <c r="BJ7" i="324"/>
  <c r="BJ11" i="324"/>
  <c r="BJ10" i="324"/>
  <c r="BJ15" i="324"/>
  <c r="BJ14" i="324"/>
  <c r="BJ5" i="324"/>
  <c r="BJ9" i="324"/>
  <c r="BJ13" i="324"/>
  <c r="BJ6" i="324"/>
  <c r="D18" i="320"/>
  <c r="E18" i="320"/>
  <c r="G18" i="320"/>
  <c r="H18" i="320"/>
  <c r="F18" i="320"/>
  <c r="I18" i="320"/>
  <c r="BC8" i="323"/>
  <c r="BC11" i="323"/>
  <c r="BC12" i="323"/>
  <c r="BC6" i="323"/>
  <c r="BC15" i="323"/>
  <c r="BC7" i="323"/>
  <c r="BC5" i="323"/>
  <c r="BC17" i="323" s="1"/>
  <c r="V8" i="322"/>
  <c r="V12" i="322"/>
  <c r="V7" i="322"/>
  <c r="V13" i="322"/>
  <c r="V11" i="322"/>
  <c r="V14" i="322"/>
  <c r="V5" i="322"/>
  <c r="V10" i="322"/>
  <c r="V9" i="322"/>
  <c r="V6" i="322"/>
  <c r="V15" i="322"/>
  <c r="AH9" i="324"/>
  <c r="AH7" i="324"/>
  <c r="AH15" i="324"/>
  <c r="AH10" i="324"/>
  <c r="AH14" i="324"/>
  <c r="AH6" i="324"/>
  <c r="AH11" i="324"/>
  <c r="Q12" i="322"/>
  <c r="R12" i="322" s="1"/>
  <c r="AB12" i="322" s="1"/>
  <c r="G12" i="310" s="1"/>
  <c r="S17" i="322"/>
  <c r="T9" i="322" s="1"/>
  <c r="U9" i="322" s="1"/>
  <c r="AC9" i="322" s="1"/>
  <c r="H9" i="310" s="1"/>
  <c r="F5" i="325"/>
  <c r="G6" i="325"/>
  <c r="H6" i="325" s="1"/>
  <c r="N8" i="322"/>
  <c r="O8" i="322" s="1"/>
  <c r="AA8" i="322" s="1"/>
  <c r="F8" i="310" s="1"/>
  <c r="B17" i="311"/>
  <c r="C13" i="311"/>
  <c r="C17" i="311" s="1"/>
  <c r="P17" i="322"/>
  <c r="Q7" i="322" s="1"/>
  <c r="R7" i="322" s="1"/>
  <c r="AB7" i="322" s="1"/>
  <c r="G7" i="310" s="1"/>
  <c r="Q5" i="322"/>
  <c r="D22" i="316"/>
  <c r="E22" i="316"/>
  <c r="K5" i="326"/>
  <c r="J17" i="326"/>
  <c r="K17" i="323"/>
  <c r="BC6" i="324"/>
  <c r="BC13" i="324"/>
  <c r="BC10" i="324"/>
  <c r="BC14" i="324"/>
  <c r="BC7" i="324"/>
  <c r="BC15" i="324"/>
  <c r="BC9" i="324"/>
  <c r="BC5" i="324"/>
  <c r="BC11" i="324"/>
  <c r="AA9" i="323"/>
  <c r="AA14" i="323"/>
  <c r="AA13" i="323"/>
  <c r="AA11" i="323"/>
  <c r="AA7" i="323"/>
  <c r="AA15" i="323"/>
  <c r="AA5" i="323"/>
  <c r="AA10" i="323"/>
  <c r="AA8" i="323"/>
  <c r="G11" i="325"/>
  <c r="G13" i="325"/>
  <c r="N5" i="322"/>
  <c r="M17" i="322"/>
  <c r="N12" i="322" s="1"/>
  <c r="O12" i="322" s="1"/>
  <c r="AA12" i="322" s="1"/>
  <c r="F12" i="310" s="1"/>
  <c r="AH6" i="323"/>
  <c r="AH17" i="323" s="1"/>
  <c r="Q14" i="322"/>
  <c r="R14" i="322" s="1"/>
  <c r="AB14" i="322" s="1"/>
  <c r="G14" i="310" s="1"/>
  <c r="I8" i="325"/>
  <c r="AV6" i="324"/>
  <c r="AV5" i="324"/>
  <c r="AV9" i="324"/>
  <c r="AV13" i="324"/>
  <c r="AV11" i="324"/>
  <c r="AV7" i="324"/>
  <c r="AV15" i="324"/>
  <c r="AV10" i="324"/>
  <c r="AV14" i="324"/>
  <c r="AV12" i="324"/>
  <c r="AO15" i="323"/>
  <c r="AH12" i="324"/>
  <c r="AP6" i="323" l="1"/>
  <c r="AQ6" i="323" s="1"/>
  <c r="AP5" i="323"/>
  <c r="AQ5" i="323" s="1"/>
  <c r="AP7" i="323"/>
  <c r="AQ7" i="323" s="1"/>
  <c r="AP12" i="323"/>
  <c r="AQ12" i="323" s="1"/>
  <c r="AP11" i="323"/>
  <c r="AQ11" i="323" s="1"/>
  <c r="AP15" i="323"/>
  <c r="AQ15" i="323" s="1"/>
  <c r="AP8" i="323"/>
  <c r="AQ8" i="323" s="1"/>
  <c r="AP14" i="323"/>
  <c r="AQ14" i="323" s="1"/>
  <c r="AP10" i="323"/>
  <c r="AQ10" i="323" s="1"/>
  <c r="AP13" i="323"/>
  <c r="AQ13" i="323" s="1"/>
  <c r="AP9" i="323"/>
  <c r="AQ9" i="323" s="1"/>
  <c r="AI13" i="323"/>
  <c r="AJ13" i="323" s="1"/>
  <c r="AI11" i="323"/>
  <c r="AJ11" i="323" s="1"/>
  <c r="AI8" i="323"/>
  <c r="AJ8" i="323" s="1"/>
  <c r="AI12" i="323"/>
  <c r="AJ12" i="323" s="1"/>
  <c r="AI10" i="323"/>
  <c r="AJ10" i="323" s="1"/>
  <c r="AI9" i="323"/>
  <c r="AJ9" i="323" s="1"/>
  <c r="AI5" i="323"/>
  <c r="AJ5" i="323" s="1"/>
  <c r="AI6" i="323"/>
  <c r="AJ6" i="323" s="1"/>
  <c r="AI7" i="323"/>
  <c r="AJ7" i="323" s="1"/>
  <c r="AI15" i="323"/>
  <c r="AJ15" i="323" s="1"/>
  <c r="AI14" i="323"/>
  <c r="AJ14" i="323" s="1"/>
  <c r="BK6" i="323"/>
  <c r="BL6" i="323" s="1"/>
  <c r="BK5" i="323"/>
  <c r="BL5" i="323" s="1"/>
  <c r="BK9" i="323"/>
  <c r="BL9" i="323" s="1"/>
  <c r="BK8" i="323"/>
  <c r="BL8" i="323" s="1"/>
  <c r="BK10" i="323"/>
  <c r="BL10" i="323" s="1"/>
  <c r="BK14" i="323"/>
  <c r="BL14" i="323" s="1"/>
  <c r="BK7" i="323"/>
  <c r="BL7" i="323" s="1"/>
  <c r="BK13" i="323"/>
  <c r="BL13" i="323" s="1"/>
  <c r="BK12" i="323"/>
  <c r="BL12" i="323" s="1"/>
  <c r="BK15" i="323"/>
  <c r="BL15" i="323" s="1"/>
  <c r="BK11" i="323"/>
  <c r="BL11" i="323" s="1"/>
  <c r="G12" i="324"/>
  <c r="H12" i="324" s="1"/>
  <c r="G11" i="324"/>
  <c r="H11" i="324" s="1"/>
  <c r="G10" i="324"/>
  <c r="H10" i="324" s="1"/>
  <c r="G9" i="324"/>
  <c r="H9" i="324" s="1"/>
  <c r="G13" i="324"/>
  <c r="H13" i="324" s="1"/>
  <c r="G6" i="324"/>
  <c r="H6" i="324" s="1"/>
  <c r="G8" i="324"/>
  <c r="H8" i="324" s="1"/>
  <c r="G15" i="324"/>
  <c r="H15" i="324" s="1"/>
  <c r="G5" i="324"/>
  <c r="H5" i="324" s="1"/>
  <c r="G7" i="324"/>
  <c r="H7" i="324" s="1"/>
  <c r="G14" i="324"/>
  <c r="H14" i="324" s="1"/>
  <c r="H13" i="325"/>
  <c r="I13" i="325"/>
  <c r="W7" i="322"/>
  <c r="X7" i="322" s="1"/>
  <c r="AD7" i="322" s="1"/>
  <c r="I7" i="310" s="1"/>
  <c r="U14" i="323"/>
  <c r="V14" i="323" s="1"/>
  <c r="U15" i="323"/>
  <c r="V15" i="323" s="1"/>
  <c r="U8" i="323"/>
  <c r="V8" i="323" s="1"/>
  <c r="U12" i="323"/>
  <c r="V12" i="323" s="1"/>
  <c r="U6" i="323"/>
  <c r="V6" i="323" s="1"/>
  <c r="U13" i="323"/>
  <c r="V13" i="323" s="1"/>
  <c r="U5" i="323"/>
  <c r="V5" i="323" s="1"/>
  <c r="V17" i="323" s="1"/>
  <c r="U10" i="323"/>
  <c r="V10" i="323" s="1"/>
  <c r="U11" i="323"/>
  <c r="V11" i="323" s="1"/>
  <c r="U7" i="323"/>
  <c r="V7" i="323" s="1"/>
  <c r="U9" i="323"/>
  <c r="V9" i="323" s="1"/>
  <c r="AA17" i="324"/>
  <c r="AV17" i="323"/>
  <c r="BX17" i="323"/>
  <c r="BD5" i="323"/>
  <c r="BE5" i="323" s="1"/>
  <c r="BD9" i="323"/>
  <c r="BE9" i="323" s="1"/>
  <c r="BD6" i="323"/>
  <c r="BE6" i="323" s="1"/>
  <c r="BD11" i="323"/>
  <c r="BE11" i="323" s="1"/>
  <c r="BD15" i="323"/>
  <c r="BE15" i="323" s="1"/>
  <c r="BD14" i="323"/>
  <c r="BE14" i="323" s="1"/>
  <c r="BD10" i="323"/>
  <c r="BE10" i="323" s="1"/>
  <c r="BD8" i="323"/>
  <c r="BE8" i="323" s="1"/>
  <c r="BD13" i="323"/>
  <c r="BE13" i="323" s="1"/>
  <c r="BD7" i="323"/>
  <c r="BE7" i="323" s="1"/>
  <c r="BD12" i="323"/>
  <c r="BE12" i="323" s="1"/>
  <c r="H15" i="325"/>
  <c r="I15" i="325"/>
  <c r="H9" i="325"/>
  <c r="I9" i="325"/>
  <c r="H11" i="325"/>
  <c r="I11" i="325"/>
  <c r="BC17" i="324"/>
  <c r="Q15" i="322"/>
  <c r="R15" i="322" s="1"/>
  <c r="AB15" i="322" s="1"/>
  <c r="G15" i="310" s="1"/>
  <c r="T8" i="322"/>
  <c r="U8" i="322" s="1"/>
  <c r="AC8" i="322" s="1"/>
  <c r="H8" i="310" s="1"/>
  <c r="Q8" i="322"/>
  <c r="R8" i="322" s="1"/>
  <c r="AB8" i="322" s="1"/>
  <c r="G8" i="310" s="1"/>
  <c r="N13" i="322"/>
  <c r="O13" i="322" s="1"/>
  <c r="AA13" i="322" s="1"/>
  <c r="F13" i="310" s="1"/>
  <c r="K5" i="322"/>
  <c r="J17" i="322"/>
  <c r="K9" i="322" s="1"/>
  <c r="L9" i="322" s="1"/>
  <c r="Z9" i="322" s="1"/>
  <c r="E9" i="310" s="1"/>
  <c r="B19" i="311"/>
  <c r="C19" i="311" s="1"/>
  <c r="I5" i="325"/>
  <c r="D19" i="320"/>
  <c r="Q6" i="322"/>
  <c r="R6" i="322" s="1"/>
  <c r="AB6" i="322" s="1"/>
  <c r="G6" i="310" s="1"/>
  <c r="Q13" i="322"/>
  <c r="R13" i="322" s="1"/>
  <c r="AB13" i="322" s="1"/>
  <c r="G13" i="310" s="1"/>
  <c r="F17" i="323"/>
  <c r="K11" i="322"/>
  <c r="L11" i="322" s="1"/>
  <c r="Z11" i="322" s="1"/>
  <c r="E11" i="310" s="1"/>
  <c r="K13" i="322"/>
  <c r="L13" i="322" s="1"/>
  <c r="Z13" i="322" s="1"/>
  <c r="E13" i="310" s="1"/>
  <c r="T13" i="322"/>
  <c r="U13" i="322" s="1"/>
  <c r="AC13" i="322" s="1"/>
  <c r="H13" i="310" s="1"/>
  <c r="O5" i="322"/>
  <c r="AA5" i="322" s="1"/>
  <c r="F5" i="310" s="1"/>
  <c r="R5" i="322"/>
  <c r="AB5" i="322" s="1"/>
  <c r="G5" i="310" s="1"/>
  <c r="W5" i="322"/>
  <c r="V17" i="322"/>
  <c r="W6" i="322" s="1"/>
  <c r="X6" i="322" s="1"/>
  <c r="AD6" i="322" s="1"/>
  <c r="I6" i="310" s="1"/>
  <c r="BJ17" i="324"/>
  <c r="AH17" i="324"/>
  <c r="Q9" i="322"/>
  <c r="R9" i="322" s="1"/>
  <c r="AB9" i="322" s="1"/>
  <c r="G9" i="310" s="1"/>
  <c r="H12" i="325"/>
  <c r="I12" i="325"/>
  <c r="K12" i="322"/>
  <c r="L12" i="322" s="1"/>
  <c r="Z12" i="322" s="1"/>
  <c r="E12" i="310" s="1"/>
  <c r="M17" i="323"/>
  <c r="T11" i="322"/>
  <c r="U11" i="322" s="1"/>
  <c r="AC11" i="322" s="1"/>
  <c r="H11" i="310" s="1"/>
  <c r="T15" i="322"/>
  <c r="U15" i="322" s="1"/>
  <c r="AC15" i="322" s="1"/>
  <c r="H15" i="310" s="1"/>
  <c r="T6" i="322"/>
  <c r="U6" i="322" s="1"/>
  <c r="AC6" i="322" s="1"/>
  <c r="H6" i="310" s="1"/>
  <c r="T7" i="322"/>
  <c r="U7" i="322" s="1"/>
  <c r="AC7" i="322" s="1"/>
  <c r="H7" i="310" s="1"/>
  <c r="T5" i="322"/>
  <c r="W15" i="322"/>
  <c r="X15" i="322" s="1"/>
  <c r="AD15" i="322" s="1"/>
  <c r="I15" i="310" s="1"/>
  <c r="W12" i="322"/>
  <c r="X12" i="322" s="1"/>
  <c r="AD12" i="322" s="1"/>
  <c r="I12" i="310" s="1"/>
  <c r="I6" i="325"/>
  <c r="M17" i="324"/>
  <c r="Q11" i="322"/>
  <c r="R11" i="322" s="1"/>
  <c r="AB11" i="322" s="1"/>
  <c r="G11" i="310" s="1"/>
  <c r="BQ17" i="323"/>
  <c r="K7" i="322"/>
  <c r="L7" i="322" s="1"/>
  <c r="Z7" i="322" s="1"/>
  <c r="E7" i="310" s="1"/>
  <c r="V17" i="324"/>
  <c r="Q10" i="322"/>
  <c r="R10" i="322" s="1"/>
  <c r="AB10" i="322" s="1"/>
  <c r="G10" i="310" s="1"/>
  <c r="T14" i="322"/>
  <c r="U14" i="322" s="1"/>
  <c r="AC14" i="322" s="1"/>
  <c r="H14" i="310" s="1"/>
  <c r="AA17" i="323"/>
  <c r="K17" i="326"/>
  <c r="L5" i="326"/>
  <c r="W8" i="322"/>
  <c r="X8" i="322" s="1"/>
  <c r="AD8" i="322" s="1"/>
  <c r="I8" i="310" s="1"/>
  <c r="BR6" i="324"/>
  <c r="BR5" i="324"/>
  <c r="BR9" i="324"/>
  <c r="BS9" i="324" s="1"/>
  <c r="BR13" i="324"/>
  <c r="BR8" i="324"/>
  <c r="BR12" i="324"/>
  <c r="BR7" i="324"/>
  <c r="BR11" i="324"/>
  <c r="BS11" i="324" s="1"/>
  <c r="BR10" i="324"/>
  <c r="BR15" i="324"/>
  <c r="BR14" i="324"/>
  <c r="I14" i="325"/>
  <c r="H7" i="325"/>
  <c r="I7" i="325"/>
  <c r="K15" i="322"/>
  <c r="L15" i="322" s="1"/>
  <c r="Z15" i="322" s="1"/>
  <c r="E15" i="310" s="1"/>
  <c r="BZ17" i="324"/>
  <c r="AV17" i="324"/>
  <c r="N11" i="322"/>
  <c r="O11" i="322" s="1"/>
  <c r="AA11" i="322" s="1"/>
  <c r="F11" i="310" s="1"/>
  <c r="N10" i="322"/>
  <c r="O10" i="322" s="1"/>
  <c r="AA10" i="322" s="1"/>
  <c r="F10" i="310" s="1"/>
  <c r="N6" i="322"/>
  <c r="O6" i="322" s="1"/>
  <c r="AA6" i="322" s="1"/>
  <c r="F6" i="310" s="1"/>
  <c r="N7" i="322"/>
  <c r="O7" i="322" s="1"/>
  <c r="AA7" i="322" s="1"/>
  <c r="F7" i="310" s="1"/>
  <c r="N14" i="322"/>
  <c r="O14" i="322" s="1"/>
  <c r="AA14" i="322" s="1"/>
  <c r="F14" i="310" s="1"/>
  <c r="N15" i="322"/>
  <c r="O15" i="322" s="1"/>
  <c r="AA15" i="322" s="1"/>
  <c r="F15" i="310" s="1"/>
  <c r="AO17" i="323"/>
  <c r="N9" i="322"/>
  <c r="O9" i="322" s="1"/>
  <c r="AA9" i="322" s="1"/>
  <c r="F9" i="310" s="1"/>
  <c r="I10" i="325"/>
  <c r="H5" i="325"/>
  <c r="N17" i="322" l="1"/>
  <c r="W5" i="323"/>
  <c r="W13" i="323"/>
  <c r="W9" i="323"/>
  <c r="W10" i="323"/>
  <c r="W14" i="323"/>
  <c r="W8" i="323"/>
  <c r="W6" i="323"/>
  <c r="W7" i="323"/>
  <c r="W15" i="323"/>
  <c r="W11" i="323"/>
  <c r="W12" i="323"/>
  <c r="BL17" i="323"/>
  <c r="AB10" i="323"/>
  <c r="AC10" i="323" s="1"/>
  <c r="AB14" i="323"/>
  <c r="AC14" i="323" s="1"/>
  <c r="AB11" i="323"/>
  <c r="AB6" i="323"/>
  <c r="AC6" i="323" s="1"/>
  <c r="AB13" i="323"/>
  <c r="AB9" i="323"/>
  <c r="AB12" i="323"/>
  <c r="AC12" i="323" s="1"/>
  <c r="AB8" i="323"/>
  <c r="AC8" i="323" s="1"/>
  <c r="AB15" i="323"/>
  <c r="AC15" i="323" s="1"/>
  <c r="AB5" i="323"/>
  <c r="AB7" i="323"/>
  <c r="AC7" i="323" s="1"/>
  <c r="N6" i="324"/>
  <c r="O6" i="324" s="1"/>
  <c r="N11" i="324"/>
  <c r="O11" i="324" s="1"/>
  <c r="N12" i="324"/>
  <c r="O12" i="324" s="1"/>
  <c r="N15" i="324"/>
  <c r="O15" i="324" s="1"/>
  <c r="N7" i="324"/>
  <c r="O7" i="324" s="1"/>
  <c r="N13" i="324"/>
  <c r="O13" i="324" s="1"/>
  <c r="N5" i="324"/>
  <c r="N8" i="324"/>
  <c r="O8" i="324" s="1"/>
  <c r="N9" i="324"/>
  <c r="O9" i="324" s="1"/>
  <c r="N10" i="324"/>
  <c r="O10" i="324" s="1"/>
  <c r="N14" i="324"/>
  <c r="O14" i="324" s="1"/>
  <c r="BK5" i="324"/>
  <c r="BL5" i="324" s="1"/>
  <c r="BK6" i="324"/>
  <c r="BL6" i="324" s="1"/>
  <c r="BK9" i="324"/>
  <c r="BL9" i="324" s="1"/>
  <c r="BK13" i="324"/>
  <c r="BL13" i="324" s="1"/>
  <c r="BK8" i="324"/>
  <c r="BL8" i="324" s="1"/>
  <c r="BK12" i="324"/>
  <c r="BL12" i="324" s="1"/>
  <c r="BK7" i="324"/>
  <c r="BL7" i="324" s="1"/>
  <c r="BK11" i="324"/>
  <c r="BL11" i="324" s="1"/>
  <c r="BK10" i="324"/>
  <c r="BL10" i="324" s="1"/>
  <c r="BK14" i="324"/>
  <c r="BL14" i="324" s="1"/>
  <c r="BK15" i="324"/>
  <c r="BL15" i="324" s="1"/>
  <c r="W10" i="322"/>
  <c r="X10" i="322" s="1"/>
  <c r="AD10" i="322" s="1"/>
  <c r="I10" i="310" s="1"/>
  <c r="K10" i="322"/>
  <c r="L10" i="322" s="1"/>
  <c r="Z10" i="322" s="1"/>
  <c r="E10" i="310" s="1"/>
  <c r="AP5" i="324"/>
  <c r="AQ5" i="324" s="1"/>
  <c r="AP11" i="324"/>
  <c r="AQ11" i="324" s="1"/>
  <c r="AP15" i="324"/>
  <c r="AQ15" i="324" s="1"/>
  <c r="AP10" i="324"/>
  <c r="AQ10" i="324" s="1"/>
  <c r="AP14" i="324"/>
  <c r="AQ14" i="324" s="1"/>
  <c r="AP7" i="324"/>
  <c r="AQ7" i="324" s="1"/>
  <c r="AP9" i="324"/>
  <c r="AQ9" i="324" s="1"/>
  <c r="AP13" i="324"/>
  <c r="AQ13" i="324" s="1"/>
  <c r="AP6" i="324"/>
  <c r="AQ6" i="324" s="1"/>
  <c r="AP8" i="324"/>
  <c r="AQ8" i="324" s="1"/>
  <c r="AP12" i="324"/>
  <c r="AQ12" i="324" s="1"/>
  <c r="AI12" i="324"/>
  <c r="AJ12" i="324" s="1"/>
  <c r="AI6" i="324"/>
  <c r="AJ6" i="324" s="1"/>
  <c r="AI5" i="324"/>
  <c r="AJ5" i="324" s="1"/>
  <c r="AI9" i="324"/>
  <c r="AJ9" i="324" s="1"/>
  <c r="AI10" i="324"/>
  <c r="AJ10" i="324" s="1"/>
  <c r="AI8" i="324"/>
  <c r="AJ8" i="324" s="1"/>
  <c r="AI7" i="324"/>
  <c r="AJ7" i="324" s="1"/>
  <c r="AI15" i="324"/>
  <c r="AJ15" i="324" s="1"/>
  <c r="AI14" i="324"/>
  <c r="AJ14" i="324" s="1"/>
  <c r="AI13" i="324"/>
  <c r="AJ13" i="324" s="1"/>
  <c r="AI11" i="324"/>
  <c r="AJ11" i="324" s="1"/>
  <c r="AW7" i="323"/>
  <c r="AX7" i="323" s="1"/>
  <c r="AW6" i="323"/>
  <c r="AX6" i="323" s="1"/>
  <c r="AW10" i="323"/>
  <c r="AX10" i="323" s="1"/>
  <c r="AW5" i="323"/>
  <c r="AW8" i="323"/>
  <c r="AX8" i="323" s="1"/>
  <c r="AW11" i="323"/>
  <c r="AX11" i="323" s="1"/>
  <c r="AW15" i="323"/>
  <c r="AX15" i="323" s="1"/>
  <c r="AW9" i="323"/>
  <c r="AX9" i="323" s="1"/>
  <c r="AW14" i="323"/>
  <c r="AX14" i="323" s="1"/>
  <c r="AW13" i="323"/>
  <c r="AX13" i="323" s="1"/>
  <c r="AW12" i="323"/>
  <c r="AX12" i="323" s="1"/>
  <c r="BS17" i="324"/>
  <c r="K6" i="322"/>
  <c r="L6" i="322" s="1"/>
  <c r="Z6" i="322" s="1"/>
  <c r="E6" i="310" s="1"/>
  <c r="K14" i="322"/>
  <c r="L14" i="322" s="1"/>
  <c r="Z14" i="322" s="1"/>
  <c r="E14" i="310" s="1"/>
  <c r="N15" i="323"/>
  <c r="O15" i="323" s="1"/>
  <c r="N10" i="323"/>
  <c r="O10" i="323" s="1"/>
  <c r="N12" i="323"/>
  <c r="O12" i="323" s="1"/>
  <c r="N9" i="323"/>
  <c r="O9" i="323" s="1"/>
  <c r="N5" i="323"/>
  <c r="N11" i="323"/>
  <c r="O11" i="323" s="1"/>
  <c r="N6" i="323"/>
  <c r="O6" i="323" s="1"/>
  <c r="N7" i="323"/>
  <c r="O7" i="323" s="1"/>
  <c r="N14" i="323"/>
  <c r="O14" i="323" s="1"/>
  <c r="N8" i="323"/>
  <c r="O8" i="323" s="1"/>
  <c r="N13" i="323"/>
  <c r="O13" i="323" s="1"/>
  <c r="X5" i="322"/>
  <c r="AD5" i="322" s="1"/>
  <c r="I5" i="310" s="1"/>
  <c r="I17" i="325"/>
  <c r="AB11" i="324"/>
  <c r="AB5" i="324"/>
  <c r="AB13" i="324"/>
  <c r="AB7" i="324"/>
  <c r="AC7" i="324" s="1"/>
  <c r="AB9" i="324"/>
  <c r="AB8" i="324"/>
  <c r="AC8" i="324" s="1"/>
  <c r="AB15" i="324"/>
  <c r="AC15" i="324" s="1"/>
  <c r="AB14" i="324"/>
  <c r="AC14" i="324" s="1"/>
  <c r="AB10" i="324"/>
  <c r="AC10" i="324" s="1"/>
  <c r="AB6" i="324"/>
  <c r="AC6" i="324" s="1"/>
  <c r="AB12" i="324"/>
  <c r="AC12" i="324" s="1"/>
  <c r="K8" i="322"/>
  <c r="L8" i="322" s="1"/>
  <c r="Z8" i="322" s="1"/>
  <c r="E8" i="310" s="1"/>
  <c r="J8" i="310" s="1"/>
  <c r="AW6" i="324"/>
  <c r="AX6" i="324" s="1"/>
  <c r="AW5" i="324"/>
  <c r="AW7" i="324"/>
  <c r="AX7" i="324" s="1"/>
  <c r="AW10" i="324"/>
  <c r="AX10" i="324" s="1"/>
  <c r="AW14" i="324"/>
  <c r="AX14" i="324" s="1"/>
  <c r="AW9" i="324"/>
  <c r="AX9" i="324" s="1"/>
  <c r="AW13" i="324"/>
  <c r="AX13" i="324" s="1"/>
  <c r="AW8" i="324"/>
  <c r="AX8" i="324" s="1"/>
  <c r="AW12" i="324"/>
  <c r="AX12" i="324" s="1"/>
  <c r="AW11" i="324"/>
  <c r="AX11" i="324" s="1"/>
  <c r="AW15" i="324"/>
  <c r="AX15" i="324" s="1"/>
  <c r="W7" i="324"/>
  <c r="W12" i="324"/>
  <c r="W9" i="324"/>
  <c r="W8" i="324"/>
  <c r="W11" i="324"/>
  <c r="W15" i="324"/>
  <c r="W10" i="324"/>
  <c r="W13" i="324"/>
  <c r="W14" i="324"/>
  <c r="W6" i="324"/>
  <c r="W5" i="324"/>
  <c r="W14" i="322"/>
  <c r="X14" i="322" s="1"/>
  <c r="AD14" i="322" s="1"/>
  <c r="I14" i="310" s="1"/>
  <c r="J12" i="310"/>
  <c r="W13" i="322"/>
  <c r="X13" i="322" s="1"/>
  <c r="AD13" i="322" s="1"/>
  <c r="I13" i="310" s="1"/>
  <c r="J13" i="310" s="1"/>
  <c r="W9" i="322"/>
  <c r="X9" i="322" s="1"/>
  <c r="AD9" i="322" s="1"/>
  <c r="I9" i="310" s="1"/>
  <c r="J9" i="310" s="1"/>
  <c r="CA11" i="324"/>
  <c r="CA15" i="324"/>
  <c r="CA9" i="324"/>
  <c r="CA12" i="324"/>
  <c r="CA13" i="324"/>
  <c r="CA6" i="324"/>
  <c r="J7" i="310"/>
  <c r="Q17" i="322"/>
  <c r="G8" i="323"/>
  <c r="H8" i="323" s="1"/>
  <c r="G15" i="323"/>
  <c r="H15" i="323" s="1"/>
  <c r="G14" i="323"/>
  <c r="H14" i="323" s="1"/>
  <c r="G11" i="323"/>
  <c r="H11" i="323" s="1"/>
  <c r="G5" i="323"/>
  <c r="H5" i="323" s="1"/>
  <c r="G12" i="323"/>
  <c r="H12" i="323" s="1"/>
  <c r="G9" i="323"/>
  <c r="H9" i="323" s="1"/>
  <c r="G6" i="323"/>
  <c r="H6" i="323" s="1"/>
  <c r="G13" i="323"/>
  <c r="H13" i="323" s="1"/>
  <c r="G7" i="323"/>
  <c r="H7" i="323" s="1"/>
  <c r="G10" i="323"/>
  <c r="H10" i="323" s="1"/>
  <c r="BD6" i="324"/>
  <c r="BE6" i="324" s="1"/>
  <c r="BD10" i="324"/>
  <c r="BE10" i="324" s="1"/>
  <c r="BD14" i="324"/>
  <c r="BE14" i="324" s="1"/>
  <c r="BD9" i="324"/>
  <c r="BE9" i="324" s="1"/>
  <c r="BD13" i="324"/>
  <c r="BE13" i="324" s="1"/>
  <c r="BD5" i="324"/>
  <c r="BE5" i="324" s="1"/>
  <c r="BE17" i="324" s="1"/>
  <c r="BD8" i="324"/>
  <c r="BE8" i="324" s="1"/>
  <c r="BD12" i="324"/>
  <c r="BE12" i="324" s="1"/>
  <c r="BD7" i="324"/>
  <c r="BE7" i="324" s="1"/>
  <c r="BD11" i="324"/>
  <c r="BE11" i="324" s="1"/>
  <c r="BD15" i="324"/>
  <c r="BE15" i="324" s="1"/>
  <c r="J15" i="310"/>
  <c r="W11" i="322"/>
  <c r="X11" i="322" s="1"/>
  <c r="AD11" i="322" s="1"/>
  <c r="I11" i="310" s="1"/>
  <c r="J11" i="310" s="1"/>
  <c r="BR8" i="323"/>
  <c r="BR10" i="323"/>
  <c r="BR14" i="323"/>
  <c r="BR9" i="323"/>
  <c r="BS9" i="323" s="1"/>
  <c r="BR13" i="323"/>
  <c r="BR5" i="323"/>
  <c r="BR12" i="323"/>
  <c r="BR11" i="323"/>
  <c r="BS11" i="323" s="1"/>
  <c r="BR7" i="323"/>
  <c r="BR15" i="323"/>
  <c r="BR6" i="323"/>
  <c r="U5" i="322"/>
  <c r="AC5" i="322" s="1"/>
  <c r="H5" i="310" s="1"/>
  <c r="T17" i="322"/>
  <c r="BE17" i="323"/>
  <c r="H17" i="324"/>
  <c r="AJ17" i="323"/>
  <c r="AQ17" i="323"/>
  <c r="M5" i="326"/>
  <c r="M17" i="326" s="1"/>
  <c r="L17" i="326"/>
  <c r="L5" i="322"/>
  <c r="Z5" i="322" s="1"/>
  <c r="E5" i="310" s="1"/>
  <c r="J5" i="310" s="1"/>
  <c r="BY5" i="323"/>
  <c r="BY9" i="323"/>
  <c r="BZ9" i="323" s="1"/>
  <c r="BY8" i="323"/>
  <c r="BY7" i="323"/>
  <c r="BY13" i="323"/>
  <c r="BZ13" i="323" s="1"/>
  <c r="BY6" i="323"/>
  <c r="BZ6" i="323" s="1"/>
  <c r="BY12" i="323"/>
  <c r="BZ12" i="323" s="1"/>
  <c r="BY11" i="323"/>
  <c r="BZ11" i="323" s="1"/>
  <c r="BY15" i="323"/>
  <c r="BZ15" i="323" s="1"/>
  <c r="BY10" i="323"/>
  <c r="BY14" i="323"/>
  <c r="AK5" i="323" l="1"/>
  <c r="AK14" i="323"/>
  <c r="AK12" i="323"/>
  <c r="AK6" i="323"/>
  <c r="AK15" i="323"/>
  <c r="AK9" i="323"/>
  <c r="AK7" i="323"/>
  <c r="AK13" i="323"/>
  <c r="AK10" i="323"/>
  <c r="AK11" i="323"/>
  <c r="AK8" i="323"/>
  <c r="CB6" i="324"/>
  <c r="X6" i="310"/>
  <c r="X11" i="324"/>
  <c r="N11" i="310"/>
  <c r="X8" i="323"/>
  <c r="AD8" i="310"/>
  <c r="BS17" i="323"/>
  <c r="CB12" i="324"/>
  <c r="X12" i="310"/>
  <c r="X5" i="324"/>
  <c r="X17" i="324" s="1"/>
  <c r="N17" i="310" s="1"/>
  <c r="N5" i="310"/>
  <c r="X9" i="324"/>
  <c r="N9" i="310"/>
  <c r="AC17" i="324"/>
  <c r="AJ17" i="324"/>
  <c r="X14" i="323"/>
  <c r="AD14" i="310"/>
  <c r="BF15" i="323"/>
  <c r="BF12" i="323"/>
  <c r="BF11" i="323"/>
  <c r="BF10" i="323"/>
  <c r="BF6" i="323"/>
  <c r="BF5" i="323"/>
  <c r="BF14" i="323"/>
  <c r="BF7" i="323"/>
  <c r="BF13" i="323"/>
  <c r="BF9" i="323"/>
  <c r="BF8" i="323"/>
  <c r="H17" i="323"/>
  <c r="CB13" i="324"/>
  <c r="X13" i="310"/>
  <c r="X8" i="324"/>
  <c r="N8" i="310"/>
  <c r="BZ17" i="323"/>
  <c r="CB9" i="324"/>
  <c r="X9" i="310"/>
  <c r="X6" i="324"/>
  <c r="N6" i="310"/>
  <c r="X12" i="324"/>
  <c r="N12" i="310"/>
  <c r="J14" i="310"/>
  <c r="BM11" i="323"/>
  <c r="BM6" i="323"/>
  <c r="BM10" i="323"/>
  <c r="BM14" i="323"/>
  <c r="BM7" i="323"/>
  <c r="BM13" i="323"/>
  <c r="BM9" i="323"/>
  <c r="BM5" i="323"/>
  <c r="BM12" i="323"/>
  <c r="BM15" i="323"/>
  <c r="BM8" i="323"/>
  <c r="X10" i="323"/>
  <c r="AD10" i="310"/>
  <c r="K17" i="322"/>
  <c r="CB15" i="324"/>
  <c r="X15" i="310"/>
  <c r="X14" i="324"/>
  <c r="N14" i="310"/>
  <c r="X7" i="324"/>
  <c r="N7" i="310"/>
  <c r="J11" i="325"/>
  <c r="J7" i="325"/>
  <c r="J13" i="325"/>
  <c r="J8" i="325"/>
  <c r="J15" i="325"/>
  <c r="J10" i="325"/>
  <c r="J9" i="325"/>
  <c r="J12" i="325"/>
  <c r="J14" i="325"/>
  <c r="J6" i="325"/>
  <c r="J5" i="325"/>
  <c r="O17" i="323"/>
  <c r="J6" i="310"/>
  <c r="BL17" i="324"/>
  <c r="X12" i="323"/>
  <c r="AD12" i="310"/>
  <c r="X9" i="323"/>
  <c r="AD9" i="310"/>
  <c r="CB11" i="324"/>
  <c r="X11" i="310"/>
  <c r="X11" i="323"/>
  <c r="AD11" i="310"/>
  <c r="X13" i="323"/>
  <c r="AD13" i="310"/>
  <c r="X13" i="324"/>
  <c r="N13" i="310"/>
  <c r="BT9" i="324"/>
  <c r="BT11" i="324"/>
  <c r="X15" i="323"/>
  <c r="AD15" i="310"/>
  <c r="X5" i="323"/>
  <c r="AD5" i="310"/>
  <c r="BF7" i="324"/>
  <c r="BF5" i="324"/>
  <c r="BF14" i="324"/>
  <c r="BF13" i="324"/>
  <c r="BF11" i="324"/>
  <c r="BF10" i="324"/>
  <c r="BF15" i="324"/>
  <c r="BF8" i="324"/>
  <c r="BF12" i="324"/>
  <c r="BF6" i="324"/>
  <c r="BF9" i="324"/>
  <c r="X10" i="324"/>
  <c r="N10" i="310"/>
  <c r="W17" i="322"/>
  <c r="I8" i="324"/>
  <c r="I6" i="324"/>
  <c r="I12" i="324"/>
  <c r="I5" i="324"/>
  <c r="I7" i="324"/>
  <c r="I11" i="324"/>
  <c r="I13" i="324"/>
  <c r="I15" i="324"/>
  <c r="I14" i="324"/>
  <c r="I9" i="324"/>
  <c r="I10" i="324"/>
  <c r="X15" i="324"/>
  <c r="N15" i="310"/>
  <c r="AX17" i="324"/>
  <c r="AQ17" i="324"/>
  <c r="O17" i="324"/>
  <c r="AC17" i="323"/>
  <c r="X7" i="323"/>
  <c r="AD7" i="310"/>
  <c r="AR10" i="323"/>
  <c r="AR5" i="323"/>
  <c r="AR9" i="323"/>
  <c r="AR8" i="323"/>
  <c r="AR12" i="323"/>
  <c r="AR7" i="323"/>
  <c r="AR6" i="323"/>
  <c r="AR11" i="323"/>
  <c r="AR15" i="323"/>
  <c r="AR14" i="323"/>
  <c r="AR13" i="323"/>
  <c r="AX17" i="323"/>
  <c r="J10" i="310"/>
  <c r="X6" i="323"/>
  <c r="AD6" i="310"/>
  <c r="BG9" i="324" l="1"/>
  <c r="U9" i="310"/>
  <c r="K8" i="325"/>
  <c r="AR8" i="310"/>
  <c r="AS6" i="323"/>
  <c r="AI6" i="310"/>
  <c r="J5" i="324"/>
  <c r="L5" i="310"/>
  <c r="BG6" i="324"/>
  <c r="U6" i="310"/>
  <c r="BG5" i="324"/>
  <c r="U5" i="310"/>
  <c r="K5" i="325"/>
  <c r="AR5" i="310"/>
  <c r="K13" i="325"/>
  <c r="AR13" i="310"/>
  <c r="BN9" i="323"/>
  <c r="AL9" i="310"/>
  <c r="BG7" i="323"/>
  <c r="AK7" i="310"/>
  <c r="AL15" i="323"/>
  <c r="AF15" i="310"/>
  <c r="AS5" i="323"/>
  <c r="AI5" i="310"/>
  <c r="AG5" i="310" s="1"/>
  <c r="BG14" i="324"/>
  <c r="U14" i="310"/>
  <c r="P15" i="323"/>
  <c r="P8" i="323"/>
  <c r="P11" i="323"/>
  <c r="P14" i="323"/>
  <c r="P10" i="323"/>
  <c r="P13" i="323"/>
  <c r="P12" i="323"/>
  <c r="P6" i="323"/>
  <c r="P9" i="323"/>
  <c r="P7" i="323"/>
  <c r="BN5" i="323"/>
  <c r="AL5" i="310"/>
  <c r="BG13" i="323"/>
  <c r="AK13" i="310"/>
  <c r="AL9" i="323"/>
  <c r="AF9" i="310"/>
  <c r="AS7" i="323"/>
  <c r="AI7" i="310"/>
  <c r="AD7" i="323"/>
  <c r="AD8" i="323"/>
  <c r="AD15" i="323"/>
  <c r="AD12" i="323"/>
  <c r="AD14" i="323"/>
  <c r="AD10" i="323"/>
  <c r="AD6" i="323"/>
  <c r="J10" i="324"/>
  <c r="L10" i="310"/>
  <c r="J12" i="324"/>
  <c r="L12" i="310"/>
  <c r="BG12" i="324"/>
  <c r="U12" i="310"/>
  <c r="BG7" i="324"/>
  <c r="U7" i="310"/>
  <c r="K6" i="325"/>
  <c r="AR6" i="310"/>
  <c r="K7" i="325"/>
  <c r="AR7" i="310"/>
  <c r="BN13" i="323"/>
  <c r="AL13" i="310"/>
  <c r="BG14" i="323"/>
  <c r="AK14" i="310"/>
  <c r="CB17" i="324"/>
  <c r="X17" i="310" s="1"/>
  <c r="AL6" i="323"/>
  <c r="AF6" i="310"/>
  <c r="AY9" i="323"/>
  <c r="AY6" i="323"/>
  <c r="AY13" i="323"/>
  <c r="AY10" i="323"/>
  <c r="AY15" i="323"/>
  <c r="AY14" i="323"/>
  <c r="AY12" i="323"/>
  <c r="AY7" i="323"/>
  <c r="AY8" i="323"/>
  <c r="AY11" i="323"/>
  <c r="AS12" i="323"/>
  <c r="AI12" i="310"/>
  <c r="P12" i="324"/>
  <c r="P8" i="324"/>
  <c r="P15" i="324"/>
  <c r="P9" i="324"/>
  <c r="P6" i="324"/>
  <c r="P11" i="324"/>
  <c r="P10" i="324"/>
  <c r="P7" i="324"/>
  <c r="P13" i="324"/>
  <c r="P14" i="324"/>
  <c r="J9" i="324"/>
  <c r="L9" i="310"/>
  <c r="J6" i="324"/>
  <c r="L6" i="310"/>
  <c r="BG8" i="324"/>
  <c r="U8" i="310"/>
  <c r="K14" i="325"/>
  <c r="AR14" i="310"/>
  <c r="K11" i="325"/>
  <c r="AR11" i="310"/>
  <c r="BN7" i="323"/>
  <c r="AL7" i="310"/>
  <c r="BG5" i="323"/>
  <c r="AK5" i="310"/>
  <c r="AK5" i="324"/>
  <c r="AK12" i="324"/>
  <c r="AK6" i="324"/>
  <c r="AK11" i="324"/>
  <c r="AK10" i="324"/>
  <c r="AK15" i="324"/>
  <c r="AK14" i="324"/>
  <c r="AK7" i="324"/>
  <c r="AK9" i="324"/>
  <c r="AK13" i="324"/>
  <c r="AK8" i="324"/>
  <c r="BT11" i="323"/>
  <c r="BT9" i="323"/>
  <c r="AL8" i="323"/>
  <c r="AF8" i="310"/>
  <c r="AL12" i="323"/>
  <c r="AF12" i="310"/>
  <c r="AS14" i="323"/>
  <c r="AI14" i="310"/>
  <c r="BG11" i="324"/>
  <c r="U11" i="310"/>
  <c r="AS11" i="323"/>
  <c r="AI11" i="310"/>
  <c r="BU9" i="324"/>
  <c r="BU17" i="324" s="1"/>
  <c r="W17" i="310" s="1"/>
  <c r="W9" i="310"/>
  <c r="BG15" i="323"/>
  <c r="AK15" i="310"/>
  <c r="AS8" i="323"/>
  <c r="AI8" i="310"/>
  <c r="AR12" i="324"/>
  <c r="AR10" i="324"/>
  <c r="AR15" i="324"/>
  <c r="AR9" i="324"/>
  <c r="AR13" i="324"/>
  <c r="AR14" i="324"/>
  <c r="AR7" i="324"/>
  <c r="AR6" i="324"/>
  <c r="AR8" i="324"/>
  <c r="AR5" i="324"/>
  <c r="AR11" i="324"/>
  <c r="J14" i="324"/>
  <c r="L14" i="310"/>
  <c r="J8" i="324"/>
  <c r="L8" i="310"/>
  <c r="BG15" i="324"/>
  <c r="U15" i="310"/>
  <c r="X17" i="323"/>
  <c r="AD17" i="310" s="1"/>
  <c r="K12" i="325"/>
  <c r="AR12" i="310"/>
  <c r="BN14" i="323"/>
  <c r="AL14" i="310"/>
  <c r="I10" i="323"/>
  <c r="I5" i="323"/>
  <c r="I9" i="323"/>
  <c r="I14" i="323"/>
  <c r="I8" i="323"/>
  <c r="I13" i="323"/>
  <c r="I6" i="323"/>
  <c r="I12" i="323"/>
  <c r="I11" i="323"/>
  <c r="I7" i="323"/>
  <c r="I15" i="323"/>
  <c r="BG6" i="323"/>
  <c r="AK6" i="310"/>
  <c r="AD7" i="324"/>
  <c r="AD6" i="324"/>
  <c r="AD10" i="324"/>
  <c r="AD12" i="324"/>
  <c r="AD14" i="324"/>
  <c r="AD8" i="324"/>
  <c r="AD15" i="324"/>
  <c r="AL11" i="323"/>
  <c r="AF11" i="310"/>
  <c r="AL14" i="323"/>
  <c r="AF14" i="310"/>
  <c r="AS13" i="323"/>
  <c r="AI13" i="310"/>
  <c r="AS9" i="323"/>
  <c r="AI9" i="310"/>
  <c r="AY9" i="324"/>
  <c r="AY6" i="324"/>
  <c r="AY13" i="324"/>
  <c r="AY10" i="324"/>
  <c r="AY15" i="324"/>
  <c r="AY11" i="324"/>
  <c r="AY12" i="324"/>
  <c r="AY7" i="324"/>
  <c r="AY14" i="324"/>
  <c r="AY8" i="324"/>
  <c r="J15" i="324"/>
  <c r="L15" i="310"/>
  <c r="BG10" i="324"/>
  <c r="U10" i="310"/>
  <c r="BM5" i="324"/>
  <c r="BM14" i="324"/>
  <c r="BM9" i="324"/>
  <c r="BM11" i="324"/>
  <c r="BM7" i="324"/>
  <c r="BM10" i="324"/>
  <c r="BM8" i="324"/>
  <c r="BM15" i="324"/>
  <c r="BM13" i="324"/>
  <c r="BM12" i="324"/>
  <c r="BM6" i="324"/>
  <c r="K9" i="325"/>
  <c r="AR9" i="310"/>
  <c r="BN8" i="323"/>
  <c r="AL8" i="310"/>
  <c r="BN10" i="323"/>
  <c r="AL10" i="310"/>
  <c r="BG10" i="323"/>
  <c r="AK10" i="310"/>
  <c r="AL10" i="323"/>
  <c r="AF10" i="310"/>
  <c r="AL5" i="323"/>
  <c r="AF5" i="310"/>
  <c r="J13" i="324"/>
  <c r="L13" i="310"/>
  <c r="K10" i="325"/>
  <c r="AR10" i="310"/>
  <c r="BN15" i="323"/>
  <c r="AL15" i="310"/>
  <c r="BG8" i="323"/>
  <c r="AK8" i="310"/>
  <c r="BN6" i="323"/>
  <c r="AL6" i="310"/>
  <c r="BG11" i="323"/>
  <c r="AK11" i="310"/>
  <c r="AL13" i="323"/>
  <c r="AF13" i="310"/>
  <c r="AS15" i="323"/>
  <c r="AI15" i="310"/>
  <c r="AS10" i="323"/>
  <c r="AI10" i="310"/>
  <c r="J11" i="324"/>
  <c r="L11" i="310"/>
  <c r="BG13" i="324"/>
  <c r="U13" i="310"/>
  <c r="BU11" i="324"/>
  <c r="W11" i="310"/>
  <c r="K15" i="325"/>
  <c r="AR15" i="310"/>
  <c r="BN12" i="323"/>
  <c r="AL12" i="310"/>
  <c r="BN11" i="323"/>
  <c r="AL11" i="310"/>
  <c r="CA9" i="323"/>
  <c r="CA12" i="323"/>
  <c r="CA11" i="323"/>
  <c r="CA15" i="323"/>
  <c r="CA13" i="323"/>
  <c r="CA6" i="323"/>
  <c r="BG9" i="323"/>
  <c r="AK9" i="310"/>
  <c r="BG12" i="323"/>
  <c r="AK12" i="310"/>
  <c r="AL7" i="323"/>
  <c r="AF7" i="310"/>
  <c r="J7" i="324"/>
  <c r="L7" i="310"/>
  <c r="CB9" i="323" l="1"/>
  <c r="AN9" i="310"/>
  <c r="AG15" i="310"/>
  <c r="AZ15" i="324"/>
  <c r="T15" i="310"/>
  <c r="J10" i="323"/>
  <c r="AB10" i="310"/>
  <c r="AS7" i="324"/>
  <c r="S7" i="310"/>
  <c r="AL11" i="324"/>
  <c r="P11" i="310"/>
  <c r="AL17" i="323"/>
  <c r="AF17" i="310" s="1"/>
  <c r="BN10" i="324"/>
  <c r="V10" i="310"/>
  <c r="AZ10" i="324"/>
  <c r="T10" i="310"/>
  <c r="AE10" i="324"/>
  <c r="O10" i="310"/>
  <c r="J12" i="323"/>
  <c r="AB12" i="310"/>
  <c r="AS14" i="324"/>
  <c r="S14" i="310"/>
  <c r="AL8" i="324"/>
  <c r="P8" i="310"/>
  <c r="AL6" i="324"/>
  <c r="P6" i="310"/>
  <c r="Q15" i="324"/>
  <c r="M15" i="310"/>
  <c r="AZ12" i="323"/>
  <c r="AJ12" i="310"/>
  <c r="AE7" i="323"/>
  <c r="AE7" i="310"/>
  <c r="Q10" i="323"/>
  <c r="AC10" i="310"/>
  <c r="AS17" i="323"/>
  <c r="AI17" i="310" s="1"/>
  <c r="J17" i="324"/>
  <c r="L17" i="310" s="1"/>
  <c r="BN8" i="324"/>
  <c r="V8" i="310"/>
  <c r="AE12" i="324"/>
  <c r="O12" i="310"/>
  <c r="J11" i="323"/>
  <c r="AB11" i="310"/>
  <c r="BU11" i="323"/>
  <c r="AM11" i="310"/>
  <c r="Q9" i="324"/>
  <c r="M9" i="310"/>
  <c r="AE8" i="323"/>
  <c r="AE8" i="310"/>
  <c r="Q13" i="323"/>
  <c r="AC13" i="310"/>
  <c r="BN7" i="324"/>
  <c r="V7" i="310"/>
  <c r="AZ13" i="324"/>
  <c r="T13" i="310"/>
  <c r="AE6" i="324"/>
  <c r="AE17" i="324" s="1"/>
  <c r="O17" i="310" s="1"/>
  <c r="O6" i="310"/>
  <c r="J6" i="323"/>
  <c r="AB6" i="310"/>
  <c r="E22" i="310" s="1"/>
  <c r="AS13" i="324"/>
  <c r="S13" i="310"/>
  <c r="AL13" i="324"/>
  <c r="P13" i="310"/>
  <c r="AL12" i="324"/>
  <c r="P12" i="310"/>
  <c r="Q14" i="324"/>
  <c r="M14" i="310"/>
  <c r="Q8" i="324"/>
  <c r="M8" i="310"/>
  <c r="AZ14" i="323"/>
  <c r="AJ14" i="310"/>
  <c r="AG14" i="310" s="1"/>
  <c r="AP14" i="310" s="1"/>
  <c r="AG7" i="310"/>
  <c r="AP7" i="310" s="1"/>
  <c r="Q14" i="323"/>
  <c r="AC14" i="310"/>
  <c r="AZ7" i="323"/>
  <c r="AJ7" i="310"/>
  <c r="CB6" i="323"/>
  <c r="AN6" i="310"/>
  <c r="AG6" i="310" s="1"/>
  <c r="AP6" i="310" s="1"/>
  <c r="BN11" i="324"/>
  <c r="V11" i="310"/>
  <c r="AZ8" i="324"/>
  <c r="T8" i="310"/>
  <c r="AZ6" i="324"/>
  <c r="T6" i="310"/>
  <c r="AE7" i="324"/>
  <c r="O7" i="310"/>
  <c r="J13" i="323"/>
  <c r="AB13" i="310"/>
  <c r="AS9" i="324"/>
  <c r="S9" i="310"/>
  <c r="AL9" i="324"/>
  <c r="P9" i="310"/>
  <c r="AL5" i="324"/>
  <c r="P5" i="310"/>
  <c r="Q13" i="324"/>
  <c r="M13" i="310"/>
  <c r="Q12" i="324"/>
  <c r="M12" i="310"/>
  <c r="AZ15" i="323"/>
  <c r="AJ15" i="310"/>
  <c r="AE6" i="323"/>
  <c r="AE6" i="310"/>
  <c r="BN17" i="323"/>
  <c r="AL17" i="310" s="1"/>
  <c r="Q11" i="323"/>
  <c r="AC11" i="310"/>
  <c r="K17" i="325"/>
  <c r="AR17" i="310" s="1"/>
  <c r="CB13" i="323"/>
  <c r="AN13" i="310"/>
  <c r="AZ9" i="324"/>
  <c r="T9" i="310"/>
  <c r="J8" i="323"/>
  <c r="AB8" i="310"/>
  <c r="AS11" i="324"/>
  <c r="S11" i="310"/>
  <c r="AS15" i="324"/>
  <c r="S15" i="310"/>
  <c r="AL7" i="324"/>
  <c r="P7" i="310"/>
  <c r="Q7" i="324"/>
  <c r="M7" i="310"/>
  <c r="AZ10" i="323"/>
  <c r="AJ10" i="310"/>
  <c r="AG10" i="310" s="1"/>
  <c r="AP10" i="310" s="1"/>
  <c r="AE10" i="323"/>
  <c r="AE10" i="310"/>
  <c r="Q7" i="323"/>
  <c r="AC7" i="310"/>
  <c r="Q8" i="323"/>
  <c r="AC8" i="310"/>
  <c r="BN9" i="324"/>
  <c r="V9" i="310"/>
  <c r="BN14" i="324"/>
  <c r="V14" i="310"/>
  <c r="AZ7" i="324"/>
  <c r="T7" i="310"/>
  <c r="AE15" i="324"/>
  <c r="O15" i="310"/>
  <c r="AS5" i="324"/>
  <c r="S5" i="310"/>
  <c r="AS10" i="324"/>
  <c r="S10" i="310"/>
  <c r="AG11" i="310"/>
  <c r="AP11" i="310" s="1"/>
  <c r="AL14" i="324"/>
  <c r="P14" i="310"/>
  <c r="BG17" i="323"/>
  <c r="AK17" i="310" s="1"/>
  <c r="Q10" i="324"/>
  <c r="M10" i="310"/>
  <c r="AZ13" i="323"/>
  <c r="AJ13" i="310"/>
  <c r="AE14" i="323"/>
  <c r="AE14" i="310"/>
  <c r="Q9" i="323"/>
  <c r="AC9" i="310"/>
  <c r="Q15" i="323"/>
  <c r="AC15" i="310"/>
  <c r="BG17" i="324"/>
  <c r="U17" i="310" s="1"/>
  <c r="BN6" i="324"/>
  <c r="V6" i="310"/>
  <c r="AZ14" i="324"/>
  <c r="T14" i="310"/>
  <c r="CB15" i="323"/>
  <c r="AN15" i="310"/>
  <c r="BN12" i="324"/>
  <c r="V12" i="310"/>
  <c r="J14" i="323"/>
  <c r="AB14" i="310"/>
  <c r="CB11" i="323"/>
  <c r="AN11" i="310"/>
  <c r="BN13" i="324"/>
  <c r="V13" i="310"/>
  <c r="BN5" i="324"/>
  <c r="V5" i="310"/>
  <c r="AZ12" i="324"/>
  <c r="T12" i="310"/>
  <c r="AE8" i="324"/>
  <c r="O8" i="310"/>
  <c r="J15" i="323"/>
  <c r="AB15" i="310"/>
  <c r="J9" i="323"/>
  <c r="AB9" i="310"/>
  <c r="AS8" i="324"/>
  <c r="S8" i="310"/>
  <c r="Q8" i="310" s="1"/>
  <c r="AS12" i="324"/>
  <c r="S12" i="310"/>
  <c r="Q12" i="310" s="1"/>
  <c r="AL15" i="324"/>
  <c r="P15" i="310"/>
  <c r="Q11" i="324"/>
  <c r="M11" i="310"/>
  <c r="AZ11" i="323"/>
  <c r="AJ11" i="310"/>
  <c r="AZ6" i="323"/>
  <c r="AJ6" i="310"/>
  <c r="AE12" i="323"/>
  <c r="AE12" i="310"/>
  <c r="Q6" i="323"/>
  <c r="AC6" i="310"/>
  <c r="CB12" i="323"/>
  <c r="AN12" i="310"/>
  <c r="AG12" i="310" s="1"/>
  <c r="AP12" i="310" s="1"/>
  <c r="BN15" i="324"/>
  <c r="V15" i="310"/>
  <c r="AZ11" i="324"/>
  <c r="T11" i="310"/>
  <c r="AG13" i="310"/>
  <c r="AP13" i="310" s="1"/>
  <c r="AE14" i="324"/>
  <c r="O14" i="310"/>
  <c r="J7" i="323"/>
  <c r="AB7" i="310"/>
  <c r="J5" i="323"/>
  <c r="AB5" i="310"/>
  <c r="AP5" i="310" s="1"/>
  <c r="AS6" i="324"/>
  <c r="S6" i="310"/>
  <c r="Q6" i="310" s="1"/>
  <c r="Z6" i="310" s="1"/>
  <c r="BU9" i="323"/>
  <c r="BU17" i="323" s="1"/>
  <c r="AM17" i="310" s="1"/>
  <c r="AM9" i="310"/>
  <c r="AL10" i="324"/>
  <c r="P10" i="310"/>
  <c r="Q6" i="324"/>
  <c r="M6" i="310"/>
  <c r="AZ8" i="323"/>
  <c r="AJ8" i="310"/>
  <c r="AG8" i="310" s="1"/>
  <c r="AP8" i="310" s="1"/>
  <c r="AZ9" i="323"/>
  <c r="AJ9" i="310"/>
  <c r="AG9" i="310" s="1"/>
  <c r="AP9" i="310" s="1"/>
  <c r="AE15" i="323"/>
  <c r="AE15" i="310"/>
  <c r="Q12" i="323"/>
  <c r="AC12" i="310"/>
  <c r="BN17" i="324" l="1"/>
  <c r="V17" i="310" s="1"/>
  <c r="Q10" i="310"/>
  <c r="Z10" i="310" s="1"/>
  <c r="AV10" i="310" s="1"/>
  <c r="AE17" i="323"/>
  <c r="AE17" i="310" s="1"/>
  <c r="AL17" i="324"/>
  <c r="P17" i="310" s="1"/>
  <c r="CB17" i="323"/>
  <c r="AN17" i="310" s="1"/>
  <c r="Q17" i="324"/>
  <c r="M17" i="310" s="1"/>
  <c r="Q15" i="310"/>
  <c r="Z15" i="310" s="1"/>
  <c r="Q14" i="310"/>
  <c r="Z14" i="310" s="1"/>
  <c r="AV14" i="310" s="1"/>
  <c r="J17" i="323"/>
  <c r="AB17" i="310" s="1"/>
  <c r="Q5" i="310"/>
  <c r="Z5" i="310" s="1"/>
  <c r="AV5" i="310" s="1"/>
  <c r="AZ17" i="324"/>
  <c r="T17" i="310" s="1"/>
  <c r="Q17" i="310" s="1"/>
  <c r="Z17" i="310" s="1"/>
  <c r="Q13" i="310"/>
  <c r="Z13" i="310" s="1"/>
  <c r="AV13" i="310" s="1"/>
  <c r="AV6" i="310"/>
  <c r="Q17" i="323"/>
  <c r="AC17" i="310" s="1"/>
  <c r="AZ17" i="323"/>
  <c r="AJ17" i="310" s="1"/>
  <c r="Z12" i="310"/>
  <c r="AV12" i="310" s="1"/>
  <c r="AS17" i="324"/>
  <c r="Q11" i="310"/>
  <c r="Z11" i="310" s="1"/>
  <c r="AV11" i="310" s="1"/>
  <c r="Q9" i="310"/>
  <c r="Z9" i="310" s="1"/>
  <c r="AV9" i="310" s="1"/>
  <c r="AP15" i="310"/>
  <c r="Z8" i="310"/>
  <c r="AV8" i="310" s="1"/>
  <c r="Q7" i="310"/>
  <c r="Z7" i="310" s="1"/>
  <c r="AV7" i="310" s="1"/>
  <c r="AW12" i="310" l="1"/>
  <c r="C12" i="315"/>
  <c r="D12" i="315" s="1"/>
  <c r="AW14" i="310"/>
  <c r="C14" i="315"/>
  <c r="D14" i="315" s="1"/>
  <c r="AV15" i="310"/>
  <c r="AW7" i="310"/>
  <c r="C7" i="315"/>
  <c r="D7" i="315" s="1"/>
  <c r="AW8" i="310"/>
  <c r="C8" i="315"/>
  <c r="D8" i="315" s="1"/>
  <c r="AW6" i="310"/>
  <c r="C6" i="315"/>
  <c r="D6" i="315" s="1"/>
  <c r="AW13" i="310"/>
  <c r="C13" i="315"/>
  <c r="D13" i="315" s="1"/>
  <c r="AW9" i="310"/>
  <c r="C9" i="315"/>
  <c r="D9" i="315" s="1"/>
  <c r="AV17" i="310"/>
  <c r="C17" i="315" s="1"/>
  <c r="D17" i="315" s="1"/>
  <c r="AW11" i="310"/>
  <c r="C11" i="315"/>
  <c r="D11" i="315" s="1"/>
  <c r="AW5" i="310"/>
  <c r="C5" i="315"/>
  <c r="D5" i="315" s="1"/>
  <c r="AW10" i="310"/>
  <c r="C10" i="315"/>
  <c r="D10" i="315" s="1"/>
  <c r="AP17" i="310"/>
  <c r="AW15" i="310" l="1"/>
  <c r="C15" i="315"/>
  <c r="D15" i="315" s="1"/>
  <c r="AW17" i="310"/>
  <c r="C70" i="246" l="1"/>
  <c r="C69" i="246"/>
  <c r="C68" i="246"/>
  <c r="C67" i="246"/>
  <c r="C64" i="246"/>
  <c r="C63" i="246"/>
  <c r="F57" i="246"/>
  <c r="D57" i="246"/>
  <c r="C57" i="246"/>
  <c r="F56" i="246"/>
  <c r="D56" i="246"/>
  <c r="C56" i="246"/>
  <c r="F55" i="246"/>
  <c r="D55" i="246"/>
  <c r="C55" i="246"/>
  <c r="F54" i="246"/>
  <c r="D54" i="246"/>
  <c r="C54" i="246"/>
  <c r="F53" i="246"/>
  <c r="D53" i="246"/>
  <c r="C53" i="246"/>
  <c r="F52" i="246"/>
  <c r="D52" i="246"/>
  <c r="C52" i="246"/>
  <c r="F43" i="246"/>
  <c r="D43" i="246"/>
  <c r="C43" i="246"/>
  <c r="C86" i="246" s="1"/>
  <c r="F42" i="246"/>
  <c r="D42" i="246"/>
  <c r="C42" i="246"/>
  <c r="C85" i="246" s="1"/>
  <c r="F41" i="246"/>
  <c r="D41" i="246"/>
  <c r="C41" i="246"/>
  <c r="C84" i="246" s="1"/>
  <c r="F40" i="246"/>
  <c r="D40" i="246"/>
  <c r="C40" i="246"/>
  <c r="C83" i="246" s="1"/>
  <c r="F39" i="246"/>
  <c r="D39" i="246"/>
  <c r="C39" i="246"/>
  <c r="C82" i="246" s="1"/>
  <c r="G38" i="246"/>
  <c r="D38" i="246"/>
  <c r="C38" i="246"/>
  <c r="C81" i="246" s="1"/>
  <c r="F37" i="246"/>
  <c r="D37" i="246"/>
  <c r="C37" i="246"/>
  <c r="C80" i="246" s="1"/>
  <c r="F34" i="246"/>
  <c r="D34" i="246"/>
  <c r="C34" i="246"/>
  <c r="C77" i="246" s="1"/>
  <c r="F33" i="246"/>
  <c r="D33" i="246"/>
  <c r="C33" i="246"/>
  <c r="C76" i="246" s="1"/>
  <c r="F24" i="246"/>
  <c r="D24" i="246"/>
  <c r="C24" i="246"/>
  <c r="F23" i="246"/>
  <c r="D23" i="246"/>
  <c r="C23" i="246"/>
  <c r="F22" i="246"/>
  <c r="D22" i="246"/>
  <c r="C22" i="246"/>
  <c r="F19" i="246"/>
  <c r="D19" i="246"/>
  <c r="C19" i="246"/>
  <c r="F18" i="246"/>
  <c r="D18" i="246"/>
  <c r="C18" i="246"/>
  <c r="C7" i="246"/>
  <c r="E3" i="309"/>
  <c r="F3" i="309" s="1"/>
  <c r="G3" i="309" s="1"/>
  <c r="H3" i="309" s="1"/>
  <c r="C3" i="309"/>
  <c r="D3" i="309" s="1"/>
  <c r="B3" i="309"/>
  <c r="R15" i="308"/>
  <c r="Q15" i="308"/>
  <c r="P15" i="308"/>
  <c r="O15" i="308"/>
  <c r="N15" i="308"/>
  <c r="M15" i="308"/>
  <c r="L15" i="308"/>
  <c r="K15" i="308"/>
  <c r="J15" i="308"/>
  <c r="H15" i="308"/>
  <c r="G15" i="308"/>
  <c r="F15" i="308"/>
  <c r="E15" i="308"/>
  <c r="D15" i="308"/>
  <c r="R14" i="308"/>
  <c r="Q14" i="308"/>
  <c r="P14" i="308"/>
  <c r="O14" i="308"/>
  <c r="N14" i="308"/>
  <c r="M14" i="308"/>
  <c r="L14" i="308"/>
  <c r="K14" i="308"/>
  <c r="J14" i="308"/>
  <c r="H14" i="308"/>
  <c r="G14" i="308"/>
  <c r="F14" i="308"/>
  <c r="E14" i="308"/>
  <c r="D14" i="308"/>
  <c r="R13" i="308"/>
  <c r="Q13" i="308"/>
  <c r="P13" i="308"/>
  <c r="O13" i="308"/>
  <c r="N13" i="308"/>
  <c r="M13" i="308"/>
  <c r="L13" i="308"/>
  <c r="K13" i="308"/>
  <c r="J13" i="308"/>
  <c r="H13" i="308"/>
  <c r="G13" i="308"/>
  <c r="F13" i="308"/>
  <c r="E13" i="308"/>
  <c r="D13" i="308"/>
  <c r="R12" i="308"/>
  <c r="Q12" i="308"/>
  <c r="P12" i="308"/>
  <c r="O12" i="308"/>
  <c r="N12" i="308"/>
  <c r="M12" i="308"/>
  <c r="L12" i="308"/>
  <c r="K12" i="308"/>
  <c r="J12" i="308"/>
  <c r="H12" i="308"/>
  <c r="G12" i="308"/>
  <c r="F12" i="308"/>
  <c r="E12" i="308"/>
  <c r="D12" i="308"/>
  <c r="R11" i="308"/>
  <c r="Q11" i="308"/>
  <c r="P11" i="308"/>
  <c r="O11" i="308"/>
  <c r="N11" i="308"/>
  <c r="M11" i="308"/>
  <c r="L11" i="308"/>
  <c r="K11" i="308"/>
  <c r="J11" i="308"/>
  <c r="H11" i="308"/>
  <c r="G11" i="308"/>
  <c r="F11" i="308"/>
  <c r="E11" i="308"/>
  <c r="D11" i="308"/>
  <c r="R10" i="308"/>
  <c r="Q10" i="308"/>
  <c r="P10" i="308"/>
  <c r="O10" i="308"/>
  <c r="N10" i="308"/>
  <c r="M10" i="308"/>
  <c r="L10" i="308"/>
  <c r="K10" i="308"/>
  <c r="J10" i="308"/>
  <c r="H10" i="308"/>
  <c r="G10" i="308"/>
  <c r="F10" i="308"/>
  <c r="E10" i="308"/>
  <c r="D10" i="308"/>
  <c r="R9" i="308"/>
  <c r="Q9" i="308"/>
  <c r="P9" i="308"/>
  <c r="O9" i="308"/>
  <c r="N9" i="308"/>
  <c r="M9" i="308"/>
  <c r="L9" i="308"/>
  <c r="K9" i="308"/>
  <c r="J9" i="308"/>
  <c r="H9" i="308"/>
  <c r="G9" i="308"/>
  <c r="F9" i="308"/>
  <c r="E9" i="308"/>
  <c r="D9" i="308"/>
  <c r="R8" i="308"/>
  <c r="Q8" i="308"/>
  <c r="P8" i="308"/>
  <c r="O8" i="308"/>
  <c r="N8" i="308"/>
  <c r="M8" i="308"/>
  <c r="L8" i="308"/>
  <c r="K8" i="308"/>
  <c r="J8" i="308"/>
  <c r="H8" i="308"/>
  <c r="G8" i="308"/>
  <c r="F8" i="308"/>
  <c r="E8" i="308"/>
  <c r="D8" i="308"/>
  <c r="R7" i="308"/>
  <c r="Q7" i="308"/>
  <c r="P7" i="308"/>
  <c r="O7" i="308"/>
  <c r="N7" i="308"/>
  <c r="M7" i="308"/>
  <c r="L7" i="308"/>
  <c r="K7" i="308"/>
  <c r="J7" i="308"/>
  <c r="H7" i="308"/>
  <c r="G7" i="308"/>
  <c r="F7" i="308"/>
  <c r="E7" i="308"/>
  <c r="D7" i="308"/>
  <c r="R6" i="308"/>
  <c r="Q6" i="308"/>
  <c r="P6" i="308"/>
  <c r="O6" i="308"/>
  <c r="N6" i="308"/>
  <c r="M6" i="308"/>
  <c r="L6" i="308"/>
  <c r="K6" i="308"/>
  <c r="J6" i="308"/>
  <c r="H6" i="308"/>
  <c r="G6" i="308"/>
  <c r="F6" i="308"/>
  <c r="E6" i="308"/>
  <c r="D6" i="308"/>
  <c r="R5" i="308"/>
  <c r="R17" i="308" s="1"/>
  <c r="Q5" i="308"/>
  <c r="Q17" i="308" s="1"/>
  <c r="P5" i="308"/>
  <c r="P17" i="308" s="1"/>
  <c r="O5" i="308"/>
  <c r="O17" i="308" s="1"/>
  <c r="N5" i="308"/>
  <c r="N17" i="308" s="1"/>
  <c r="M5" i="308"/>
  <c r="M17" i="308" s="1"/>
  <c r="L5" i="308"/>
  <c r="L17" i="308" s="1"/>
  <c r="K5" i="308"/>
  <c r="J5" i="308"/>
  <c r="J17" i="308" s="1"/>
  <c r="H5" i="308"/>
  <c r="H17" i="308" s="1"/>
  <c r="G5" i="308"/>
  <c r="F5" i="308"/>
  <c r="F17" i="308" s="1"/>
  <c r="E5" i="308"/>
  <c r="D5" i="308"/>
  <c r="D17" i="308" s="1"/>
  <c r="H3" i="308"/>
  <c r="I3" i="308" s="1"/>
  <c r="J3" i="308" s="1"/>
  <c r="K3" i="308" s="1"/>
  <c r="L3" i="308" s="1"/>
  <c r="M3" i="308" s="1"/>
  <c r="N3" i="308" s="1"/>
  <c r="O3" i="308" s="1"/>
  <c r="P3" i="308" s="1"/>
  <c r="Q3" i="308" s="1"/>
  <c r="R3" i="308" s="1"/>
  <c r="S3" i="308" s="1"/>
  <c r="T3" i="308" s="1"/>
  <c r="U3" i="308" s="1"/>
  <c r="F3" i="308"/>
  <c r="G3" i="308" s="1"/>
  <c r="B3" i="308"/>
  <c r="C3" i="308" s="1"/>
  <c r="D3" i="308" s="1"/>
  <c r="E3" i="308" s="1"/>
  <c r="Y17" i="307"/>
  <c r="X17" i="307"/>
  <c r="R17" i="307"/>
  <c r="Q17" i="307"/>
  <c r="P17" i="307"/>
  <c r="O17" i="307"/>
  <c r="N17" i="307"/>
  <c r="M17" i="307"/>
  <c r="L17" i="307"/>
  <c r="K17" i="307"/>
  <c r="J17" i="307"/>
  <c r="H17" i="307"/>
  <c r="G17" i="307"/>
  <c r="F17" i="307"/>
  <c r="E17" i="307"/>
  <c r="D17" i="307"/>
  <c r="U15" i="307"/>
  <c r="I15" i="307"/>
  <c r="C15" i="307"/>
  <c r="U14" i="307"/>
  <c r="I14" i="307"/>
  <c r="C14" i="307"/>
  <c r="U13" i="307"/>
  <c r="I13" i="307"/>
  <c r="C13" i="307"/>
  <c r="U12" i="307"/>
  <c r="I12" i="307"/>
  <c r="C12" i="307"/>
  <c r="U11" i="307"/>
  <c r="I11" i="307"/>
  <c r="C11" i="307"/>
  <c r="U10" i="307"/>
  <c r="I10" i="307"/>
  <c r="C10" i="307"/>
  <c r="U9" i="307"/>
  <c r="I9" i="307"/>
  <c r="C9" i="307"/>
  <c r="U8" i="307"/>
  <c r="I8" i="307"/>
  <c r="C8" i="307"/>
  <c r="U7" i="307"/>
  <c r="I7" i="307"/>
  <c r="C7" i="307"/>
  <c r="U6" i="307"/>
  <c r="I6" i="307"/>
  <c r="C6" i="307"/>
  <c r="U5" i="307"/>
  <c r="U17" i="307" s="1"/>
  <c r="I5" i="307"/>
  <c r="C5" i="307"/>
  <c r="C17" i="307" s="1"/>
  <c r="H3" i="307"/>
  <c r="I3" i="307" s="1"/>
  <c r="J3" i="307" s="1"/>
  <c r="K3" i="307" s="1"/>
  <c r="L3" i="307" s="1"/>
  <c r="M3" i="307" s="1"/>
  <c r="N3" i="307" s="1"/>
  <c r="O3" i="307" s="1"/>
  <c r="P3" i="307" s="1"/>
  <c r="Q3" i="307" s="1"/>
  <c r="R3" i="307" s="1"/>
  <c r="S3" i="307" s="1"/>
  <c r="T3" i="307" s="1"/>
  <c r="U3" i="307" s="1"/>
  <c r="V3" i="307" s="1"/>
  <c r="W3" i="307" s="1"/>
  <c r="X3" i="307" s="1"/>
  <c r="Y3" i="307" s="1"/>
  <c r="F3" i="307"/>
  <c r="G3" i="307" s="1"/>
  <c r="B3" i="307"/>
  <c r="C3" i="307" s="1"/>
  <c r="D3" i="307" s="1"/>
  <c r="E3" i="307" s="1"/>
  <c r="C17" i="306"/>
  <c r="AM15" i="306"/>
  <c r="AL15" i="306"/>
  <c r="AK15" i="306"/>
  <c r="AJ15" i="306"/>
  <c r="AI15" i="306"/>
  <c r="AH15" i="306"/>
  <c r="AG15" i="306"/>
  <c r="AF15" i="306"/>
  <c r="AD15" i="306"/>
  <c r="AC15" i="306"/>
  <c r="AB15" i="306"/>
  <c r="AA15" i="306"/>
  <c r="Z15" i="306"/>
  <c r="X15" i="306"/>
  <c r="W15" i="306"/>
  <c r="V15" i="306"/>
  <c r="U15" i="306"/>
  <c r="T15" i="306"/>
  <c r="S15" i="306"/>
  <c r="R15" i="306"/>
  <c r="Q15" i="306"/>
  <c r="P15" i="306"/>
  <c r="N15" i="306"/>
  <c r="M15" i="306"/>
  <c r="L15" i="306"/>
  <c r="K15" i="306"/>
  <c r="J15" i="306"/>
  <c r="AM14" i="306"/>
  <c r="AL14" i="306"/>
  <c r="AK14" i="306"/>
  <c r="AJ14" i="306"/>
  <c r="AI14" i="306"/>
  <c r="AH14" i="306"/>
  <c r="AG14" i="306"/>
  <c r="AF14" i="306"/>
  <c r="AD14" i="306"/>
  <c r="AC14" i="306"/>
  <c r="AB14" i="306"/>
  <c r="AA14" i="306"/>
  <c r="Z14" i="306"/>
  <c r="X14" i="306"/>
  <c r="W14" i="306"/>
  <c r="V14" i="306"/>
  <c r="U14" i="306"/>
  <c r="T14" i="306"/>
  <c r="S14" i="306"/>
  <c r="R14" i="306"/>
  <c r="Q14" i="306"/>
  <c r="P14" i="306"/>
  <c r="N14" i="306"/>
  <c r="M14" i="306"/>
  <c r="L14" i="306"/>
  <c r="K14" i="306"/>
  <c r="J14" i="306"/>
  <c r="AM13" i="306"/>
  <c r="AL13" i="306"/>
  <c r="AK13" i="306"/>
  <c r="AJ13" i="306"/>
  <c r="AI13" i="306"/>
  <c r="AH13" i="306"/>
  <c r="AG13" i="306"/>
  <c r="AF13" i="306"/>
  <c r="AD13" i="306"/>
  <c r="AC13" i="306"/>
  <c r="AB13" i="306"/>
  <c r="AA13" i="306"/>
  <c r="Z13" i="306"/>
  <c r="X13" i="306"/>
  <c r="W13" i="306"/>
  <c r="V13" i="306"/>
  <c r="U13" i="306"/>
  <c r="T13" i="306"/>
  <c r="S13" i="306"/>
  <c r="R13" i="306"/>
  <c r="Q13" i="306"/>
  <c r="P13" i="306"/>
  <c r="N13" i="306"/>
  <c r="M13" i="306"/>
  <c r="L13" i="306"/>
  <c r="K13" i="306"/>
  <c r="J13" i="306"/>
  <c r="AM12" i="306"/>
  <c r="AL12" i="306"/>
  <c r="AK12" i="306"/>
  <c r="AJ12" i="306"/>
  <c r="AI12" i="306"/>
  <c r="AH12" i="306"/>
  <c r="AG12" i="306"/>
  <c r="AF12" i="306"/>
  <c r="AD12" i="306"/>
  <c r="AC12" i="306"/>
  <c r="AB12" i="306"/>
  <c r="AA12" i="306"/>
  <c r="Z12" i="306"/>
  <c r="X12" i="306"/>
  <c r="W12" i="306"/>
  <c r="V12" i="306"/>
  <c r="U12" i="306"/>
  <c r="T12" i="306"/>
  <c r="S12" i="306"/>
  <c r="R12" i="306"/>
  <c r="Q12" i="306"/>
  <c r="P12" i="306"/>
  <c r="N12" i="306"/>
  <c r="M12" i="306"/>
  <c r="L12" i="306"/>
  <c r="K12" i="306"/>
  <c r="J12" i="306"/>
  <c r="AM11" i="306"/>
  <c r="AL11" i="306"/>
  <c r="AK11" i="306"/>
  <c r="AJ11" i="306"/>
  <c r="AI11" i="306"/>
  <c r="AH11" i="306"/>
  <c r="AG11" i="306"/>
  <c r="AF11" i="306"/>
  <c r="AD11" i="306"/>
  <c r="AC11" i="306"/>
  <c r="AB11" i="306"/>
  <c r="AA11" i="306"/>
  <c r="Z11" i="306"/>
  <c r="X11" i="306"/>
  <c r="W11" i="306"/>
  <c r="V11" i="306"/>
  <c r="U11" i="306"/>
  <c r="T11" i="306"/>
  <c r="S11" i="306"/>
  <c r="R11" i="306"/>
  <c r="Q11" i="306"/>
  <c r="P11" i="306"/>
  <c r="N11" i="306"/>
  <c r="M11" i="306"/>
  <c r="L11" i="306"/>
  <c r="K11" i="306"/>
  <c r="J11" i="306"/>
  <c r="AM10" i="306"/>
  <c r="AL10" i="306"/>
  <c r="AK10" i="306"/>
  <c r="AJ10" i="306"/>
  <c r="AI10" i="306"/>
  <c r="AH10" i="306"/>
  <c r="AG10" i="306"/>
  <c r="AF10" i="306"/>
  <c r="AD10" i="306"/>
  <c r="AC10" i="306"/>
  <c r="AB10" i="306"/>
  <c r="AA10" i="306"/>
  <c r="Z10" i="306"/>
  <c r="X10" i="306"/>
  <c r="W10" i="306"/>
  <c r="V10" i="306"/>
  <c r="U10" i="306"/>
  <c r="T10" i="306"/>
  <c r="S10" i="306"/>
  <c r="R10" i="306"/>
  <c r="Q10" i="306"/>
  <c r="P10" i="306"/>
  <c r="N10" i="306"/>
  <c r="M10" i="306"/>
  <c r="L10" i="306"/>
  <c r="K10" i="306"/>
  <c r="J10" i="306"/>
  <c r="AM9" i="306"/>
  <c r="AL9" i="306"/>
  <c r="AK9" i="306"/>
  <c r="AJ9" i="306"/>
  <c r="AI9" i="306"/>
  <c r="AH9" i="306"/>
  <c r="AG9" i="306"/>
  <c r="AF9" i="306"/>
  <c r="AD9" i="306"/>
  <c r="AC9" i="306"/>
  <c r="AB9" i="306"/>
  <c r="AA9" i="306"/>
  <c r="Z9" i="306"/>
  <c r="X9" i="306"/>
  <c r="W9" i="306"/>
  <c r="V9" i="306"/>
  <c r="U9" i="306"/>
  <c r="T9" i="306"/>
  <c r="S9" i="306"/>
  <c r="R9" i="306"/>
  <c r="Q9" i="306"/>
  <c r="P9" i="306"/>
  <c r="N9" i="306"/>
  <c r="M9" i="306"/>
  <c r="L9" i="306"/>
  <c r="K9" i="306"/>
  <c r="J9" i="306"/>
  <c r="AM8" i="306"/>
  <c r="AL8" i="306"/>
  <c r="AK8" i="306"/>
  <c r="AJ8" i="306"/>
  <c r="AI8" i="306"/>
  <c r="AH8" i="306"/>
  <c r="AG8" i="306"/>
  <c r="AF8" i="306"/>
  <c r="AD8" i="306"/>
  <c r="AC8" i="306"/>
  <c r="AB8" i="306"/>
  <c r="AA8" i="306"/>
  <c r="Z8" i="306"/>
  <c r="X8" i="306"/>
  <c r="W8" i="306"/>
  <c r="V8" i="306"/>
  <c r="U8" i="306"/>
  <c r="T8" i="306"/>
  <c r="S8" i="306"/>
  <c r="R8" i="306"/>
  <c r="Q8" i="306"/>
  <c r="P8" i="306"/>
  <c r="N8" i="306"/>
  <c r="M8" i="306"/>
  <c r="L8" i="306"/>
  <c r="K8" i="306"/>
  <c r="J8" i="306"/>
  <c r="AM7" i="306"/>
  <c r="AL7" i="306"/>
  <c r="AK7" i="306"/>
  <c r="AJ7" i="306"/>
  <c r="AI7" i="306"/>
  <c r="AH7" i="306"/>
  <c r="AG7" i="306"/>
  <c r="AF7" i="306"/>
  <c r="AD7" i="306"/>
  <c r="AC7" i="306"/>
  <c r="AB7" i="306"/>
  <c r="AA7" i="306"/>
  <c r="Z7" i="306"/>
  <c r="X7" i="306"/>
  <c r="W7" i="306"/>
  <c r="V7" i="306"/>
  <c r="U7" i="306"/>
  <c r="T7" i="306"/>
  <c r="S7" i="306"/>
  <c r="R7" i="306"/>
  <c r="Q7" i="306"/>
  <c r="P7" i="306"/>
  <c r="N7" i="306"/>
  <c r="M7" i="306"/>
  <c r="L7" i="306"/>
  <c r="K7" i="306"/>
  <c r="J7" i="306"/>
  <c r="AM6" i="306"/>
  <c r="AL6" i="306"/>
  <c r="AK6" i="306"/>
  <c r="AJ6" i="306"/>
  <c r="AI6" i="306"/>
  <c r="AH6" i="306"/>
  <c r="AG6" i="306"/>
  <c r="AF6" i="306"/>
  <c r="AD6" i="306"/>
  <c r="AC6" i="306"/>
  <c r="AB6" i="306"/>
  <c r="AA6" i="306"/>
  <c r="Z6" i="306"/>
  <c r="X6" i="306"/>
  <c r="W6" i="306"/>
  <c r="V6" i="306"/>
  <c r="U6" i="306"/>
  <c r="T6" i="306"/>
  <c r="S6" i="306"/>
  <c r="R6" i="306"/>
  <c r="Q6" i="306"/>
  <c r="P6" i="306"/>
  <c r="N6" i="306"/>
  <c r="M6" i="306"/>
  <c r="L6" i="306"/>
  <c r="K6" i="306"/>
  <c r="J6" i="306"/>
  <c r="AM5" i="306"/>
  <c r="AL5" i="306"/>
  <c r="AK5" i="306"/>
  <c r="AJ5" i="306"/>
  <c r="AI5" i="306"/>
  <c r="AH5" i="306"/>
  <c r="AG5" i="306"/>
  <c r="AF5" i="306"/>
  <c r="AD5" i="306"/>
  <c r="AC5" i="306"/>
  <c r="AB5" i="306"/>
  <c r="AA5" i="306"/>
  <c r="Z5" i="306"/>
  <c r="X5" i="306"/>
  <c r="W5" i="306"/>
  <c r="V5" i="306"/>
  <c r="U5" i="306"/>
  <c r="T5" i="306"/>
  <c r="S5" i="306"/>
  <c r="R5" i="306"/>
  <c r="Q5" i="306"/>
  <c r="P5" i="306"/>
  <c r="N5" i="306"/>
  <c r="M5" i="306"/>
  <c r="L5" i="306"/>
  <c r="K5" i="306"/>
  <c r="J5" i="306"/>
  <c r="AK3" i="306"/>
  <c r="AL3" i="306" s="1"/>
  <c r="AM3" i="306" s="1"/>
  <c r="S3" i="306"/>
  <c r="T3" i="306" s="1"/>
  <c r="U3" i="306" s="1"/>
  <c r="V3" i="306" s="1"/>
  <c r="W3" i="306" s="1"/>
  <c r="X3" i="306" s="1"/>
  <c r="Y3" i="306" s="1"/>
  <c r="Z3" i="306" s="1"/>
  <c r="AA3" i="306" s="1"/>
  <c r="AB3" i="306" s="1"/>
  <c r="AC3" i="306" s="1"/>
  <c r="AD3" i="306" s="1"/>
  <c r="AE3" i="306" s="1"/>
  <c r="AF3" i="306" s="1"/>
  <c r="AG3" i="306" s="1"/>
  <c r="AH3" i="306" s="1"/>
  <c r="AI3" i="306" s="1"/>
  <c r="AJ3" i="306" s="1"/>
  <c r="E3" i="306"/>
  <c r="F3" i="306" s="1"/>
  <c r="G3" i="306" s="1"/>
  <c r="H3" i="306" s="1"/>
  <c r="I3" i="306" s="1"/>
  <c r="J3" i="306" s="1"/>
  <c r="K3" i="306" s="1"/>
  <c r="L3" i="306" s="1"/>
  <c r="M3" i="306" s="1"/>
  <c r="N3" i="306" s="1"/>
  <c r="O3" i="306" s="1"/>
  <c r="P3" i="306" s="1"/>
  <c r="Q3" i="306" s="1"/>
  <c r="R3" i="306" s="1"/>
  <c r="C3" i="306"/>
  <c r="D3" i="306" s="1"/>
  <c r="B3" i="306"/>
  <c r="C15" i="305"/>
  <c r="C14" i="305"/>
  <c r="C13" i="305"/>
  <c r="C12" i="305"/>
  <c r="C11" i="305"/>
  <c r="C10" i="305"/>
  <c r="C9" i="305"/>
  <c r="C8" i="305"/>
  <c r="C7" i="305"/>
  <c r="C6" i="305"/>
  <c r="C5" i="305"/>
  <c r="D3" i="305"/>
  <c r="E3" i="305" s="1"/>
  <c r="F3" i="305" s="1"/>
  <c r="G3" i="305" s="1"/>
  <c r="H3" i="305" s="1"/>
  <c r="I3" i="305" s="1"/>
  <c r="J3" i="305" s="1"/>
  <c r="K3" i="305" s="1"/>
  <c r="L3" i="305" s="1"/>
  <c r="M3" i="305" s="1"/>
  <c r="B3" i="305"/>
  <c r="C3" i="305" s="1"/>
  <c r="C15" i="304"/>
  <c r="C14" i="304"/>
  <c r="C13" i="304"/>
  <c r="C12" i="304"/>
  <c r="C11" i="304"/>
  <c r="C10" i="304"/>
  <c r="C9" i="304"/>
  <c r="C8" i="304"/>
  <c r="C7" i="304"/>
  <c r="C6" i="304"/>
  <c r="C5" i="304"/>
  <c r="C17" i="304" s="1"/>
  <c r="C3" i="304"/>
  <c r="D3" i="304" s="1"/>
  <c r="E3" i="304" s="1"/>
  <c r="F3" i="304" s="1"/>
  <c r="G3" i="304" s="1"/>
  <c r="H3" i="304" s="1"/>
  <c r="I3" i="304" s="1"/>
  <c r="J3" i="304" s="1"/>
  <c r="K3" i="304" s="1"/>
  <c r="B3" i="304"/>
  <c r="BP15" i="303"/>
  <c r="BO15" i="303"/>
  <c r="L15" i="303"/>
  <c r="E15" i="303"/>
  <c r="C15" i="303"/>
  <c r="BW14" i="303"/>
  <c r="BV14" i="303"/>
  <c r="BT14" i="303"/>
  <c r="BS14" i="303"/>
  <c r="BP14" i="303"/>
  <c r="BO14" i="303"/>
  <c r="Z14" i="303"/>
  <c r="S14" i="303"/>
  <c r="C14" i="303"/>
  <c r="BU13" i="303"/>
  <c r="BT13" i="303"/>
  <c r="BP13" i="303"/>
  <c r="BS13" i="303" s="1"/>
  <c r="BO13" i="303"/>
  <c r="AU13" i="303"/>
  <c r="AN13" i="303"/>
  <c r="AG13" i="303"/>
  <c r="AC13" i="303"/>
  <c r="Z13" i="303"/>
  <c r="AD13" i="303" s="1"/>
  <c r="AE13" i="303" s="1"/>
  <c r="Y13" i="303"/>
  <c r="L13" i="303"/>
  <c r="C13" i="303"/>
  <c r="BB13" i="303" s="1"/>
  <c r="CA12" i="303"/>
  <c r="CB12" i="303" s="1"/>
  <c r="BZ12" i="303"/>
  <c r="BW12" i="303"/>
  <c r="BV12" i="303"/>
  <c r="BS12" i="303"/>
  <c r="BP12" i="303"/>
  <c r="BT12" i="303" s="1"/>
  <c r="BU12" i="303" s="1"/>
  <c r="BO12" i="303"/>
  <c r="BI12" i="303"/>
  <c r="BB12" i="303"/>
  <c r="AU12" i="303"/>
  <c r="Z12" i="303"/>
  <c r="E12" i="303"/>
  <c r="C12" i="303"/>
  <c r="AC11" i="303"/>
  <c r="Z11" i="303"/>
  <c r="AD11" i="303" s="1"/>
  <c r="Y11" i="303"/>
  <c r="S11" i="303"/>
  <c r="C11" i="303"/>
  <c r="BW11" i="303" s="1"/>
  <c r="BZ10" i="303"/>
  <c r="BW10" i="303"/>
  <c r="BV10" i="303"/>
  <c r="BU10" i="303"/>
  <c r="BT10" i="303"/>
  <c r="BS10" i="303"/>
  <c r="BP10" i="303"/>
  <c r="BO10" i="303"/>
  <c r="S10" i="303"/>
  <c r="C10" i="303"/>
  <c r="BS9" i="303"/>
  <c r="BP9" i="303"/>
  <c r="BO9" i="303"/>
  <c r="AG9" i="303"/>
  <c r="AD9" i="303"/>
  <c r="AC9" i="303"/>
  <c r="Z9" i="303"/>
  <c r="Y9" i="303"/>
  <c r="C9" i="303"/>
  <c r="CA8" i="303"/>
  <c r="CB8" i="303" s="1"/>
  <c r="BW8" i="303"/>
  <c r="BV8" i="303"/>
  <c r="BU8" i="303"/>
  <c r="BS8" i="303"/>
  <c r="BP8" i="303"/>
  <c r="BT8" i="303" s="1"/>
  <c r="BO8" i="303"/>
  <c r="BI8" i="303"/>
  <c r="BB8" i="303"/>
  <c r="AU8" i="303"/>
  <c r="AG8" i="303"/>
  <c r="S8" i="303"/>
  <c r="L8" i="303"/>
  <c r="E8" i="303"/>
  <c r="C8" i="303"/>
  <c r="CA7" i="303"/>
  <c r="CB7" i="303" s="1"/>
  <c r="BW7" i="303"/>
  <c r="BZ7" i="303" s="1"/>
  <c r="BV7" i="303"/>
  <c r="BP7" i="303"/>
  <c r="BO7" i="303"/>
  <c r="Z7" i="303"/>
  <c r="L7" i="303"/>
  <c r="C7" i="303"/>
  <c r="BW6" i="303"/>
  <c r="BT6" i="303"/>
  <c r="BS6" i="303"/>
  <c r="BP6" i="303"/>
  <c r="BO6" i="303"/>
  <c r="BI6" i="303"/>
  <c r="AU6" i="303"/>
  <c r="S6" i="303"/>
  <c r="E6" i="303"/>
  <c r="C6" i="303"/>
  <c r="BW5" i="303"/>
  <c r="BV5" i="303"/>
  <c r="BT5" i="303"/>
  <c r="BS5" i="303"/>
  <c r="BP5" i="303"/>
  <c r="BO5" i="303"/>
  <c r="BE5" i="303"/>
  <c r="BB5" i="303"/>
  <c r="BA5" i="303"/>
  <c r="AY5" i="303"/>
  <c r="AU5" i="303"/>
  <c r="AT5" i="303"/>
  <c r="AG5" i="303"/>
  <c r="AD5" i="303"/>
  <c r="AC5" i="303"/>
  <c r="Z5" i="303"/>
  <c r="Y5" i="303"/>
  <c r="P5" i="303"/>
  <c r="O5" i="303"/>
  <c r="L5" i="303"/>
  <c r="K5" i="303"/>
  <c r="C5" i="303"/>
  <c r="AN5" i="303" s="1"/>
  <c r="N3" i="303"/>
  <c r="O3" i="303" s="1"/>
  <c r="P3" i="303" s="1"/>
  <c r="Q3" i="303" s="1"/>
  <c r="R3" i="303" s="1"/>
  <c r="S3" i="303" s="1"/>
  <c r="T3" i="303" s="1"/>
  <c r="U3" i="303" s="1"/>
  <c r="V3" i="303" s="1"/>
  <c r="W3" i="303" s="1"/>
  <c r="X3" i="303" s="1"/>
  <c r="Y3" i="303" s="1"/>
  <c r="Z3" i="303" s="1"/>
  <c r="AA3" i="303" s="1"/>
  <c r="AB3" i="303" s="1"/>
  <c r="AC3" i="303" s="1"/>
  <c r="AD3" i="303" s="1"/>
  <c r="AE3" i="303" s="1"/>
  <c r="AF3" i="303" s="1"/>
  <c r="AG3" i="303" s="1"/>
  <c r="AH3" i="303" s="1"/>
  <c r="AI3" i="303" s="1"/>
  <c r="AJ3" i="303" s="1"/>
  <c r="AK3" i="303" s="1"/>
  <c r="AL3" i="303" s="1"/>
  <c r="AM3" i="303" s="1"/>
  <c r="AN3" i="303" s="1"/>
  <c r="AO3" i="303" s="1"/>
  <c r="AP3" i="303" s="1"/>
  <c r="AQ3" i="303" s="1"/>
  <c r="AR3" i="303" s="1"/>
  <c r="AS3" i="303" s="1"/>
  <c r="AT3" i="303" s="1"/>
  <c r="AU3" i="303" s="1"/>
  <c r="AV3" i="303" s="1"/>
  <c r="AW3" i="303" s="1"/>
  <c r="AX3" i="303" s="1"/>
  <c r="AY3" i="303" s="1"/>
  <c r="AZ3" i="303" s="1"/>
  <c r="BA3" i="303" s="1"/>
  <c r="BB3" i="303" s="1"/>
  <c r="BC3" i="303" s="1"/>
  <c r="BD3" i="303" s="1"/>
  <c r="BE3" i="303" s="1"/>
  <c r="BF3" i="303" s="1"/>
  <c r="BG3" i="303" s="1"/>
  <c r="BH3" i="303" s="1"/>
  <c r="BI3" i="303" s="1"/>
  <c r="BJ3" i="303" s="1"/>
  <c r="BK3" i="303" s="1"/>
  <c r="BL3" i="303" s="1"/>
  <c r="BM3" i="303" s="1"/>
  <c r="BN3" i="303" s="1"/>
  <c r="BO3" i="303" s="1"/>
  <c r="BP3" i="303" s="1"/>
  <c r="BQ3" i="303" s="1"/>
  <c r="BR3" i="303" s="1"/>
  <c r="L3" i="303"/>
  <c r="M3" i="303" s="1"/>
  <c r="H3" i="303"/>
  <c r="I3" i="303" s="1"/>
  <c r="J3" i="303" s="1"/>
  <c r="K3" i="303" s="1"/>
  <c r="G3" i="303"/>
  <c r="B3" i="303"/>
  <c r="C3" i="303" s="1"/>
  <c r="D3" i="303" s="1"/>
  <c r="E3" i="303" s="1"/>
  <c r="F3" i="303" s="1"/>
  <c r="BP15" i="302"/>
  <c r="BO15" i="302"/>
  <c r="BI15" i="302"/>
  <c r="BB15" i="302"/>
  <c r="S15" i="302"/>
  <c r="L15" i="302"/>
  <c r="C15" i="302"/>
  <c r="BW14" i="302"/>
  <c r="BV14" i="302"/>
  <c r="BP14" i="302"/>
  <c r="BO14" i="302"/>
  <c r="AN14" i="302"/>
  <c r="AG14" i="302"/>
  <c r="Z14" i="302"/>
  <c r="S14" i="302"/>
  <c r="L14" i="302"/>
  <c r="C14" i="302"/>
  <c r="BU13" i="302"/>
  <c r="BT13" i="302"/>
  <c r="BS13" i="302"/>
  <c r="BP13" i="302"/>
  <c r="BO13" i="302"/>
  <c r="BI13" i="302"/>
  <c r="BB13" i="302"/>
  <c r="AU13" i="302"/>
  <c r="AN13" i="302"/>
  <c r="AG13" i="302"/>
  <c r="Z13" i="302"/>
  <c r="Y13" i="302"/>
  <c r="L13" i="302"/>
  <c r="E13" i="302"/>
  <c r="C13" i="302"/>
  <c r="CA12" i="302"/>
  <c r="CB12" i="302" s="1"/>
  <c r="BZ12" i="302"/>
  <c r="BW12" i="302"/>
  <c r="BV12" i="302"/>
  <c r="BT12" i="302"/>
  <c r="BS12" i="302"/>
  <c r="BP12" i="302"/>
  <c r="BO12" i="302"/>
  <c r="BB12" i="302"/>
  <c r="AU12" i="302"/>
  <c r="AN12" i="302"/>
  <c r="Z12" i="302"/>
  <c r="S12" i="302"/>
  <c r="E12" i="302"/>
  <c r="C12" i="302"/>
  <c r="BI11" i="302"/>
  <c r="BB11" i="302"/>
  <c r="AN11" i="302"/>
  <c r="AG11" i="302"/>
  <c r="AD11" i="302"/>
  <c r="AE11" i="302" s="1"/>
  <c r="AC11" i="302"/>
  <c r="Z11" i="302"/>
  <c r="Y11" i="302"/>
  <c r="S11" i="302"/>
  <c r="E11" i="302"/>
  <c r="C11" i="302"/>
  <c r="BP11" i="302" s="1"/>
  <c r="BZ10" i="302"/>
  <c r="BW10" i="302"/>
  <c r="CA10" i="302" s="1"/>
  <c r="BV10" i="302"/>
  <c r="BU10" i="302"/>
  <c r="BS10" i="302"/>
  <c r="BP10" i="302"/>
  <c r="BT10" i="302" s="1"/>
  <c r="BO10" i="302"/>
  <c r="BI10" i="302"/>
  <c r="S10" i="302"/>
  <c r="C10" i="302"/>
  <c r="L10" i="302" s="1"/>
  <c r="BW9" i="302"/>
  <c r="BU9" i="302"/>
  <c r="BT9" i="302"/>
  <c r="BS9" i="302"/>
  <c r="BP9" i="302"/>
  <c r="BO9" i="302"/>
  <c r="BI9" i="302"/>
  <c r="AN9" i="302"/>
  <c r="AG9" i="302"/>
  <c r="AC9" i="302"/>
  <c r="Z9" i="302"/>
  <c r="AD9" i="302" s="1"/>
  <c r="AE9" i="302" s="1"/>
  <c r="Y9" i="302"/>
  <c r="S9" i="302"/>
  <c r="E9" i="302"/>
  <c r="C9" i="302"/>
  <c r="CA8" i="302"/>
  <c r="CB8" i="302" s="1"/>
  <c r="BW8" i="302"/>
  <c r="BV8" i="302"/>
  <c r="BU8" i="302"/>
  <c r="BT8" i="302"/>
  <c r="BS8" i="302"/>
  <c r="BP8" i="302"/>
  <c r="BO8" i="302"/>
  <c r="BI8" i="302"/>
  <c r="BB8" i="302"/>
  <c r="AU8" i="302"/>
  <c r="AN8" i="302"/>
  <c r="S8" i="302"/>
  <c r="E8" i="302"/>
  <c r="C8" i="302"/>
  <c r="CA7" i="302"/>
  <c r="BW7" i="302"/>
  <c r="BZ7" i="302" s="1"/>
  <c r="BV7" i="302"/>
  <c r="BP7" i="302"/>
  <c r="BO7" i="302"/>
  <c r="S7" i="302"/>
  <c r="L7" i="302"/>
  <c r="C7" i="302"/>
  <c r="BP6" i="302"/>
  <c r="BT6" i="302" s="1"/>
  <c r="BU6" i="302" s="1"/>
  <c r="BO6" i="302"/>
  <c r="BB6" i="302"/>
  <c r="AU6" i="302"/>
  <c r="AN6" i="302"/>
  <c r="AG6" i="302"/>
  <c r="Z6" i="302"/>
  <c r="L6" i="302"/>
  <c r="C6" i="302"/>
  <c r="BI6" i="302" s="1"/>
  <c r="CA5" i="302"/>
  <c r="CB5" i="302" s="1"/>
  <c r="BZ5" i="302"/>
  <c r="BW5" i="302"/>
  <c r="BV5" i="302"/>
  <c r="BT5" i="302"/>
  <c r="BU5" i="302" s="1"/>
  <c r="BS5" i="302"/>
  <c r="BP5" i="302"/>
  <c r="BO5" i="302"/>
  <c r="BI5" i="302"/>
  <c r="BF5" i="302"/>
  <c r="BG5" i="302" s="1"/>
  <c r="BB5" i="302"/>
  <c r="BA5" i="302"/>
  <c r="AU5" i="302"/>
  <c r="AT5" i="302"/>
  <c r="AN5" i="302"/>
  <c r="AE5" i="302"/>
  <c r="Z5" i="302"/>
  <c r="AD5" i="302" s="1"/>
  <c r="Y5" i="302"/>
  <c r="O5" i="302"/>
  <c r="L5" i="302"/>
  <c r="P5" i="302" s="1"/>
  <c r="K5" i="302"/>
  <c r="E5" i="302"/>
  <c r="C5" i="302"/>
  <c r="AG5" i="302" s="1"/>
  <c r="C3" i="302"/>
  <c r="D3" i="302" s="1"/>
  <c r="E3" i="302" s="1"/>
  <c r="F3" i="302" s="1"/>
  <c r="G3" i="302" s="1"/>
  <c r="H3" i="302" s="1"/>
  <c r="I3" i="302" s="1"/>
  <c r="J3" i="302" s="1"/>
  <c r="K3" i="302" s="1"/>
  <c r="L3" i="302" s="1"/>
  <c r="M3" i="302" s="1"/>
  <c r="N3" i="302" s="1"/>
  <c r="O3" i="302" s="1"/>
  <c r="P3" i="302" s="1"/>
  <c r="Q3" i="302" s="1"/>
  <c r="R3" i="302" s="1"/>
  <c r="S3" i="302" s="1"/>
  <c r="T3" i="302" s="1"/>
  <c r="U3" i="302" s="1"/>
  <c r="V3" i="302" s="1"/>
  <c r="W3" i="302" s="1"/>
  <c r="X3" i="302" s="1"/>
  <c r="Y3" i="302" s="1"/>
  <c r="Z3" i="302" s="1"/>
  <c r="AA3" i="302" s="1"/>
  <c r="AB3" i="302" s="1"/>
  <c r="AC3" i="302" s="1"/>
  <c r="AD3" i="302" s="1"/>
  <c r="AE3" i="302" s="1"/>
  <c r="AF3" i="302" s="1"/>
  <c r="AG3" i="302" s="1"/>
  <c r="AH3" i="302" s="1"/>
  <c r="AI3" i="302" s="1"/>
  <c r="AJ3" i="302" s="1"/>
  <c r="AK3" i="302" s="1"/>
  <c r="AL3" i="302" s="1"/>
  <c r="AM3" i="302" s="1"/>
  <c r="AN3" i="302" s="1"/>
  <c r="AO3" i="302" s="1"/>
  <c r="AP3" i="302" s="1"/>
  <c r="AQ3" i="302" s="1"/>
  <c r="AR3" i="302" s="1"/>
  <c r="AS3" i="302" s="1"/>
  <c r="AT3" i="302" s="1"/>
  <c r="AU3" i="302" s="1"/>
  <c r="AV3" i="302" s="1"/>
  <c r="AW3" i="302" s="1"/>
  <c r="AX3" i="302" s="1"/>
  <c r="AY3" i="302" s="1"/>
  <c r="AZ3" i="302" s="1"/>
  <c r="BA3" i="302" s="1"/>
  <c r="BB3" i="302" s="1"/>
  <c r="BC3" i="302" s="1"/>
  <c r="BD3" i="302" s="1"/>
  <c r="BE3" i="302" s="1"/>
  <c r="BF3" i="302" s="1"/>
  <c r="BG3" i="302" s="1"/>
  <c r="BH3" i="302" s="1"/>
  <c r="BI3" i="302" s="1"/>
  <c r="BJ3" i="302" s="1"/>
  <c r="BK3" i="302" s="1"/>
  <c r="BL3" i="302" s="1"/>
  <c r="BM3" i="302" s="1"/>
  <c r="BN3" i="302" s="1"/>
  <c r="B3" i="302"/>
  <c r="H15" i="301"/>
  <c r="G15" i="301"/>
  <c r="F15" i="301"/>
  <c r="E15" i="301"/>
  <c r="D15" i="301"/>
  <c r="C15" i="301"/>
  <c r="H14" i="301"/>
  <c r="G14" i="301"/>
  <c r="F14" i="301"/>
  <c r="E14" i="301"/>
  <c r="D14" i="301"/>
  <c r="C14" i="301"/>
  <c r="H13" i="301"/>
  <c r="G13" i="301"/>
  <c r="F13" i="301"/>
  <c r="E13" i="301"/>
  <c r="D13" i="301"/>
  <c r="C13" i="301"/>
  <c r="H12" i="301"/>
  <c r="G12" i="301"/>
  <c r="F12" i="301"/>
  <c r="E12" i="301"/>
  <c r="D12" i="301"/>
  <c r="C12" i="301"/>
  <c r="H11" i="301"/>
  <c r="G11" i="301"/>
  <c r="F11" i="301"/>
  <c r="E11" i="301"/>
  <c r="D11" i="301"/>
  <c r="C11" i="301"/>
  <c r="H10" i="301"/>
  <c r="G10" i="301"/>
  <c r="F10" i="301"/>
  <c r="E10" i="301"/>
  <c r="D10" i="301"/>
  <c r="C10" i="301"/>
  <c r="H9" i="301"/>
  <c r="G9" i="301"/>
  <c r="F9" i="301"/>
  <c r="E9" i="301"/>
  <c r="D9" i="301"/>
  <c r="C9" i="301"/>
  <c r="C17" i="301" s="1"/>
  <c r="H8" i="301"/>
  <c r="G8" i="301"/>
  <c r="F8" i="301"/>
  <c r="E8" i="301"/>
  <c r="D8" i="301"/>
  <c r="C8" i="301"/>
  <c r="H7" i="301"/>
  <c r="G7" i="301"/>
  <c r="F7" i="301"/>
  <c r="E7" i="301"/>
  <c r="D7" i="301"/>
  <c r="C7" i="301"/>
  <c r="H6" i="301"/>
  <c r="G6" i="301"/>
  <c r="F6" i="301"/>
  <c r="E6" i="301"/>
  <c r="D6" i="301"/>
  <c r="C6" i="301"/>
  <c r="H5" i="301"/>
  <c r="G5" i="301"/>
  <c r="F5" i="301"/>
  <c r="E5" i="301"/>
  <c r="D5" i="301"/>
  <c r="C5" i="301"/>
  <c r="H3" i="301"/>
  <c r="I3" i="301" s="1"/>
  <c r="J3" i="301" s="1"/>
  <c r="K3" i="301" s="1"/>
  <c r="L3" i="301" s="1"/>
  <c r="M3" i="301" s="1"/>
  <c r="N3" i="301" s="1"/>
  <c r="O3" i="301" s="1"/>
  <c r="P3" i="301" s="1"/>
  <c r="Q3" i="301" s="1"/>
  <c r="R3" i="301" s="1"/>
  <c r="S3" i="301" s="1"/>
  <c r="T3" i="301" s="1"/>
  <c r="U3" i="301" s="1"/>
  <c r="V3" i="301" s="1"/>
  <c r="W3" i="301" s="1"/>
  <c r="X3" i="301" s="1"/>
  <c r="Y3" i="301" s="1"/>
  <c r="Z3" i="301" s="1"/>
  <c r="AA3" i="301" s="1"/>
  <c r="AB3" i="301" s="1"/>
  <c r="AC3" i="301" s="1"/>
  <c r="AD3" i="301" s="1"/>
  <c r="F3" i="301"/>
  <c r="G3" i="301" s="1"/>
  <c r="D3" i="301"/>
  <c r="E3" i="301" s="1"/>
  <c r="C3" i="301"/>
  <c r="B3" i="301"/>
  <c r="R17" i="300"/>
  <c r="Q17" i="300"/>
  <c r="P17" i="300"/>
  <c r="O17" i="300"/>
  <c r="E17" i="296" s="1"/>
  <c r="N17" i="300"/>
  <c r="M17" i="300"/>
  <c r="L17" i="300"/>
  <c r="K17" i="300"/>
  <c r="J17" i="300"/>
  <c r="H17" i="300"/>
  <c r="G17" i="300"/>
  <c r="F17" i="300"/>
  <c r="E17" i="300"/>
  <c r="E7" i="296" s="1"/>
  <c r="D17" i="300"/>
  <c r="I15" i="300"/>
  <c r="C15" i="300"/>
  <c r="I14" i="300"/>
  <c r="C14" i="300" s="1"/>
  <c r="I13" i="300"/>
  <c r="C13" i="300" s="1"/>
  <c r="I12" i="300"/>
  <c r="C12" i="300" s="1"/>
  <c r="I11" i="300"/>
  <c r="C11" i="300"/>
  <c r="I10" i="300"/>
  <c r="C10" i="300"/>
  <c r="I9" i="300"/>
  <c r="C9" i="300"/>
  <c r="I8" i="300"/>
  <c r="C8" i="300" s="1"/>
  <c r="I7" i="300"/>
  <c r="C7" i="300" s="1"/>
  <c r="I6" i="300"/>
  <c r="C6" i="300"/>
  <c r="I5" i="300"/>
  <c r="C5" i="300" s="1"/>
  <c r="K3" i="300"/>
  <c r="L3" i="300" s="1"/>
  <c r="M3" i="300" s="1"/>
  <c r="N3" i="300" s="1"/>
  <c r="O3" i="300" s="1"/>
  <c r="P3" i="300" s="1"/>
  <c r="Q3" i="300" s="1"/>
  <c r="R3" i="300" s="1"/>
  <c r="H3" i="300"/>
  <c r="I3" i="300" s="1"/>
  <c r="J3" i="300" s="1"/>
  <c r="D3" i="300"/>
  <c r="E3" i="300" s="1"/>
  <c r="F3" i="300" s="1"/>
  <c r="G3" i="300" s="1"/>
  <c r="R17" i="299"/>
  <c r="Q17" i="299"/>
  <c r="AM17" i="306" s="1"/>
  <c r="P17" i="299"/>
  <c r="O17" i="299"/>
  <c r="N17" i="299"/>
  <c r="M17" i="299"/>
  <c r="L17" i="299"/>
  <c r="AH17" i="306" s="1"/>
  <c r="K17" i="299"/>
  <c r="J17" i="299"/>
  <c r="AF17" i="306" s="1"/>
  <c r="H17" i="299"/>
  <c r="G17" i="299"/>
  <c r="F17" i="299"/>
  <c r="E17" i="299"/>
  <c r="D17" i="299"/>
  <c r="Z17" i="306" s="1"/>
  <c r="I15" i="299"/>
  <c r="AE15" i="306" s="1"/>
  <c r="C15" i="299"/>
  <c r="E15" i="304" s="1"/>
  <c r="I14" i="299"/>
  <c r="C14" i="299"/>
  <c r="E14" i="304" s="1"/>
  <c r="I13" i="299"/>
  <c r="I12" i="299"/>
  <c r="AE12" i="306" s="1"/>
  <c r="I11" i="299"/>
  <c r="AE11" i="306" s="1"/>
  <c r="C11" i="299"/>
  <c r="E11" i="304" s="1"/>
  <c r="I10" i="299"/>
  <c r="C10" i="299"/>
  <c r="E10" i="304" s="1"/>
  <c r="I9" i="299"/>
  <c r="I8" i="299"/>
  <c r="AE8" i="306" s="1"/>
  <c r="I7" i="299"/>
  <c r="AE7" i="306" s="1"/>
  <c r="C7" i="299"/>
  <c r="E7" i="304" s="1"/>
  <c r="I6" i="299"/>
  <c r="C6" i="299"/>
  <c r="E6" i="304" s="1"/>
  <c r="I5" i="299"/>
  <c r="D3" i="299"/>
  <c r="E3" i="299" s="1"/>
  <c r="F3" i="299" s="1"/>
  <c r="G3" i="299" s="1"/>
  <c r="H3" i="299" s="1"/>
  <c r="I3" i="299" s="1"/>
  <c r="J3" i="299" s="1"/>
  <c r="K3" i="299" s="1"/>
  <c r="L3" i="299" s="1"/>
  <c r="M3" i="299" s="1"/>
  <c r="N3" i="299" s="1"/>
  <c r="O3" i="299" s="1"/>
  <c r="P3" i="299" s="1"/>
  <c r="Q3" i="299" s="1"/>
  <c r="R3" i="299" s="1"/>
  <c r="R17" i="298"/>
  <c r="Q17" i="298"/>
  <c r="P17" i="298"/>
  <c r="O17" i="298"/>
  <c r="E17" i="295" s="1"/>
  <c r="N17" i="298"/>
  <c r="M17" i="298"/>
  <c r="L17" i="298"/>
  <c r="K17" i="298"/>
  <c r="E13" i="295" s="1"/>
  <c r="J17" i="298"/>
  <c r="I17" i="298"/>
  <c r="H17" i="298"/>
  <c r="G17" i="298"/>
  <c r="E9" i="295" s="1"/>
  <c r="F17" i="298"/>
  <c r="E17" i="298"/>
  <c r="D17" i="298"/>
  <c r="I15" i="298"/>
  <c r="C15" i="298"/>
  <c r="I14" i="298"/>
  <c r="C14" i="298"/>
  <c r="I13" i="298"/>
  <c r="C13" i="298" s="1"/>
  <c r="I12" i="298"/>
  <c r="C12" i="298"/>
  <c r="I11" i="298"/>
  <c r="C11" i="298" s="1"/>
  <c r="I10" i="298"/>
  <c r="C10" i="298" s="1"/>
  <c r="C17" i="298" s="1"/>
  <c r="I9" i="298"/>
  <c r="C9" i="298" s="1"/>
  <c r="I8" i="298"/>
  <c r="C8" i="298"/>
  <c r="I7" i="298"/>
  <c r="C7" i="298"/>
  <c r="I6" i="298"/>
  <c r="C6" i="298"/>
  <c r="I5" i="298"/>
  <c r="C5" i="298" s="1"/>
  <c r="N3" i="298"/>
  <c r="O3" i="298" s="1"/>
  <c r="P3" i="298" s="1"/>
  <c r="Q3" i="298" s="1"/>
  <c r="R3" i="298" s="1"/>
  <c r="L3" i="298"/>
  <c r="M3" i="298" s="1"/>
  <c r="E3" i="298"/>
  <c r="F3" i="298" s="1"/>
  <c r="G3" i="298" s="1"/>
  <c r="H3" i="298" s="1"/>
  <c r="I3" i="298" s="1"/>
  <c r="J3" i="298" s="1"/>
  <c r="K3" i="298" s="1"/>
  <c r="D3" i="298"/>
  <c r="C3" i="298"/>
  <c r="R17" i="297"/>
  <c r="X17" i="306" s="1"/>
  <c r="Q17" i="297"/>
  <c r="W17" i="306" s="1"/>
  <c r="P17" i="297"/>
  <c r="O17" i="297"/>
  <c r="N17" i="297"/>
  <c r="T17" i="306" s="1"/>
  <c r="M17" i="297"/>
  <c r="L17" i="297"/>
  <c r="K17" i="297"/>
  <c r="J17" i="297"/>
  <c r="P17" i="306" s="1"/>
  <c r="H17" i="297"/>
  <c r="G17" i="297"/>
  <c r="F17" i="297"/>
  <c r="L17" i="306" s="1"/>
  <c r="E17" i="297"/>
  <c r="D17" i="297"/>
  <c r="I15" i="297"/>
  <c r="I14" i="297"/>
  <c r="O14" i="306" s="1"/>
  <c r="I13" i="297"/>
  <c r="O13" i="306" s="1"/>
  <c r="C13" i="297"/>
  <c r="I12" i="297"/>
  <c r="I11" i="297"/>
  <c r="C11" i="297"/>
  <c r="I10" i="297"/>
  <c r="C10" i="297"/>
  <c r="I9" i="297"/>
  <c r="C9" i="297"/>
  <c r="I8" i="297"/>
  <c r="I7" i="297"/>
  <c r="I6" i="297"/>
  <c r="I5" i="297"/>
  <c r="O5" i="306" s="1"/>
  <c r="M3" i="297"/>
  <c r="N3" i="297" s="1"/>
  <c r="O3" i="297" s="1"/>
  <c r="P3" i="297" s="1"/>
  <c r="Q3" i="297" s="1"/>
  <c r="R3" i="297" s="1"/>
  <c r="K3" i="297"/>
  <c r="L3" i="297" s="1"/>
  <c r="J3" i="297"/>
  <c r="I3" i="297"/>
  <c r="E18" i="296"/>
  <c r="D18" i="296"/>
  <c r="B18" i="296"/>
  <c r="B17" i="296"/>
  <c r="E16" i="296"/>
  <c r="B16" i="296"/>
  <c r="E15" i="296"/>
  <c r="E14" i="296"/>
  <c r="D14" i="296"/>
  <c r="B14" i="296"/>
  <c r="E13" i="296"/>
  <c r="E10" i="296"/>
  <c r="E9" i="296"/>
  <c r="B8" i="296"/>
  <c r="C7" i="296"/>
  <c r="E6" i="296"/>
  <c r="B6" i="296"/>
  <c r="E4" i="296"/>
  <c r="D4" i="296"/>
  <c r="C4" i="296"/>
  <c r="B4" i="296"/>
  <c r="E20" i="295"/>
  <c r="E18" i="295"/>
  <c r="D18" i="295"/>
  <c r="B18" i="295"/>
  <c r="E16" i="295"/>
  <c r="D16" i="295"/>
  <c r="B16" i="295"/>
  <c r="E14" i="295"/>
  <c r="B14" i="295"/>
  <c r="D14" i="295" s="1"/>
  <c r="E10" i="295"/>
  <c r="B10" i="295"/>
  <c r="D10" i="295" s="1"/>
  <c r="E8" i="295"/>
  <c r="B8" i="295"/>
  <c r="D8" i="295" s="1"/>
  <c r="E6" i="295"/>
  <c r="D6" i="295"/>
  <c r="B6" i="295"/>
  <c r="B4" i="295"/>
  <c r="C4" i="295" s="1"/>
  <c r="D4" i="295" s="1"/>
  <c r="E4" i="295" s="1"/>
  <c r="C3" i="294"/>
  <c r="D3" i="294" s="1"/>
  <c r="B3" i="294"/>
  <c r="O17" i="293"/>
  <c r="E17" i="293"/>
  <c r="T15" i="293"/>
  <c r="S15" i="293"/>
  <c r="R15" i="293"/>
  <c r="D15" i="304" s="1"/>
  <c r="F15" i="304" s="1"/>
  <c r="Q15" i="293"/>
  <c r="P15" i="293"/>
  <c r="O15" i="293"/>
  <c r="N15" i="293"/>
  <c r="M15" i="293"/>
  <c r="L15" i="293"/>
  <c r="K15" i="293"/>
  <c r="J15" i="293"/>
  <c r="I15" i="293"/>
  <c r="H15" i="293"/>
  <c r="G15" i="293"/>
  <c r="F15" i="293"/>
  <c r="E15" i="293"/>
  <c r="D15" i="293"/>
  <c r="T14" i="293"/>
  <c r="S14" i="293"/>
  <c r="R14" i="293"/>
  <c r="D14" i="304" s="1"/>
  <c r="F14" i="304" s="1"/>
  <c r="Q14" i="293"/>
  <c r="P14" i="293"/>
  <c r="O14" i="293"/>
  <c r="N14" i="293"/>
  <c r="M14" i="293"/>
  <c r="L14" i="293"/>
  <c r="K14" i="293"/>
  <c r="J14" i="293"/>
  <c r="I14" i="293"/>
  <c r="C14" i="293" s="1"/>
  <c r="H14" i="293"/>
  <c r="G14" i="293"/>
  <c r="F14" i="293"/>
  <c r="E14" i="293"/>
  <c r="D14" i="293"/>
  <c r="T13" i="293"/>
  <c r="S13" i="293"/>
  <c r="R13" i="293"/>
  <c r="D13" i="304" s="1"/>
  <c r="Q13" i="293"/>
  <c r="P13" i="293"/>
  <c r="O13" i="293"/>
  <c r="N13" i="293"/>
  <c r="M13" i="293"/>
  <c r="L13" i="293"/>
  <c r="K13" i="293"/>
  <c r="I13" i="293" s="1"/>
  <c r="J13" i="293"/>
  <c r="H13" i="293"/>
  <c r="G13" i="293"/>
  <c r="F13" i="293"/>
  <c r="E13" i="293"/>
  <c r="D13" i="293"/>
  <c r="C13" i="293"/>
  <c r="T12" i="293"/>
  <c r="S12" i="293"/>
  <c r="R12" i="293"/>
  <c r="D12" i="304" s="1"/>
  <c r="Q12" i="293"/>
  <c r="P12" i="293"/>
  <c r="O12" i="293"/>
  <c r="N12" i="293"/>
  <c r="M12" i="293"/>
  <c r="L12" i="293"/>
  <c r="K12" i="293"/>
  <c r="J12" i="293"/>
  <c r="H12" i="293"/>
  <c r="G12" i="293"/>
  <c r="G17" i="293" s="1"/>
  <c r="F12" i="293"/>
  <c r="E12" i="293"/>
  <c r="D12" i="293"/>
  <c r="T11" i="293"/>
  <c r="S11" i="293"/>
  <c r="R11" i="293"/>
  <c r="D11" i="304" s="1"/>
  <c r="F11" i="304" s="1"/>
  <c r="Q11" i="293"/>
  <c r="P11" i="293"/>
  <c r="O11" i="293"/>
  <c r="N11" i="293"/>
  <c r="M11" i="293"/>
  <c r="L11" i="293"/>
  <c r="K11" i="293"/>
  <c r="J11" i="293"/>
  <c r="I11" i="293"/>
  <c r="H11" i="293"/>
  <c r="G11" i="293"/>
  <c r="F11" i="293"/>
  <c r="E11" i="293"/>
  <c r="D11" i="293"/>
  <c r="T10" i="293"/>
  <c r="S10" i="293"/>
  <c r="R10" i="293"/>
  <c r="D10" i="304" s="1"/>
  <c r="F10" i="304" s="1"/>
  <c r="Q10" i="293"/>
  <c r="I10" i="293" s="1"/>
  <c r="C10" i="293" s="1"/>
  <c r="P10" i="293"/>
  <c r="O10" i="293"/>
  <c r="N10" i="293"/>
  <c r="M10" i="293"/>
  <c r="L10" i="293"/>
  <c r="K10" i="293"/>
  <c r="J10" i="293"/>
  <c r="H10" i="293"/>
  <c r="G10" i="293"/>
  <c r="F10" i="293"/>
  <c r="E10" i="293"/>
  <c r="D10" i="293"/>
  <c r="T9" i="293"/>
  <c r="S9" i="293"/>
  <c r="C9" i="293" s="1"/>
  <c r="R9" i="293"/>
  <c r="D9" i="304" s="1"/>
  <c r="Q9" i="293"/>
  <c r="P9" i="293"/>
  <c r="O9" i="293"/>
  <c r="N9" i="293"/>
  <c r="M9" i="293"/>
  <c r="L9" i="293"/>
  <c r="K9" i="293"/>
  <c r="I9" i="293" s="1"/>
  <c r="J9" i="293"/>
  <c r="H9" i="293"/>
  <c r="G9" i="293"/>
  <c r="F9" i="293"/>
  <c r="E9" i="293"/>
  <c r="D9" i="293"/>
  <c r="T8" i="293"/>
  <c r="S8" i="293"/>
  <c r="R8" i="293"/>
  <c r="D8" i="304" s="1"/>
  <c r="Q8" i="293"/>
  <c r="P8" i="293"/>
  <c r="O8" i="293"/>
  <c r="N8" i="293"/>
  <c r="M8" i="293"/>
  <c r="L8" i="293"/>
  <c r="K8" i="293"/>
  <c r="J8" i="293"/>
  <c r="H8" i="293"/>
  <c r="G8" i="293"/>
  <c r="F8" i="293"/>
  <c r="E8" i="293"/>
  <c r="D8" i="293"/>
  <c r="T7" i="293"/>
  <c r="S7" i="293"/>
  <c r="R7" i="293"/>
  <c r="D7" i="304" s="1"/>
  <c r="F7" i="304" s="1"/>
  <c r="Q7" i="293"/>
  <c r="P7" i="293"/>
  <c r="O7" i="293"/>
  <c r="N7" i="293"/>
  <c r="M7" i="293"/>
  <c r="L7" i="293"/>
  <c r="K7" i="293"/>
  <c r="J7" i="293"/>
  <c r="I7" i="293"/>
  <c r="H7" i="293"/>
  <c r="G7" i="293"/>
  <c r="F7" i="293"/>
  <c r="E7" i="293"/>
  <c r="D7" i="293"/>
  <c r="T6" i="293"/>
  <c r="T17" i="293" s="1"/>
  <c r="B16" i="290" s="1"/>
  <c r="S6" i="293"/>
  <c r="R6" i="293"/>
  <c r="D6" i="304" s="1"/>
  <c r="F6" i="304" s="1"/>
  <c r="Q6" i="293"/>
  <c r="P6" i="293"/>
  <c r="P17" i="293" s="1"/>
  <c r="O6" i="293"/>
  <c r="N6" i="293"/>
  <c r="M6" i="293"/>
  <c r="L6" i="293"/>
  <c r="L17" i="293" s="1"/>
  <c r="K6" i="293"/>
  <c r="J6" i="293"/>
  <c r="I6" i="293"/>
  <c r="C6" i="293" s="1"/>
  <c r="H6" i="293"/>
  <c r="H17" i="293" s="1"/>
  <c r="G6" i="293"/>
  <c r="F6" i="293"/>
  <c r="E6" i="293"/>
  <c r="D6" i="293"/>
  <c r="D17" i="293" s="1"/>
  <c r="T5" i="293"/>
  <c r="S5" i="293"/>
  <c r="R5" i="293"/>
  <c r="D5" i="304" s="1"/>
  <c r="Q5" i="293"/>
  <c r="P5" i="293"/>
  <c r="O5" i="293"/>
  <c r="N5" i="293"/>
  <c r="N17" i="293" s="1"/>
  <c r="C16" i="296" s="1"/>
  <c r="M5" i="293"/>
  <c r="M17" i="293" s="1"/>
  <c r="L5" i="293"/>
  <c r="K5" i="293"/>
  <c r="J5" i="293"/>
  <c r="J17" i="293" s="1"/>
  <c r="H5" i="293"/>
  <c r="G5" i="293"/>
  <c r="F5" i="293"/>
  <c r="F17" i="293" s="1"/>
  <c r="E5" i="293"/>
  <c r="D5" i="293"/>
  <c r="B3" i="293"/>
  <c r="C3" i="293" s="1"/>
  <c r="D3" i="293" s="1"/>
  <c r="E3" i="293" s="1"/>
  <c r="F3" i="293" s="1"/>
  <c r="G3" i="293" s="1"/>
  <c r="H3" i="293" s="1"/>
  <c r="I3" i="293" s="1"/>
  <c r="J3" i="293" s="1"/>
  <c r="K3" i="293" s="1"/>
  <c r="L3" i="293" s="1"/>
  <c r="M3" i="293" s="1"/>
  <c r="N3" i="293" s="1"/>
  <c r="O3" i="293" s="1"/>
  <c r="P3" i="293" s="1"/>
  <c r="Q3" i="293" s="1"/>
  <c r="R3" i="293" s="1"/>
  <c r="S3" i="293" s="1"/>
  <c r="T3" i="293" s="1"/>
  <c r="U3" i="293" s="1"/>
  <c r="R17" i="292"/>
  <c r="Q17" i="292"/>
  <c r="P17" i="292"/>
  <c r="O17" i="292"/>
  <c r="N17" i="292"/>
  <c r="M17" i="292"/>
  <c r="L17" i="292"/>
  <c r="K17" i="292"/>
  <c r="J17" i="292"/>
  <c r="I17" i="292"/>
  <c r="H17" i="292"/>
  <c r="G17" i="292"/>
  <c r="F17" i="292"/>
  <c r="E17" i="292"/>
  <c r="D17" i="292"/>
  <c r="I15" i="292"/>
  <c r="C15" i="292"/>
  <c r="I14" i="292"/>
  <c r="C14" i="292"/>
  <c r="I13" i="292"/>
  <c r="C13" i="292"/>
  <c r="I12" i="292"/>
  <c r="C12" i="292"/>
  <c r="I11" i="292"/>
  <c r="C11" i="292"/>
  <c r="I10" i="292"/>
  <c r="C10" i="292"/>
  <c r="I9" i="292"/>
  <c r="C9" i="292"/>
  <c r="I8" i="292"/>
  <c r="C8" i="292"/>
  <c r="I7" i="292"/>
  <c r="C7" i="292"/>
  <c r="I6" i="292"/>
  <c r="C6" i="292"/>
  <c r="I5" i="292"/>
  <c r="C5" i="292"/>
  <c r="F3" i="292"/>
  <c r="G3" i="292" s="1"/>
  <c r="H3" i="292" s="1"/>
  <c r="I3" i="292" s="1"/>
  <c r="J3" i="292" s="1"/>
  <c r="K3" i="292" s="1"/>
  <c r="L3" i="292" s="1"/>
  <c r="M3" i="292" s="1"/>
  <c r="N3" i="292" s="1"/>
  <c r="O3" i="292" s="1"/>
  <c r="P3" i="292" s="1"/>
  <c r="Q3" i="292" s="1"/>
  <c r="R3" i="292" s="1"/>
  <c r="S3" i="292" s="1"/>
  <c r="T3" i="292" s="1"/>
  <c r="U3" i="292" s="1"/>
  <c r="B3" i="292"/>
  <c r="C3" i="292" s="1"/>
  <c r="D3" i="292" s="1"/>
  <c r="E3" i="292" s="1"/>
  <c r="W17" i="291"/>
  <c r="B15" i="296" s="1"/>
  <c r="T17" i="291"/>
  <c r="S17" i="291"/>
  <c r="R17" i="291"/>
  <c r="Q17" i="291"/>
  <c r="P17" i="291"/>
  <c r="O17" i="291"/>
  <c r="N17" i="291"/>
  <c r="M17" i="291"/>
  <c r="L17" i="291"/>
  <c r="K17" i="291"/>
  <c r="J17" i="291"/>
  <c r="H17" i="291"/>
  <c r="G17" i="291"/>
  <c r="F17" i="291"/>
  <c r="E17" i="291"/>
  <c r="D17" i="291"/>
  <c r="I15" i="291"/>
  <c r="C15" i="291"/>
  <c r="V15" i="291" s="1"/>
  <c r="T15" i="307" s="1"/>
  <c r="I14" i="291"/>
  <c r="C14" i="291"/>
  <c r="V14" i="291" s="1"/>
  <c r="T14" i="307" s="1"/>
  <c r="I13" i="291"/>
  <c r="C13" i="291" s="1"/>
  <c r="V13" i="291" s="1"/>
  <c r="T13" i="307" s="1"/>
  <c r="I12" i="291"/>
  <c r="C12" i="291"/>
  <c r="V12" i="291" s="1"/>
  <c r="T12" i="307" s="1"/>
  <c r="I11" i="291"/>
  <c r="C11" i="291" s="1"/>
  <c r="V11" i="291" s="1"/>
  <c r="T11" i="307" s="1"/>
  <c r="V10" i="291"/>
  <c r="T10" i="307" s="1"/>
  <c r="I10" i="291"/>
  <c r="C10" i="291"/>
  <c r="I9" i="291"/>
  <c r="C9" i="291" s="1"/>
  <c r="V9" i="291" s="1"/>
  <c r="T9" i="307" s="1"/>
  <c r="I8" i="291"/>
  <c r="C8" i="291"/>
  <c r="V8" i="291" s="1"/>
  <c r="T8" i="307" s="1"/>
  <c r="I7" i="291"/>
  <c r="C7" i="291"/>
  <c r="V7" i="291" s="1"/>
  <c r="T7" i="307" s="1"/>
  <c r="I6" i="291"/>
  <c r="C6" i="291"/>
  <c r="V6" i="291" s="1"/>
  <c r="T6" i="307" s="1"/>
  <c r="I5" i="291"/>
  <c r="C3" i="291"/>
  <c r="D3" i="291" s="1"/>
  <c r="E3" i="291" s="1"/>
  <c r="F3" i="291" s="1"/>
  <c r="G3" i="291" s="1"/>
  <c r="H3" i="291" s="1"/>
  <c r="I3" i="291" s="1"/>
  <c r="J3" i="291" s="1"/>
  <c r="K3" i="291" s="1"/>
  <c r="L3" i="291" s="1"/>
  <c r="M3" i="291" s="1"/>
  <c r="N3" i="291" s="1"/>
  <c r="O3" i="291" s="1"/>
  <c r="P3" i="291" s="1"/>
  <c r="Q3" i="291" s="1"/>
  <c r="R3" i="291" s="1"/>
  <c r="S3" i="291" s="1"/>
  <c r="T3" i="291" s="1"/>
  <c r="U3" i="291" s="1"/>
  <c r="V3" i="291" s="1"/>
  <c r="W3" i="291" s="1"/>
  <c r="X3" i="291" s="1"/>
  <c r="Y3" i="291" s="1"/>
  <c r="B3" i="291"/>
  <c r="C16" i="290"/>
  <c r="C4" i="290"/>
  <c r="B4" i="290"/>
  <c r="S17" i="289"/>
  <c r="C15" i="289"/>
  <c r="W14" i="289"/>
  <c r="C14" i="289"/>
  <c r="AM13" i="289"/>
  <c r="W13" i="289"/>
  <c r="O13" i="289"/>
  <c r="C13" i="289"/>
  <c r="AN12" i="289"/>
  <c r="AM12" i="289"/>
  <c r="X12" i="289"/>
  <c r="W12" i="289"/>
  <c r="C12" i="289"/>
  <c r="AE11" i="289"/>
  <c r="O11" i="289"/>
  <c r="C11" i="289"/>
  <c r="AN10" i="289"/>
  <c r="AM10" i="289"/>
  <c r="W10" i="289"/>
  <c r="C10" i="289"/>
  <c r="AM9" i="289"/>
  <c r="AE9" i="289"/>
  <c r="O9" i="289"/>
  <c r="C9" i="289"/>
  <c r="AN8" i="289"/>
  <c r="AM8" i="289"/>
  <c r="X8" i="289"/>
  <c r="W8" i="289"/>
  <c r="C8" i="289"/>
  <c r="AN7" i="289"/>
  <c r="X7" i="289"/>
  <c r="C7" i="289"/>
  <c r="AM6" i="289"/>
  <c r="W6" i="289"/>
  <c r="C6" i="289"/>
  <c r="AN5" i="289"/>
  <c r="AM5" i="289"/>
  <c r="AK5" i="289"/>
  <c r="AE5" i="289"/>
  <c r="W5" i="289"/>
  <c r="T5" i="289"/>
  <c r="O5" i="289"/>
  <c r="M5" i="289"/>
  <c r="C5" i="289"/>
  <c r="D3" i="289"/>
  <c r="E3" i="289" s="1"/>
  <c r="F3" i="289" s="1"/>
  <c r="G3" i="289" s="1"/>
  <c r="H3" i="289" s="1"/>
  <c r="I3" i="289" s="1"/>
  <c r="J3" i="289" s="1"/>
  <c r="K3" i="289" s="1"/>
  <c r="L3" i="289" s="1"/>
  <c r="M3" i="289" s="1"/>
  <c r="N3" i="289" s="1"/>
  <c r="O3" i="289" s="1"/>
  <c r="P3" i="289" s="1"/>
  <c r="Q3" i="289" s="1"/>
  <c r="R3" i="289" s="1"/>
  <c r="S3" i="289" s="1"/>
  <c r="T3" i="289" s="1"/>
  <c r="U3" i="289" s="1"/>
  <c r="V3" i="289" s="1"/>
  <c r="W3" i="289" s="1"/>
  <c r="X3" i="289" s="1"/>
  <c r="Y3" i="289" s="1"/>
  <c r="Z3" i="289" s="1"/>
  <c r="AA3" i="289" s="1"/>
  <c r="AB3" i="289" s="1"/>
  <c r="AC3" i="289" s="1"/>
  <c r="AD3" i="289" s="1"/>
  <c r="AE3" i="289" s="1"/>
  <c r="AF3" i="289" s="1"/>
  <c r="AG3" i="289" s="1"/>
  <c r="AH3" i="289" s="1"/>
  <c r="AI3" i="289" s="1"/>
  <c r="AJ3" i="289" s="1"/>
  <c r="AK3" i="289" s="1"/>
  <c r="AL3" i="289" s="1"/>
  <c r="AM3" i="289" s="1"/>
  <c r="AN3" i="289" s="1"/>
  <c r="AO3" i="289" s="1"/>
  <c r="AP3" i="289" s="1"/>
  <c r="AQ3" i="289" s="1"/>
  <c r="AR3" i="289" s="1"/>
  <c r="AS3" i="289" s="1"/>
  <c r="AT3" i="289" s="1"/>
  <c r="AU3" i="289" s="1"/>
  <c r="AV3" i="289" s="1"/>
  <c r="C3" i="289"/>
  <c r="B3" i="289"/>
  <c r="C9" i="296" l="1"/>
  <c r="C9" i="295"/>
  <c r="B8" i="290"/>
  <c r="C8" i="290" s="1"/>
  <c r="S14" i="301" s="1"/>
  <c r="BS3" i="302"/>
  <c r="BT3" i="302" s="1"/>
  <c r="BU3" i="302" s="1"/>
  <c r="BV3" i="302" s="1"/>
  <c r="BW3" i="302" s="1"/>
  <c r="BX3" i="302" s="1"/>
  <c r="BY3" i="302" s="1"/>
  <c r="BZ3" i="302" s="1"/>
  <c r="CA3" i="302" s="1"/>
  <c r="CB3" i="302" s="1"/>
  <c r="CC3" i="302" s="1"/>
  <c r="CD3" i="302" s="1"/>
  <c r="CE3" i="302" s="1"/>
  <c r="BO3" i="302"/>
  <c r="BP3" i="302" s="1"/>
  <c r="BQ3" i="302" s="1"/>
  <c r="BR3" i="302" s="1"/>
  <c r="C15" i="296"/>
  <c r="C15" i="295"/>
  <c r="B25" i="290"/>
  <c r="C25" i="290" s="1"/>
  <c r="O6" i="306"/>
  <c r="C6" i="297"/>
  <c r="AB17" i="306"/>
  <c r="D8" i="296"/>
  <c r="E12" i="305"/>
  <c r="Q17" i="293"/>
  <c r="C17" i="300"/>
  <c r="G12" i="305"/>
  <c r="C5" i="291"/>
  <c r="I17" i="291"/>
  <c r="C17" i="292"/>
  <c r="B9" i="290"/>
  <c r="C9" i="290" s="1"/>
  <c r="C10" i="295"/>
  <c r="C18" i="296"/>
  <c r="C18" i="295"/>
  <c r="B28" i="290"/>
  <c r="C28" i="290" s="1"/>
  <c r="I12" i="293"/>
  <c r="C10" i="296"/>
  <c r="AE9" i="306"/>
  <c r="C9" i="299"/>
  <c r="E9" i="304" s="1"/>
  <c r="E9" i="305"/>
  <c r="M9" i="301"/>
  <c r="BZ14" i="302"/>
  <c r="CA14" i="302"/>
  <c r="BS3" i="303"/>
  <c r="BT3" i="303" s="1"/>
  <c r="BU3" i="303" s="1"/>
  <c r="BV3" i="303" s="1"/>
  <c r="BW3" i="303" s="1"/>
  <c r="BX3" i="303" s="1"/>
  <c r="BY3" i="303" s="1"/>
  <c r="BZ3" i="303" s="1"/>
  <c r="CA3" i="303" s="1"/>
  <c r="CB3" i="303" s="1"/>
  <c r="CC3" i="303" s="1"/>
  <c r="CD3" i="303" s="1"/>
  <c r="CE3" i="303" s="1"/>
  <c r="G6" i="305"/>
  <c r="H10" i="305"/>
  <c r="O7" i="306"/>
  <c r="C7" i="297"/>
  <c r="C8" i="293"/>
  <c r="K17" i="293"/>
  <c r="I5" i="293"/>
  <c r="S17" i="293"/>
  <c r="B15" i="290" s="1"/>
  <c r="C15" i="290" s="1"/>
  <c r="B27" i="290"/>
  <c r="C27" i="290" s="1"/>
  <c r="C17" i="295"/>
  <c r="C17" i="296"/>
  <c r="E8" i="296"/>
  <c r="E5" i="305"/>
  <c r="M5" i="301"/>
  <c r="G13" i="305"/>
  <c r="C8" i="296"/>
  <c r="C8" i="295"/>
  <c r="AE13" i="306"/>
  <c r="C13" i="299"/>
  <c r="E13" i="304" s="1"/>
  <c r="F7" i="305"/>
  <c r="O15" i="306"/>
  <c r="C15" i="297"/>
  <c r="AE5" i="306"/>
  <c r="C5" i="299"/>
  <c r="I17" i="299"/>
  <c r="D11" i="305"/>
  <c r="I11" i="305" s="1"/>
  <c r="BT7" i="302"/>
  <c r="BS7" i="302"/>
  <c r="BQ7" i="302"/>
  <c r="M7" i="301"/>
  <c r="C7" i="295"/>
  <c r="B6" i="290"/>
  <c r="C6" i="290" s="1"/>
  <c r="M12" i="301" s="1"/>
  <c r="O12" i="306"/>
  <c r="C12" i="297"/>
  <c r="Q5" i="302"/>
  <c r="AC5" i="289"/>
  <c r="C12" i="293"/>
  <c r="S17" i="306"/>
  <c r="E15" i="295"/>
  <c r="G5" i="305"/>
  <c r="S5" i="301"/>
  <c r="E6" i="305"/>
  <c r="M6" i="301"/>
  <c r="F10" i="305"/>
  <c r="M11" i="301"/>
  <c r="M15" i="301"/>
  <c r="K7" i="302"/>
  <c r="B7" i="290"/>
  <c r="C7" i="290" s="1"/>
  <c r="B26" i="290"/>
  <c r="C26" i="290" s="1"/>
  <c r="C16" i="295"/>
  <c r="B5" i="290"/>
  <c r="C6" i="296"/>
  <c r="C6" i="295"/>
  <c r="C14" i="296"/>
  <c r="C14" i="295"/>
  <c r="B24" i="290"/>
  <c r="C24" i="290" s="1"/>
  <c r="I8" i="293"/>
  <c r="K17" i="306"/>
  <c r="E7" i="295"/>
  <c r="AJ17" i="306"/>
  <c r="D16" i="296"/>
  <c r="I17" i="300"/>
  <c r="F15" i="305"/>
  <c r="B10" i="296"/>
  <c r="D10" i="296" s="1"/>
  <c r="O11" i="306"/>
  <c r="J17" i="306"/>
  <c r="R17" i="306"/>
  <c r="AC17" i="306"/>
  <c r="AK17" i="306"/>
  <c r="D17" i="296"/>
  <c r="F6" i="305"/>
  <c r="G7" i="305"/>
  <c r="G10" i="305"/>
  <c r="H13" i="305"/>
  <c r="G15" i="305"/>
  <c r="AG17" i="302"/>
  <c r="O8" i="306"/>
  <c r="C8" i="297"/>
  <c r="H5" i="305"/>
  <c r="H6" i="305"/>
  <c r="D8" i="305"/>
  <c r="I8" i="305" s="1"/>
  <c r="E11" i="305"/>
  <c r="E14" i="305"/>
  <c r="M14" i="301"/>
  <c r="AY5" i="302"/>
  <c r="AX5" i="302"/>
  <c r="C7" i="293"/>
  <c r="C11" i="293"/>
  <c r="C15" i="293"/>
  <c r="B15" i="295"/>
  <c r="D15" i="295" s="1"/>
  <c r="B17" i="295"/>
  <c r="D17" i="295" s="1"/>
  <c r="M17" i="306"/>
  <c r="U17" i="306"/>
  <c r="E8" i="305"/>
  <c r="G9" i="305"/>
  <c r="F11" i="305"/>
  <c r="F14" i="305"/>
  <c r="AD13" i="302"/>
  <c r="AC13" i="302"/>
  <c r="F8" i="304"/>
  <c r="R17" i="293"/>
  <c r="B14" i="290" s="1"/>
  <c r="C14" i="290" s="1"/>
  <c r="D6" i="296"/>
  <c r="C5" i="297"/>
  <c r="O9" i="306"/>
  <c r="C14" i="297"/>
  <c r="N17" i="306"/>
  <c r="V17" i="306"/>
  <c r="C8" i="299"/>
  <c r="E8" i="304" s="1"/>
  <c r="C12" i="299"/>
  <c r="E12" i="304" s="1"/>
  <c r="F12" i="304" s="1"/>
  <c r="AG17" i="306"/>
  <c r="H9" i="305"/>
  <c r="G11" i="305"/>
  <c r="S11" i="301"/>
  <c r="G14" i="305"/>
  <c r="I17" i="297"/>
  <c r="O17" i="306" s="1"/>
  <c r="D7" i="305"/>
  <c r="I7" i="305" s="1"/>
  <c r="G8" i="305"/>
  <c r="E13" i="305"/>
  <c r="M13" i="301"/>
  <c r="H14" i="305"/>
  <c r="D15" i="305"/>
  <c r="I15" i="305" s="1"/>
  <c r="D17" i="304"/>
  <c r="F9" i="304"/>
  <c r="F13" i="304"/>
  <c r="O10" i="306"/>
  <c r="AA17" i="306"/>
  <c r="AI17" i="306"/>
  <c r="D15" i="296"/>
  <c r="D5" i="305"/>
  <c r="I5" i="305" s="1"/>
  <c r="E7" i="305"/>
  <c r="S8" i="301"/>
  <c r="E10" i="305"/>
  <c r="M10" i="301"/>
  <c r="D12" i="305"/>
  <c r="I12" i="305" s="1"/>
  <c r="V14" i="301"/>
  <c r="E15" i="305"/>
  <c r="Z7" i="302"/>
  <c r="AG7" i="302"/>
  <c r="Y7" i="302"/>
  <c r="AN7" i="302"/>
  <c r="AU7" i="302"/>
  <c r="BB7" i="302"/>
  <c r="BI7" i="302"/>
  <c r="BA7" i="302"/>
  <c r="E7" i="302"/>
  <c r="H7" i="305"/>
  <c r="F8" i="305"/>
  <c r="D9" i="305"/>
  <c r="I9" i="305" s="1"/>
  <c r="H11" i="305"/>
  <c r="F12" i="305"/>
  <c r="D13" i="305"/>
  <c r="I13" i="305" s="1"/>
  <c r="H15" i="305"/>
  <c r="BE5" i="302"/>
  <c r="S6" i="302"/>
  <c r="BW6" i="302"/>
  <c r="BB9" i="302"/>
  <c r="BH9" i="302"/>
  <c r="L9" i="302"/>
  <c r="AU9" i="302"/>
  <c r="AN15" i="302"/>
  <c r="AU15" i="302"/>
  <c r="AM15" i="302"/>
  <c r="BW15" i="302"/>
  <c r="AG15" i="302"/>
  <c r="AE5" i="303"/>
  <c r="AZ5" i="303"/>
  <c r="BT7" i="303"/>
  <c r="BS7" i="303"/>
  <c r="CB7" i="302"/>
  <c r="AG10" i="302"/>
  <c r="CB10" i="302"/>
  <c r="Q17" i="306"/>
  <c r="AE6" i="306"/>
  <c r="AE10" i="306"/>
  <c r="AE14" i="306"/>
  <c r="AD17" i="306"/>
  <c r="AL17" i="306"/>
  <c r="F5" i="305"/>
  <c r="D6" i="305"/>
  <c r="I6" i="305" s="1"/>
  <c r="H8" i="305"/>
  <c r="F9" i="305"/>
  <c r="D10" i="305"/>
  <c r="I10" i="305" s="1"/>
  <c r="H12" i="305"/>
  <c r="F13" i="305"/>
  <c r="D14" i="305"/>
  <c r="I14" i="305" s="1"/>
  <c r="C17" i="302"/>
  <c r="AF15" i="302" s="1"/>
  <c r="S5" i="302"/>
  <c r="E6" i="302"/>
  <c r="L8" i="302"/>
  <c r="Z8" i="302"/>
  <c r="R8" i="302"/>
  <c r="AG8" i="302"/>
  <c r="BH12" i="302"/>
  <c r="L12" i="302"/>
  <c r="D12" i="302"/>
  <c r="AG12" i="302"/>
  <c r="BI12" i="302"/>
  <c r="R12" i="302"/>
  <c r="AF12" i="302"/>
  <c r="AT12" i="302"/>
  <c r="BS14" i="302"/>
  <c r="E15" i="302"/>
  <c r="Z15" i="302"/>
  <c r="BB17" i="303"/>
  <c r="BF5" i="303"/>
  <c r="BU5" i="303"/>
  <c r="L9" i="303"/>
  <c r="AN9" i="303"/>
  <c r="BI9" i="303"/>
  <c r="S9" i="303"/>
  <c r="BB9" i="303"/>
  <c r="E9" i="303"/>
  <c r="AE9" i="303"/>
  <c r="BW9" i="303"/>
  <c r="AU9" i="303"/>
  <c r="BP17" i="302"/>
  <c r="BQ11" i="302" s="1"/>
  <c r="AN10" i="302"/>
  <c r="BB10" i="302"/>
  <c r="BT14" i="302"/>
  <c r="AC5" i="302"/>
  <c r="BQ5" i="302"/>
  <c r="BS6" i="302"/>
  <c r="Z10" i="302"/>
  <c r="AU10" i="302"/>
  <c r="BV11" i="302"/>
  <c r="R11" i="302"/>
  <c r="AU11" i="302"/>
  <c r="BW11" i="302"/>
  <c r="AF11" i="302"/>
  <c r="L11" i="302"/>
  <c r="C17" i="303"/>
  <c r="K10" i="303" s="1"/>
  <c r="BI5" i="303"/>
  <c r="S5" i="303"/>
  <c r="E5" i="303"/>
  <c r="BZ8" i="302"/>
  <c r="E10" i="302"/>
  <c r="BT15" i="302"/>
  <c r="BS15" i="302"/>
  <c r="BQ15" i="302"/>
  <c r="Q5" i="303"/>
  <c r="AX5" i="303"/>
  <c r="BB6" i="303"/>
  <c r="L6" i="303"/>
  <c r="AG6" i="303"/>
  <c r="K6" i="303"/>
  <c r="AN6" i="303"/>
  <c r="Z6" i="303"/>
  <c r="BU12" i="302"/>
  <c r="BU6" i="303"/>
  <c r="BW13" i="302"/>
  <c r="S13" i="302"/>
  <c r="CA5" i="303"/>
  <c r="BZ5" i="303"/>
  <c r="AN7" i="303"/>
  <c r="BB7" i="303"/>
  <c r="E7" i="303"/>
  <c r="S7" i="303"/>
  <c r="AG7" i="303"/>
  <c r="BI7" i="303"/>
  <c r="AN10" i="303"/>
  <c r="AU10" i="303"/>
  <c r="AM10" i="303"/>
  <c r="BI10" i="303"/>
  <c r="E10" i="303"/>
  <c r="L10" i="303"/>
  <c r="AG10" i="303"/>
  <c r="BB10" i="303"/>
  <c r="Z10" i="303"/>
  <c r="BB14" i="302"/>
  <c r="AT14" i="302"/>
  <c r="BI14" i="302"/>
  <c r="BA14" i="302"/>
  <c r="E14" i="302"/>
  <c r="AU14" i="302"/>
  <c r="AU7" i="303"/>
  <c r="BZ8" i="303"/>
  <c r="CA10" i="303"/>
  <c r="BS15" i="303"/>
  <c r="BT15" i="303"/>
  <c r="BT9" i="303"/>
  <c r="AG11" i="303"/>
  <c r="AU11" i="303"/>
  <c r="BB11" i="303"/>
  <c r="AN11" i="303"/>
  <c r="L11" i="303"/>
  <c r="BP11" i="303"/>
  <c r="BP17" i="303" s="1"/>
  <c r="E11" i="303"/>
  <c r="BI11" i="303"/>
  <c r="Z8" i="303"/>
  <c r="AN8" i="303"/>
  <c r="I12" i="308"/>
  <c r="I10" i="308"/>
  <c r="C10" i="308" s="1"/>
  <c r="BU14" i="303"/>
  <c r="AG14" i="303"/>
  <c r="AN14" i="303"/>
  <c r="AF14" i="303"/>
  <c r="AU14" i="303"/>
  <c r="BB14" i="303"/>
  <c r="BI14" i="303"/>
  <c r="E14" i="303"/>
  <c r="BH14" i="303"/>
  <c r="L14" i="303"/>
  <c r="C5" i="308"/>
  <c r="E17" i="308"/>
  <c r="G17" i="308"/>
  <c r="C9" i="308"/>
  <c r="C15" i="308"/>
  <c r="AE11" i="303"/>
  <c r="K14" i="303"/>
  <c r="I5" i="308"/>
  <c r="C8" i="308"/>
  <c r="C12" i="308"/>
  <c r="CA14" i="303"/>
  <c r="BZ14" i="303"/>
  <c r="K17" i="308"/>
  <c r="AN12" i="303"/>
  <c r="BV13" i="303"/>
  <c r="I8" i="308"/>
  <c r="AG12" i="303"/>
  <c r="S13" i="303"/>
  <c r="BW13" i="303"/>
  <c r="BW17" i="303" s="1"/>
  <c r="BH15" i="303"/>
  <c r="I6" i="308"/>
  <c r="C6" i="308" s="1"/>
  <c r="I15" i="308"/>
  <c r="AN15" i="303"/>
  <c r="BI15" i="303"/>
  <c r="C17" i="305"/>
  <c r="I13" i="308"/>
  <c r="C13" i="308" s="1"/>
  <c r="S12" i="303"/>
  <c r="E13" i="303"/>
  <c r="BI13" i="303"/>
  <c r="AG15" i="303"/>
  <c r="I11" i="308"/>
  <c r="C11" i="308" s="1"/>
  <c r="L12" i="303"/>
  <c r="Z15" i="303"/>
  <c r="I9" i="308"/>
  <c r="BW15" i="303"/>
  <c r="AU15" i="303"/>
  <c r="S15" i="303"/>
  <c r="BB15" i="303"/>
  <c r="I7" i="308"/>
  <c r="C7" i="308" s="1"/>
  <c r="I14" i="308"/>
  <c r="C14" i="308" s="1"/>
  <c r="I17" i="307"/>
  <c r="G13" i="304" l="1"/>
  <c r="G5" i="304"/>
  <c r="G6" i="304"/>
  <c r="BX15" i="303"/>
  <c r="J8" i="305"/>
  <c r="K8" i="305" s="1"/>
  <c r="L8" i="305" s="1"/>
  <c r="M8" i="305" s="1"/>
  <c r="BQ12" i="303"/>
  <c r="BQ14" i="303"/>
  <c r="BQ10" i="303"/>
  <c r="BQ5" i="303"/>
  <c r="BQ6" i="303"/>
  <c r="BQ8" i="303"/>
  <c r="BQ9" i="303"/>
  <c r="BQ15" i="303"/>
  <c r="BQ13" i="303"/>
  <c r="BX14" i="303"/>
  <c r="BX12" i="303"/>
  <c r="BX6" i="303"/>
  <c r="BX5" i="303"/>
  <c r="BX10" i="303"/>
  <c r="BX8" i="303"/>
  <c r="BX11" i="303"/>
  <c r="M9" i="302"/>
  <c r="BX7" i="303"/>
  <c r="AH9" i="302"/>
  <c r="AH13" i="302"/>
  <c r="AH6" i="302"/>
  <c r="AH8" i="302"/>
  <c r="AH5" i="302"/>
  <c r="AH11" i="302"/>
  <c r="AH14" i="302"/>
  <c r="AO8" i="303"/>
  <c r="AN17" i="303"/>
  <c r="AO11" i="303" s="1"/>
  <c r="E17" i="303"/>
  <c r="BU9" i="303"/>
  <c r="W9" i="289"/>
  <c r="BC5" i="303"/>
  <c r="BC13" i="303"/>
  <c r="BC8" i="303"/>
  <c r="BC12" i="303"/>
  <c r="F5" i="303"/>
  <c r="AU17" i="302"/>
  <c r="F7" i="303"/>
  <c r="AO9" i="303"/>
  <c r="AH15" i="303"/>
  <c r="F14" i="303"/>
  <c r="AM13" i="303"/>
  <c r="BA12" i="303"/>
  <c r="BH13" i="303"/>
  <c r="D13" i="303"/>
  <c r="R14" i="303"/>
  <c r="AT15" i="303"/>
  <c r="AF13" i="303"/>
  <c r="AM12" i="303"/>
  <c r="D15" i="303"/>
  <c r="BA8" i="303"/>
  <c r="AM8" i="303"/>
  <c r="K8" i="303"/>
  <c r="K17" i="303" s="1"/>
  <c r="AT12" i="303"/>
  <c r="AF11" i="303"/>
  <c r="Y10" i="303"/>
  <c r="AM6" i="303"/>
  <c r="BA11" i="303"/>
  <c r="K11" i="303"/>
  <c r="K7" i="303"/>
  <c r="R12" i="303"/>
  <c r="BH8" i="303"/>
  <c r="BA7" i="303"/>
  <c r="K9" i="303"/>
  <c r="R6" i="303"/>
  <c r="AT10" i="303"/>
  <c r="Y7" i="303"/>
  <c r="R10" i="303"/>
  <c r="BH5" i="303"/>
  <c r="BA6" i="303"/>
  <c r="BV11" i="303"/>
  <c r="AF8" i="303"/>
  <c r="BV15" i="303"/>
  <c r="K12" i="303"/>
  <c r="AM14" i="303"/>
  <c r="D14" i="303"/>
  <c r="Y12" i="303"/>
  <c r="D12" i="303"/>
  <c r="AF15" i="303"/>
  <c r="AT13" i="303"/>
  <c r="D10" i="303"/>
  <c r="R9" i="303"/>
  <c r="AF5" i="303"/>
  <c r="AM9" i="303"/>
  <c r="D5" i="303"/>
  <c r="AT6" i="303"/>
  <c r="AF6" i="303"/>
  <c r="BH11" i="303"/>
  <c r="AF7" i="303"/>
  <c r="BA10" i="303"/>
  <c r="R11" i="303"/>
  <c r="BH12" i="303"/>
  <c r="K15" i="303"/>
  <c r="AT7" i="303"/>
  <c r="AT9" i="303"/>
  <c r="BV6" i="303"/>
  <c r="Y14" i="303"/>
  <c r="BV9" i="303"/>
  <c r="R5" i="303"/>
  <c r="BH6" i="303"/>
  <c r="BO11" i="303"/>
  <c r="BO17" i="303" s="1"/>
  <c r="AF12" i="303"/>
  <c r="BH9" i="303"/>
  <c r="BH10" i="303"/>
  <c r="D8" i="303"/>
  <c r="AT14" i="303"/>
  <c r="K13" i="303"/>
  <c r="BA13" i="303"/>
  <c r="D9" i="303"/>
  <c r="AM7" i="303"/>
  <c r="D7" i="303"/>
  <c r="AT8" i="303"/>
  <c r="BA14" i="303"/>
  <c r="R13" i="303"/>
  <c r="R7" i="303"/>
  <c r="AT11" i="303"/>
  <c r="AM15" i="303"/>
  <c r="BA9" i="303"/>
  <c r="AM5" i="303"/>
  <c r="AM17" i="303" s="1"/>
  <c r="D6" i="303"/>
  <c r="Y6" i="303"/>
  <c r="BH7" i="303"/>
  <c r="AM11" i="303"/>
  <c r="D11" i="303"/>
  <c r="Y8" i="303"/>
  <c r="BA15" i="303"/>
  <c r="R15" i="303"/>
  <c r="AF10" i="303"/>
  <c r="AF9" i="303"/>
  <c r="R8" i="303"/>
  <c r="Y15" i="303"/>
  <c r="S17" i="302"/>
  <c r="BQ7" i="303"/>
  <c r="CB14" i="303"/>
  <c r="X14" i="289"/>
  <c r="CB5" i="303"/>
  <c r="X5" i="289"/>
  <c r="BU15" i="302"/>
  <c r="AM15" i="289"/>
  <c r="BU7" i="303"/>
  <c r="W7" i="289"/>
  <c r="J11" i="305"/>
  <c r="K11" i="305" s="1"/>
  <c r="L11" i="305" s="1"/>
  <c r="M11" i="305" s="1"/>
  <c r="V9" i="301"/>
  <c r="V12" i="301"/>
  <c r="V15" i="301"/>
  <c r="V7" i="301"/>
  <c r="V13" i="301"/>
  <c r="V11" i="301"/>
  <c r="V8" i="301"/>
  <c r="C17" i="308"/>
  <c r="AO10" i="303"/>
  <c r="AF14" i="302"/>
  <c r="BA11" i="302"/>
  <c r="AV10" i="302"/>
  <c r="AM12" i="302"/>
  <c r="BH8" i="302"/>
  <c r="Z17" i="302"/>
  <c r="AA15" i="302" s="1"/>
  <c r="R15" i="302"/>
  <c r="BB17" i="302"/>
  <c r="AE13" i="302"/>
  <c r="AE13" i="289"/>
  <c r="BU7" i="302"/>
  <c r="AM7" i="289"/>
  <c r="AE17" i="306"/>
  <c r="I17" i="293"/>
  <c r="B13" i="290" s="1"/>
  <c r="C5" i="293"/>
  <c r="H17" i="289"/>
  <c r="B9" i="296"/>
  <c r="D9" i="296" s="1"/>
  <c r="B9" i="295"/>
  <c r="D9" i="295" s="1"/>
  <c r="AG17" i="303"/>
  <c r="J15" i="305"/>
  <c r="K15" i="305" s="1"/>
  <c r="L15" i="305" s="1"/>
  <c r="M15" i="305" s="1"/>
  <c r="S7" i="301"/>
  <c r="B10" i="290"/>
  <c r="C5" i="290"/>
  <c r="S12" i="301"/>
  <c r="BC11" i="303"/>
  <c r="AM14" i="302"/>
  <c r="BV13" i="302"/>
  <c r="AM13" i="302"/>
  <c r="D13" i="302"/>
  <c r="D14" i="302"/>
  <c r="BA9" i="302"/>
  <c r="AF9" i="302"/>
  <c r="AF6" i="302"/>
  <c r="Y8" i="302"/>
  <c r="AM6" i="302"/>
  <c r="AT15" i="302"/>
  <c r="R14" i="302"/>
  <c r="R9" i="302"/>
  <c r="AT8" i="302"/>
  <c r="D8" i="302"/>
  <c r="AT6" i="302"/>
  <c r="AT17" i="302" s="1"/>
  <c r="BH5" i="302"/>
  <c r="AF13" i="302"/>
  <c r="R13" i="302"/>
  <c r="D15" i="302"/>
  <c r="K11" i="302"/>
  <c r="AF8" i="302"/>
  <c r="K8" i="302"/>
  <c r="BH6" i="302"/>
  <c r="D6" i="302"/>
  <c r="R5" i="302"/>
  <c r="AT13" i="302"/>
  <c r="BH11" i="302"/>
  <c r="AF5" i="302"/>
  <c r="BH10" i="302"/>
  <c r="R10" i="302"/>
  <c r="AM8" i="302"/>
  <c r="BH7" i="302"/>
  <c r="BV6" i="302"/>
  <c r="BH14" i="302"/>
  <c r="K12" i="302"/>
  <c r="K14" i="302"/>
  <c r="AT11" i="302"/>
  <c r="Y6" i="302"/>
  <c r="R6" i="302"/>
  <c r="BV9" i="302"/>
  <c r="D7" i="302"/>
  <c r="AM5" i="302"/>
  <c r="K9" i="302"/>
  <c r="D5" i="302"/>
  <c r="AM10" i="302"/>
  <c r="BV15" i="302"/>
  <c r="Y15" i="302"/>
  <c r="I17" i="305"/>
  <c r="J5" i="305" s="1"/>
  <c r="BC15" i="303"/>
  <c r="L17" i="303"/>
  <c r="AH7" i="302"/>
  <c r="BU14" i="302"/>
  <c r="AM14" i="289"/>
  <c r="BQ10" i="302"/>
  <c r="BQ8" i="302"/>
  <c r="BQ13" i="302"/>
  <c r="BQ9" i="302"/>
  <c r="BQ12" i="302"/>
  <c r="AM9" i="302"/>
  <c r="K10" i="302"/>
  <c r="AM7" i="302"/>
  <c r="P13" i="301"/>
  <c r="P8" i="301"/>
  <c r="P14" i="301"/>
  <c r="P12" i="301"/>
  <c r="P5" i="301"/>
  <c r="P15" i="301"/>
  <c r="P9" i="301"/>
  <c r="E5" i="304"/>
  <c r="C17" i="299"/>
  <c r="S6" i="301"/>
  <c r="S17" i="301" s="1"/>
  <c r="BC14" i="303"/>
  <c r="AV14" i="302"/>
  <c r="BC7" i="303"/>
  <c r="BX13" i="302"/>
  <c r="AO6" i="303"/>
  <c r="D11" i="302"/>
  <c r="D10" i="302"/>
  <c r="BI17" i="302"/>
  <c r="AT10" i="302"/>
  <c r="BA12" i="302"/>
  <c r="BA6" i="302"/>
  <c r="K15" i="302"/>
  <c r="BW17" i="302"/>
  <c r="AV7" i="302"/>
  <c r="BA8" i="302"/>
  <c r="AA8" i="302"/>
  <c r="J7" i="305"/>
  <c r="K7" i="305" s="1"/>
  <c r="L7" i="305" s="1"/>
  <c r="M7" i="305" s="1"/>
  <c r="S9" i="301"/>
  <c r="P11" i="301"/>
  <c r="AA10" i="302"/>
  <c r="P6" i="301"/>
  <c r="V5" i="291"/>
  <c r="C17" i="291"/>
  <c r="C17" i="293" s="1"/>
  <c r="P7" i="301"/>
  <c r="E17" i="302"/>
  <c r="F15" i="302" s="1"/>
  <c r="S17" i="303"/>
  <c r="T5" i="303" s="1"/>
  <c r="BA10" i="302"/>
  <c r="AT9" i="302"/>
  <c r="R7" i="302"/>
  <c r="BJ11" i="303"/>
  <c r="Y10" i="302"/>
  <c r="J6" i="305"/>
  <c r="K6" i="305" s="1"/>
  <c r="L6" i="305" s="1"/>
  <c r="M6" i="305" s="1"/>
  <c r="S10" i="301"/>
  <c r="BQ11" i="303"/>
  <c r="CB10" i="303"/>
  <c r="X10" i="289"/>
  <c r="Y14" i="302"/>
  <c r="BH13" i="302"/>
  <c r="BO11" i="302"/>
  <c r="BO17" i="302" s="1"/>
  <c r="BX9" i="303"/>
  <c r="Y12" i="302"/>
  <c r="F6" i="302"/>
  <c r="F10" i="302"/>
  <c r="BQ14" i="302"/>
  <c r="AH15" i="302"/>
  <c r="AV9" i="302"/>
  <c r="J9" i="305"/>
  <c r="K9" i="305" s="1"/>
  <c r="L9" i="305" s="1"/>
  <c r="M9" i="305" s="1"/>
  <c r="AF7" i="302"/>
  <c r="L17" i="302"/>
  <c r="M12" i="302" s="1"/>
  <c r="V5" i="301"/>
  <c r="V6" i="301"/>
  <c r="M8" i="302"/>
  <c r="S13" i="301"/>
  <c r="V10" i="301"/>
  <c r="AO14" i="303"/>
  <c r="J12" i="305"/>
  <c r="K12" i="305" s="1"/>
  <c r="L12" i="305" s="1"/>
  <c r="M12" i="305" s="1"/>
  <c r="S15" i="301"/>
  <c r="B23" i="290"/>
  <c r="C13" i="296"/>
  <c r="G7" i="304" s="1"/>
  <c r="C13" i="295"/>
  <c r="I18" i="293"/>
  <c r="BX13" i="303"/>
  <c r="B7" i="296"/>
  <c r="D7" i="296" s="1"/>
  <c r="B7" i="295"/>
  <c r="D7" i="295" s="1"/>
  <c r="G9" i="304" s="1"/>
  <c r="Z17" i="303"/>
  <c r="BU15" i="303"/>
  <c r="W15" i="289"/>
  <c r="AU17" i="303"/>
  <c r="AV7" i="303" s="1"/>
  <c r="AV15" i="302"/>
  <c r="AT7" i="302"/>
  <c r="C17" i="297"/>
  <c r="AO12" i="303"/>
  <c r="BA13" i="302"/>
  <c r="K13" i="302"/>
  <c r="BI17" i="303"/>
  <c r="BJ14" i="303" s="1"/>
  <c r="BJ5" i="303"/>
  <c r="BC9" i="303"/>
  <c r="BQ6" i="302"/>
  <c r="BQ17" i="302" s="1"/>
  <c r="BH15" i="302"/>
  <c r="P10" i="301"/>
  <c r="CB14" i="302"/>
  <c r="AN14" i="289"/>
  <c r="I18" i="308"/>
  <c r="B13" i="296"/>
  <c r="D13" i="296" s="1"/>
  <c r="B13" i="295"/>
  <c r="D13" i="295" s="1"/>
  <c r="AV15" i="303"/>
  <c r="I17" i="308"/>
  <c r="BC10" i="303"/>
  <c r="AO7" i="303"/>
  <c r="BC6" i="303"/>
  <c r="AM11" i="302"/>
  <c r="AF10" i="302"/>
  <c r="BJ9" i="303"/>
  <c r="BG5" i="303"/>
  <c r="U5" i="289"/>
  <c r="AH12" i="302"/>
  <c r="J14" i="305"/>
  <c r="K14" i="305" s="1"/>
  <c r="L14" i="305" s="1"/>
  <c r="M14" i="305" s="1"/>
  <c r="F10" i="303"/>
  <c r="BA15" i="302"/>
  <c r="D9" i="302"/>
  <c r="K6" i="302"/>
  <c r="F13" i="303"/>
  <c r="AO7" i="302"/>
  <c r="AN17" i="302"/>
  <c r="AA8" i="303"/>
  <c r="AZ5" i="302"/>
  <c r="AJ5" i="289"/>
  <c r="I17" i="289"/>
  <c r="G17" i="289"/>
  <c r="F17" i="289"/>
  <c r="J17" i="289" s="1"/>
  <c r="M8" i="301"/>
  <c r="M17" i="301" s="1"/>
  <c r="AH10" i="302"/>
  <c r="AA6" i="303"/>
  <c r="E21" i="296"/>
  <c r="K5" i="305" l="1"/>
  <c r="I7" i="304"/>
  <c r="H9" i="304"/>
  <c r="T11" i="301"/>
  <c r="U11" i="301" s="1"/>
  <c r="AC11" i="301" s="1"/>
  <c r="T8" i="301"/>
  <c r="U8" i="301" s="1"/>
  <c r="AC8" i="301" s="1"/>
  <c r="T14" i="301"/>
  <c r="U14" i="301" s="1"/>
  <c r="AC14" i="301" s="1"/>
  <c r="T5" i="301"/>
  <c r="N15" i="301"/>
  <c r="O15" i="301" s="1"/>
  <c r="AA15" i="301" s="1"/>
  <c r="N5" i="301"/>
  <c r="N13" i="301"/>
  <c r="O13" i="301" s="1"/>
  <c r="AA13" i="301" s="1"/>
  <c r="N6" i="301"/>
  <c r="O6" i="301" s="1"/>
  <c r="AA6" i="301" s="1"/>
  <c r="N12" i="301"/>
  <c r="O12" i="301" s="1"/>
  <c r="AA12" i="301" s="1"/>
  <c r="N14" i="301"/>
  <c r="O14" i="301" s="1"/>
  <c r="AA14" i="301" s="1"/>
  <c r="N10" i="301"/>
  <c r="O10" i="301" s="1"/>
  <c r="AA10" i="301" s="1"/>
  <c r="N11" i="301"/>
  <c r="O11" i="301" s="1"/>
  <c r="AA11" i="301" s="1"/>
  <c r="N9" i="301"/>
  <c r="O9" i="301" s="1"/>
  <c r="AA9" i="301" s="1"/>
  <c r="N7" i="301"/>
  <c r="O7" i="301" s="1"/>
  <c r="AA7" i="301" s="1"/>
  <c r="BR14" i="302"/>
  <c r="BR15" i="302"/>
  <c r="BR9" i="302"/>
  <c r="BR12" i="302"/>
  <c r="BR10" i="302"/>
  <c r="BR13" i="302"/>
  <c r="BR5" i="302"/>
  <c r="BR11" i="302"/>
  <c r="BS11" i="302" s="1"/>
  <c r="BS17" i="302" s="1"/>
  <c r="BT11" i="302" s="1"/>
  <c r="BR6" i="302"/>
  <c r="BR7" i="302"/>
  <c r="BR8" i="302"/>
  <c r="M15" i="303"/>
  <c r="M13" i="303"/>
  <c r="M7" i="303"/>
  <c r="M11" i="303"/>
  <c r="M5" i="303"/>
  <c r="M8" i="303"/>
  <c r="BC13" i="302"/>
  <c r="BC5" i="302"/>
  <c r="BC12" i="302"/>
  <c r="BC15" i="302"/>
  <c r="BC6" i="302"/>
  <c r="BC8" i="302"/>
  <c r="BC11" i="302"/>
  <c r="BX5" i="302"/>
  <c r="BX17" i="302" s="1"/>
  <c r="BX7" i="302"/>
  <c r="BX9" i="302"/>
  <c r="BX12" i="302"/>
  <c r="BX14" i="302"/>
  <c r="BX10" i="302"/>
  <c r="BX8" i="302"/>
  <c r="T5" i="302"/>
  <c r="AT17" i="303"/>
  <c r="BA17" i="303"/>
  <c r="BX17" i="303"/>
  <c r="H6" i="304"/>
  <c r="I6" i="304"/>
  <c r="H13" i="304"/>
  <c r="BJ5" i="302"/>
  <c r="BJ13" i="302"/>
  <c r="BJ8" i="302"/>
  <c r="BJ10" i="302"/>
  <c r="BJ15" i="302"/>
  <c r="BJ9" i="302"/>
  <c r="BJ11" i="302"/>
  <c r="BJ6" i="302"/>
  <c r="Q8" i="301"/>
  <c r="R8" i="301" s="1"/>
  <c r="AB8" i="301" s="1"/>
  <c r="T13" i="302"/>
  <c r="T10" i="303"/>
  <c r="T7" i="303"/>
  <c r="T12" i="303"/>
  <c r="T6" i="303"/>
  <c r="T17" i="303" s="1"/>
  <c r="T11" i="303"/>
  <c r="T9" i="303"/>
  <c r="T15" i="303"/>
  <c r="T8" i="303"/>
  <c r="T14" i="303"/>
  <c r="T13" i="303"/>
  <c r="D17" i="303"/>
  <c r="BH17" i="303"/>
  <c r="BC17" i="303"/>
  <c r="M14" i="303"/>
  <c r="G14" i="304"/>
  <c r="K17" i="302"/>
  <c r="AH6" i="303"/>
  <c r="T13" i="301"/>
  <c r="U13" i="301" s="1"/>
  <c r="AC13" i="301" s="1"/>
  <c r="BX11" i="302"/>
  <c r="BJ14" i="302"/>
  <c r="M6" i="303"/>
  <c r="D17" i="302"/>
  <c r="AF17" i="302"/>
  <c r="AV10" i="303"/>
  <c r="BC7" i="302"/>
  <c r="AV8" i="302"/>
  <c r="AV6" i="302"/>
  <c r="AV5" i="302"/>
  <c r="AV13" i="302"/>
  <c r="AV12" i="302"/>
  <c r="G17" i="304"/>
  <c r="H17" i="304" s="1"/>
  <c r="G15" i="304"/>
  <c r="T9" i="301"/>
  <c r="U9" i="301" s="1"/>
  <c r="AC9" i="301" s="1"/>
  <c r="T8" i="302"/>
  <c r="T11" i="302"/>
  <c r="T15" i="302"/>
  <c r="T10" i="302"/>
  <c r="T9" i="302"/>
  <c r="T12" i="302"/>
  <c r="T7" i="302"/>
  <c r="T14" i="302"/>
  <c r="H5" i="304"/>
  <c r="BC10" i="302"/>
  <c r="T10" i="301"/>
  <c r="U10" i="301" s="1"/>
  <c r="AC10" i="301" s="1"/>
  <c r="AV9" i="303"/>
  <c r="AH12" i="303"/>
  <c r="AH11" i="303"/>
  <c r="AH13" i="303"/>
  <c r="AH14" i="303"/>
  <c r="AH7" i="303"/>
  <c r="AH5" i="303"/>
  <c r="AH9" i="303"/>
  <c r="AH8" i="303"/>
  <c r="AA14" i="302"/>
  <c r="AA9" i="302"/>
  <c r="AA13" i="302"/>
  <c r="AA5" i="302"/>
  <c r="AA6" i="302"/>
  <c r="AA12" i="302"/>
  <c r="AA11" i="302"/>
  <c r="AA7" i="302"/>
  <c r="R17" i="303"/>
  <c r="AF17" i="303"/>
  <c r="G8" i="304"/>
  <c r="T12" i="301"/>
  <c r="U12" i="301" s="1"/>
  <c r="AC12" i="301" s="1"/>
  <c r="BJ13" i="303"/>
  <c r="AV14" i="303"/>
  <c r="D22" i="295"/>
  <c r="E22" i="295"/>
  <c r="AA13" i="303"/>
  <c r="AA14" i="303"/>
  <c r="AA12" i="303"/>
  <c r="AA5" i="303"/>
  <c r="AA11" i="303"/>
  <c r="AA7" i="303"/>
  <c r="AA9" i="303"/>
  <c r="T6" i="302"/>
  <c r="J14" i="301"/>
  <c r="J9" i="301"/>
  <c r="J6" i="301"/>
  <c r="J10" i="301"/>
  <c r="J13" i="301"/>
  <c r="J8" i="301"/>
  <c r="C10" i="290"/>
  <c r="J15" i="301"/>
  <c r="J11" i="301"/>
  <c r="J7" i="301"/>
  <c r="J12" i="301"/>
  <c r="J5" i="301"/>
  <c r="AO14" i="302"/>
  <c r="AO6" i="302"/>
  <c r="AO9" i="302"/>
  <c r="AO12" i="302"/>
  <c r="AO5" i="302"/>
  <c r="AO8" i="302"/>
  <c r="AO13" i="302"/>
  <c r="AO11" i="302"/>
  <c r="Q10" i="301"/>
  <c r="R10" i="301" s="1"/>
  <c r="AB10" i="301" s="1"/>
  <c r="B29" i="290"/>
  <c r="C23" i="290"/>
  <c r="AA10" i="303"/>
  <c r="V17" i="301"/>
  <c r="W14" i="301" s="1"/>
  <c r="X14" i="301" s="1"/>
  <c r="AD14" i="301" s="1"/>
  <c r="F5" i="302"/>
  <c r="F13" i="302"/>
  <c r="F9" i="302"/>
  <c r="F11" i="302"/>
  <c r="F8" i="302"/>
  <c r="F12" i="302"/>
  <c r="F14" i="302"/>
  <c r="F7" i="302"/>
  <c r="Q6" i="301"/>
  <c r="R6" i="301" s="1"/>
  <c r="AB6" i="301" s="1"/>
  <c r="T6" i="301"/>
  <c r="U6" i="301" s="1"/>
  <c r="AC6" i="301" s="1"/>
  <c r="P17" i="301"/>
  <c r="Q5" i="301"/>
  <c r="AM17" i="302"/>
  <c r="B19" i="290"/>
  <c r="C19" i="290" s="1"/>
  <c r="J10" i="305"/>
  <c r="K10" i="305" s="1"/>
  <c r="L10" i="305" s="1"/>
  <c r="M10" i="305" s="1"/>
  <c r="J13" i="305"/>
  <c r="K13" i="305" s="1"/>
  <c r="L13" i="305" s="1"/>
  <c r="M13" i="305" s="1"/>
  <c r="F8" i="303"/>
  <c r="F15" i="303"/>
  <c r="F12" i="303"/>
  <c r="F6" i="303"/>
  <c r="F17" i="303" s="1"/>
  <c r="F11" i="303"/>
  <c r="BQ17" i="303"/>
  <c r="G10" i="304"/>
  <c r="Q15" i="301"/>
  <c r="R15" i="301" s="1"/>
  <c r="AB15" i="301" s="1"/>
  <c r="M9" i="303"/>
  <c r="T5" i="307"/>
  <c r="T17" i="307" s="1"/>
  <c r="V17" i="291"/>
  <c r="Y17" i="302"/>
  <c r="BJ7" i="302"/>
  <c r="BX6" i="302"/>
  <c r="AA15" i="303"/>
  <c r="M10" i="303"/>
  <c r="Q7" i="301"/>
  <c r="R7" i="301" s="1"/>
  <c r="AB7" i="301" s="1"/>
  <c r="BJ7" i="303"/>
  <c r="C18" i="299"/>
  <c r="D21" i="296"/>
  <c r="Q12" i="301"/>
  <c r="R12" i="301" s="1"/>
  <c r="AB12" i="301" s="1"/>
  <c r="BV17" i="302"/>
  <c r="R17" i="302"/>
  <c r="T7" i="301"/>
  <c r="U7" i="301" s="1"/>
  <c r="AC7" i="301" s="1"/>
  <c r="BC9" i="302"/>
  <c r="AH10" i="303"/>
  <c r="Y17" i="303"/>
  <c r="BX15" i="302"/>
  <c r="AO13" i="303"/>
  <c r="AO5" i="303"/>
  <c r="AO17" i="303" s="1"/>
  <c r="AH17" i="302"/>
  <c r="G11" i="304"/>
  <c r="AV13" i="303"/>
  <c r="AV6" i="303"/>
  <c r="AV8" i="303"/>
  <c r="AV12" i="303"/>
  <c r="AV5" i="303"/>
  <c r="BC14" i="302"/>
  <c r="BJ12" i="303"/>
  <c r="BJ8" i="303"/>
  <c r="BJ6" i="303"/>
  <c r="BJ17" i="303" s="1"/>
  <c r="Q13" i="301"/>
  <c r="R13" i="301" s="1"/>
  <c r="AB13" i="301" s="1"/>
  <c r="AV11" i="303"/>
  <c r="N8" i="301"/>
  <c r="O8" i="301" s="1"/>
  <c r="AA8" i="301" s="1"/>
  <c r="BJ10" i="303"/>
  <c r="T15" i="301"/>
  <c r="U15" i="301" s="1"/>
  <c r="AC15" i="301" s="1"/>
  <c r="M13" i="302"/>
  <c r="M7" i="302"/>
  <c r="M5" i="302"/>
  <c r="M6" i="302"/>
  <c r="M14" i="302"/>
  <c r="M10" i="302"/>
  <c r="M15" i="302"/>
  <c r="M11" i="302"/>
  <c r="BJ12" i="302"/>
  <c r="I13" i="304"/>
  <c r="M12" i="303"/>
  <c r="Q11" i="301"/>
  <c r="R11" i="301" s="1"/>
  <c r="AB11" i="301" s="1"/>
  <c r="BA17" i="302"/>
  <c r="E17" i="304"/>
  <c r="F17" i="304" s="1"/>
  <c r="F5" i="304"/>
  <c r="Q9" i="301"/>
  <c r="R9" i="301" s="1"/>
  <c r="AB9" i="301" s="1"/>
  <c r="Q14" i="301"/>
  <c r="R14" i="301" s="1"/>
  <c r="AB14" i="301" s="1"/>
  <c r="AO15" i="302"/>
  <c r="BH17" i="302"/>
  <c r="BJ15" i="303"/>
  <c r="C13" i="290"/>
  <c r="C17" i="290" s="1"/>
  <c r="B17" i="290"/>
  <c r="AO15" i="303"/>
  <c r="BV17" i="303"/>
  <c r="AO10" i="302"/>
  <c r="AV11" i="302"/>
  <c r="G12" i="304"/>
  <c r="F9" i="303"/>
  <c r="BK15" i="303" l="1"/>
  <c r="BL15" i="303" s="1"/>
  <c r="BK13" i="303"/>
  <c r="BL13" i="303" s="1"/>
  <c r="BK14" i="303"/>
  <c r="BL14" i="303" s="1"/>
  <c r="BK10" i="303"/>
  <c r="BL10" i="303" s="1"/>
  <c r="BK11" i="303"/>
  <c r="BL11" i="303" s="1"/>
  <c r="BK7" i="303"/>
  <c r="BL7" i="303" s="1"/>
  <c r="BK12" i="303"/>
  <c r="BL12" i="303" s="1"/>
  <c r="BK8" i="303"/>
  <c r="BL8" i="303" s="1"/>
  <c r="BK6" i="303"/>
  <c r="BL6" i="303" s="1"/>
  <c r="BK9" i="303"/>
  <c r="BL9" i="303" s="1"/>
  <c r="BK5" i="303"/>
  <c r="BL5" i="303" s="1"/>
  <c r="U11" i="303"/>
  <c r="V11" i="303" s="1"/>
  <c r="U13" i="303"/>
  <c r="V13" i="303" s="1"/>
  <c r="U12" i="303"/>
  <c r="V12" i="303" s="1"/>
  <c r="U14" i="303"/>
  <c r="V14" i="303" s="1"/>
  <c r="U9" i="303"/>
  <c r="V9" i="303" s="1"/>
  <c r="U5" i="303"/>
  <c r="V5" i="303" s="1"/>
  <c r="U7" i="303"/>
  <c r="V7" i="303" s="1"/>
  <c r="U8" i="303"/>
  <c r="V8" i="303" s="1"/>
  <c r="U15" i="303"/>
  <c r="V15" i="303" s="1"/>
  <c r="U6" i="303"/>
  <c r="V6" i="303" s="1"/>
  <c r="U10" i="303"/>
  <c r="V10" i="303" s="1"/>
  <c r="G11" i="303"/>
  <c r="H11" i="303" s="1"/>
  <c r="G8" i="303"/>
  <c r="H8" i="303" s="1"/>
  <c r="G14" i="303"/>
  <c r="H14" i="303" s="1"/>
  <c r="G6" i="303"/>
  <c r="H6" i="303" s="1"/>
  <c r="G9" i="303"/>
  <c r="H9" i="303" s="1"/>
  <c r="G7" i="303"/>
  <c r="H7" i="303" s="1"/>
  <c r="G5" i="303"/>
  <c r="H5" i="303" s="1"/>
  <c r="G12" i="303"/>
  <c r="H12" i="303" s="1"/>
  <c r="G10" i="303"/>
  <c r="H10" i="303" s="1"/>
  <c r="G15" i="303"/>
  <c r="H15" i="303" s="1"/>
  <c r="G13" i="303"/>
  <c r="H13" i="303" s="1"/>
  <c r="AP11" i="302"/>
  <c r="AQ11" i="302" s="1"/>
  <c r="AP14" i="302"/>
  <c r="AQ14" i="302" s="1"/>
  <c r="AP15" i="302"/>
  <c r="AQ15" i="302" s="1"/>
  <c r="AP12" i="302"/>
  <c r="AQ12" i="302" s="1"/>
  <c r="AP8" i="302"/>
  <c r="AQ8" i="302" s="1"/>
  <c r="AP9" i="302"/>
  <c r="AQ9" i="302" s="1"/>
  <c r="AP7" i="302"/>
  <c r="AQ7" i="302" s="1"/>
  <c r="AI12" i="302"/>
  <c r="AJ12" i="302" s="1"/>
  <c r="AI8" i="302"/>
  <c r="AJ8" i="302" s="1"/>
  <c r="AP5" i="302"/>
  <c r="AQ5" i="302" s="1"/>
  <c r="AP10" i="302"/>
  <c r="AQ10" i="302" s="1"/>
  <c r="AP13" i="302"/>
  <c r="AQ13" i="302" s="1"/>
  <c r="AI7" i="302"/>
  <c r="AJ7" i="302" s="1"/>
  <c r="AI15" i="302"/>
  <c r="AJ15" i="302" s="1"/>
  <c r="AP6" i="302"/>
  <c r="AQ6" i="302" s="1"/>
  <c r="AI11" i="302"/>
  <c r="AJ11" i="302" s="1"/>
  <c r="AI6" i="302"/>
  <c r="AJ6" i="302" s="1"/>
  <c r="AI10" i="302"/>
  <c r="AJ10" i="302" s="1"/>
  <c r="AI5" i="302"/>
  <c r="AJ5" i="302" s="1"/>
  <c r="AI9" i="302"/>
  <c r="AJ9" i="302" s="1"/>
  <c r="AI14" i="302"/>
  <c r="AJ14" i="302" s="1"/>
  <c r="AI13" i="302"/>
  <c r="AJ13" i="302" s="1"/>
  <c r="F10" i="309"/>
  <c r="G10" i="289"/>
  <c r="M17" i="303"/>
  <c r="F14" i="309"/>
  <c r="G14" i="289"/>
  <c r="G14" i="309"/>
  <c r="H14" i="289"/>
  <c r="G10" i="309"/>
  <c r="H10" i="289"/>
  <c r="W12" i="301"/>
  <c r="X12" i="301" s="1"/>
  <c r="AD12" i="301" s="1"/>
  <c r="G13" i="309"/>
  <c r="H13" i="289"/>
  <c r="BD14" i="303"/>
  <c r="BE14" i="303" s="1"/>
  <c r="BD10" i="303"/>
  <c r="BE10" i="303" s="1"/>
  <c r="BD12" i="303"/>
  <c r="BE12" i="303" s="1"/>
  <c r="BD15" i="303"/>
  <c r="BE15" i="303" s="1"/>
  <c r="BD11" i="303"/>
  <c r="BE11" i="303" s="1"/>
  <c r="BD7" i="303"/>
  <c r="BE7" i="303" s="1"/>
  <c r="BD8" i="303"/>
  <c r="BE8" i="303" s="1"/>
  <c r="BD6" i="303"/>
  <c r="BE6" i="303" s="1"/>
  <c r="BD13" i="303"/>
  <c r="BE13" i="303" s="1"/>
  <c r="BD9" i="303"/>
  <c r="BE9" i="303" s="1"/>
  <c r="BD5" i="303"/>
  <c r="E14" i="309"/>
  <c r="F14" i="289"/>
  <c r="G8" i="309"/>
  <c r="H8" i="289"/>
  <c r="F12" i="309"/>
  <c r="G12" i="289"/>
  <c r="F17" i="302"/>
  <c r="H14" i="304"/>
  <c r="I14" i="304"/>
  <c r="D18" i="299"/>
  <c r="D19" i="299" s="1"/>
  <c r="H18" i="299"/>
  <c r="F18" i="299"/>
  <c r="G18" i="299"/>
  <c r="E18" i="299"/>
  <c r="I18" i="299"/>
  <c r="I5" i="304"/>
  <c r="C29" i="290"/>
  <c r="AA17" i="303"/>
  <c r="G9" i="309"/>
  <c r="H9" i="289"/>
  <c r="W7" i="301"/>
  <c r="X7" i="301" s="1"/>
  <c r="AD7" i="301" s="1"/>
  <c r="BC17" i="302"/>
  <c r="E12" i="309"/>
  <c r="F12" i="289"/>
  <c r="G11" i="309"/>
  <c r="H11" i="289"/>
  <c r="H7" i="304"/>
  <c r="H8" i="304"/>
  <c r="I8" i="304"/>
  <c r="W10" i="301"/>
  <c r="X10" i="301" s="1"/>
  <c r="AD10" i="301" s="1"/>
  <c r="E11" i="309"/>
  <c r="F11" i="289"/>
  <c r="W5" i="301"/>
  <c r="E8" i="309"/>
  <c r="F8" i="289"/>
  <c r="Q17" i="301"/>
  <c r="R5" i="301"/>
  <c r="AB5" i="301" s="1"/>
  <c r="G15" i="309"/>
  <c r="H15" i="289"/>
  <c r="F13" i="309"/>
  <c r="G13" i="289"/>
  <c r="G12" i="309"/>
  <c r="H12" i="289"/>
  <c r="W6" i="301"/>
  <c r="X6" i="301" s="1"/>
  <c r="AD6" i="301" s="1"/>
  <c r="W8" i="301"/>
  <c r="X8" i="301" s="1"/>
  <c r="AD8" i="301" s="1"/>
  <c r="BY15" i="303"/>
  <c r="BZ15" i="303" s="1"/>
  <c r="BY12" i="303"/>
  <c r="BY13" i="303"/>
  <c r="BZ13" i="303" s="1"/>
  <c r="BY14" i="303"/>
  <c r="BY10" i="303"/>
  <c r="BY9" i="303"/>
  <c r="BZ9" i="303" s="1"/>
  <c r="BY8" i="303"/>
  <c r="BY5" i="303"/>
  <c r="BY11" i="303"/>
  <c r="BZ11" i="303" s="1"/>
  <c r="BY7" i="303"/>
  <c r="BY6" i="303"/>
  <c r="BZ6" i="303" s="1"/>
  <c r="E6" i="309"/>
  <c r="F6" i="289"/>
  <c r="I9" i="304"/>
  <c r="F8" i="309"/>
  <c r="G8" i="289"/>
  <c r="E10" i="309"/>
  <c r="F10" i="289"/>
  <c r="F9" i="309"/>
  <c r="G9" i="289"/>
  <c r="AV17" i="303"/>
  <c r="G7" i="309"/>
  <c r="H7" i="289"/>
  <c r="G6" i="309"/>
  <c r="H6" i="289"/>
  <c r="W9" i="301"/>
  <c r="X9" i="301" s="1"/>
  <c r="AD9" i="301" s="1"/>
  <c r="AA17" i="302"/>
  <c r="H15" i="304"/>
  <c r="I15" i="304"/>
  <c r="BU11" i="302"/>
  <c r="BU17" i="302" s="1"/>
  <c r="AM17" i="289" s="1"/>
  <c r="AM11" i="289"/>
  <c r="E13" i="309"/>
  <c r="F13" i="289"/>
  <c r="L5" i="305"/>
  <c r="K17" i="305"/>
  <c r="U5" i="301"/>
  <c r="AC5" i="301" s="1"/>
  <c r="T17" i="301"/>
  <c r="F11" i="309"/>
  <c r="G11" i="289"/>
  <c r="F15" i="309"/>
  <c r="G15" i="289"/>
  <c r="M17" i="302"/>
  <c r="F7" i="309"/>
  <c r="G7" i="289"/>
  <c r="H10" i="304"/>
  <c r="I10" i="304"/>
  <c r="F6" i="309"/>
  <c r="G6" i="289"/>
  <c r="K5" i="301"/>
  <c r="J17" i="301"/>
  <c r="K6" i="301" s="1"/>
  <c r="L6" i="301" s="1"/>
  <c r="Z6" i="301" s="1"/>
  <c r="W15" i="301"/>
  <c r="X15" i="301" s="1"/>
  <c r="AD15" i="301" s="1"/>
  <c r="AH17" i="303"/>
  <c r="AV17" i="302"/>
  <c r="W13" i="301"/>
  <c r="X13" i="301" s="1"/>
  <c r="AD13" i="301" s="1"/>
  <c r="E7" i="309"/>
  <c r="F7" i="289"/>
  <c r="O5" i="301"/>
  <c r="AA5" i="301" s="1"/>
  <c r="N17" i="301"/>
  <c r="J17" i="305"/>
  <c r="H12" i="304"/>
  <c r="I12" i="304"/>
  <c r="H14" i="309"/>
  <c r="I14" i="289"/>
  <c r="K15" i="301"/>
  <c r="L15" i="301" s="1"/>
  <c r="Z15" i="301" s="1"/>
  <c r="BJ17" i="302"/>
  <c r="BY14" i="302"/>
  <c r="BY10" i="302"/>
  <c r="BY11" i="302"/>
  <c r="BZ11" i="302" s="1"/>
  <c r="BY12" i="302"/>
  <c r="BY8" i="302"/>
  <c r="BY5" i="302"/>
  <c r="BY6" i="302"/>
  <c r="BZ6" i="302" s="1"/>
  <c r="BZ17" i="302" s="1"/>
  <c r="BY15" i="302"/>
  <c r="BZ15" i="302" s="1"/>
  <c r="BY13" i="302"/>
  <c r="BZ13" i="302" s="1"/>
  <c r="BY9" i="302"/>
  <c r="BZ9" i="302" s="1"/>
  <c r="BY7" i="302"/>
  <c r="K9" i="301"/>
  <c r="L9" i="301" s="1"/>
  <c r="Z9" i="301" s="1"/>
  <c r="H11" i="304"/>
  <c r="I11" i="304"/>
  <c r="BR15" i="303"/>
  <c r="BR13" i="303"/>
  <c r="BR9" i="303"/>
  <c r="BR14" i="303"/>
  <c r="BR11" i="303"/>
  <c r="BS11" i="303" s="1"/>
  <c r="BS17" i="303" s="1"/>
  <c r="BT11" i="303" s="1"/>
  <c r="BR6" i="303"/>
  <c r="BR12" i="303"/>
  <c r="BR7" i="303"/>
  <c r="BR5" i="303"/>
  <c r="BR10" i="303"/>
  <c r="BR8" i="303"/>
  <c r="AO17" i="302"/>
  <c r="W11" i="301"/>
  <c r="X11" i="301" s="1"/>
  <c r="AD11" i="301" s="1"/>
  <c r="T17" i="302"/>
  <c r="E9" i="309"/>
  <c r="F9" i="289"/>
  <c r="E15" i="309"/>
  <c r="F15" i="289"/>
  <c r="D6" i="309" l="1"/>
  <c r="E6" i="289"/>
  <c r="H8" i="309"/>
  <c r="I8" i="289"/>
  <c r="I17" i="304"/>
  <c r="H6" i="309"/>
  <c r="I6" i="289"/>
  <c r="K13" i="301"/>
  <c r="L13" i="301" s="1"/>
  <c r="Z13" i="301" s="1"/>
  <c r="K10" i="301"/>
  <c r="L10" i="301" s="1"/>
  <c r="Z10" i="301" s="1"/>
  <c r="K14" i="301"/>
  <c r="L14" i="301" s="1"/>
  <c r="Z14" i="301" s="1"/>
  <c r="H11" i="309"/>
  <c r="I11" i="289"/>
  <c r="D9" i="309"/>
  <c r="E9" i="289"/>
  <c r="AW12" i="302"/>
  <c r="AX12" i="302" s="1"/>
  <c r="AW14" i="302"/>
  <c r="AX14" i="302" s="1"/>
  <c r="AW13" i="302"/>
  <c r="AX13" i="302" s="1"/>
  <c r="AW10" i="302"/>
  <c r="AX10" i="302" s="1"/>
  <c r="AW15" i="302"/>
  <c r="AX15" i="302" s="1"/>
  <c r="AW7" i="302"/>
  <c r="AX7" i="302" s="1"/>
  <c r="AW9" i="302"/>
  <c r="AX9" i="302" s="1"/>
  <c r="AW11" i="302"/>
  <c r="AX11" i="302" s="1"/>
  <c r="AW5" i="302"/>
  <c r="AW6" i="302"/>
  <c r="AX6" i="302" s="1"/>
  <c r="AX17" i="302" s="1"/>
  <c r="AW8" i="302"/>
  <c r="AX8" i="302" s="1"/>
  <c r="F5" i="309"/>
  <c r="G5" i="289"/>
  <c r="H10" i="309"/>
  <c r="I10" i="289"/>
  <c r="BD15" i="302"/>
  <c r="BE15" i="302" s="1"/>
  <c r="BD11" i="302"/>
  <c r="BE11" i="302" s="1"/>
  <c r="BD10" i="302"/>
  <c r="BE10" i="302" s="1"/>
  <c r="BD13" i="302"/>
  <c r="BE13" i="302" s="1"/>
  <c r="BD6" i="302"/>
  <c r="BE6" i="302" s="1"/>
  <c r="BD14" i="302"/>
  <c r="BE14" i="302" s="1"/>
  <c r="BD8" i="302"/>
  <c r="BE8" i="302" s="1"/>
  <c r="BD7" i="302"/>
  <c r="BE7" i="302" s="1"/>
  <c r="BD12" i="302"/>
  <c r="BE12" i="302" s="1"/>
  <c r="BD9" i="302"/>
  <c r="BE9" i="302" s="1"/>
  <c r="BD5" i="302"/>
  <c r="G6" i="302"/>
  <c r="H6" i="302" s="1"/>
  <c r="G10" i="302"/>
  <c r="H10" i="302" s="1"/>
  <c r="G8" i="302"/>
  <c r="H8" i="302" s="1"/>
  <c r="G11" i="302"/>
  <c r="H11" i="302" s="1"/>
  <c r="G13" i="302"/>
  <c r="H13" i="302" s="1"/>
  <c r="G5" i="302"/>
  <c r="H5" i="302" s="1"/>
  <c r="G15" i="302"/>
  <c r="H15" i="302" s="1"/>
  <c r="G12" i="302"/>
  <c r="H12" i="302" s="1"/>
  <c r="G7" i="302"/>
  <c r="H7" i="302" s="1"/>
  <c r="G9" i="302"/>
  <c r="H9" i="302" s="1"/>
  <c r="G14" i="302"/>
  <c r="H14" i="302" s="1"/>
  <c r="K12" i="301"/>
  <c r="L12" i="301" s="1"/>
  <c r="Z12" i="301" s="1"/>
  <c r="AP11" i="303"/>
  <c r="AQ11" i="303" s="1"/>
  <c r="AP15" i="303"/>
  <c r="AQ15" i="303" s="1"/>
  <c r="AP12" i="303"/>
  <c r="AQ12" i="303" s="1"/>
  <c r="AP13" i="303"/>
  <c r="AQ13" i="303" s="1"/>
  <c r="AP8" i="303"/>
  <c r="AQ8" i="303" s="1"/>
  <c r="AP9" i="303"/>
  <c r="AQ9" i="303" s="1"/>
  <c r="AP5" i="303"/>
  <c r="AQ5" i="303" s="1"/>
  <c r="AP6" i="303"/>
  <c r="AQ6" i="303" s="1"/>
  <c r="AP14" i="303"/>
  <c r="AQ14" i="303" s="1"/>
  <c r="AP7" i="303"/>
  <c r="AQ7" i="303" s="1"/>
  <c r="AP10" i="303"/>
  <c r="AQ10" i="303" s="1"/>
  <c r="AI5" i="303"/>
  <c r="AJ5" i="303" s="1"/>
  <c r="AJ17" i="303" s="1"/>
  <c r="AI9" i="303"/>
  <c r="AJ9" i="303" s="1"/>
  <c r="AI8" i="303"/>
  <c r="AJ8" i="303" s="1"/>
  <c r="AI14" i="303"/>
  <c r="AJ14" i="303" s="1"/>
  <c r="AI12" i="303"/>
  <c r="AJ12" i="303" s="1"/>
  <c r="AI15" i="303"/>
  <c r="AJ15" i="303" s="1"/>
  <c r="AI10" i="303"/>
  <c r="AJ10" i="303" s="1"/>
  <c r="AI6" i="303"/>
  <c r="AJ6" i="303" s="1"/>
  <c r="AI7" i="303"/>
  <c r="AJ7" i="303" s="1"/>
  <c r="AI13" i="303"/>
  <c r="AJ13" i="303" s="1"/>
  <c r="AI11" i="303"/>
  <c r="AJ11" i="303" s="1"/>
  <c r="AW15" i="303"/>
  <c r="AX15" i="303" s="1"/>
  <c r="AW14" i="303"/>
  <c r="AX14" i="303" s="1"/>
  <c r="AW11" i="303"/>
  <c r="AX11" i="303" s="1"/>
  <c r="AW12" i="303"/>
  <c r="AX12" i="303" s="1"/>
  <c r="AW10" i="303"/>
  <c r="AX10" i="303" s="1"/>
  <c r="AW13" i="303"/>
  <c r="AX13" i="303" s="1"/>
  <c r="AW5" i="303"/>
  <c r="AW9" i="303"/>
  <c r="AX9" i="303" s="1"/>
  <c r="AW7" i="303"/>
  <c r="AX7" i="303" s="1"/>
  <c r="AW8" i="303"/>
  <c r="AX8" i="303" s="1"/>
  <c r="AW6" i="303"/>
  <c r="AX6" i="303" s="1"/>
  <c r="H7" i="309"/>
  <c r="I7" i="289"/>
  <c r="H17" i="303"/>
  <c r="U9" i="302"/>
  <c r="V9" i="302" s="1"/>
  <c r="U13" i="302"/>
  <c r="V13" i="302" s="1"/>
  <c r="U5" i="302"/>
  <c r="V5" i="302" s="1"/>
  <c r="U15" i="302"/>
  <c r="V15" i="302" s="1"/>
  <c r="U6" i="302"/>
  <c r="V6" i="302" s="1"/>
  <c r="U10" i="302"/>
  <c r="V10" i="302" s="1"/>
  <c r="U11" i="302"/>
  <c r="V11" i="302" s="1"/>
  <c r="U8" i="302"/>
  <c r="V8" i="302" s="1"/>
  <c r="U12" i="302"/>
  <c r="V12" i="302" s="1"/>
  <c r="U14" i="302"/>
  <c r="V14" i="302" s="1"/>
  <c r="U7" i="302"/>
  <c r="V7" i="302" s="1"/>
  <c r="H13" i="309"/>
  <c r="I13" i="289"/>
  <c r="BU11" i="303"/>
  <c r="BU17" i="303" s="1"/>
  <c r="W17" i="289" s="1"/>
  <c r="W11" i="289"/>
  <c r="H15" i="309"/>
  <c r="I15" i="289"/>
  <c r="G5" i="309"/>
  <c r="H5" i="289"/>
  <c r="K7" i="301"/>
  <c r="L7" i="301" s="1"/>
  <c r="Z7" i="301" s="1"/>
  <c r="K8" i="301"/>
  <c r="L8" i="301" s="1"/>
  <c r="Z8" i="301" s="1"/>
  <c r="BE17" i="303"/>
  <c r="AJ17" i="302"/>
  <c r="K11" i="301"/>
  <c r="L11" i="301" s="1"/>
  <c r="Z11" i="301" s="1"/>
  <c r="AB7" i="302"/>
  <c r="AC7" i="302" s="1"/>
  <c r="AB10" i="302"/>
  <c r="AC10" i="302" s="1"/>
  <c r="AB13" i="302"/>
  <c r="AB6" i="302"/>
  <c r="AC6" i="302" s="1"/>
  <c r="AB8" i="302"/>
  <c r="AC8" i="302" s="1"/>
  <c r="AB14" i="302"/>
  <c r="AC14" i="302" s="1"/>
  <c r="AB11" i="302"/>
  <c r="AB12" i="302"/>
  <c r="AC12" i="302" s="1"/>
  <c r="AB15" i="302"/>
  <c r="AC15" i="302" s="1"/>
  <c r="AB9" i="302"/>
  <c r="AB5" i="302"/>
  <c r="BZ17" i="303"/>
  <c r="AQ17" i="302"/>
  <c r="BL17" i="303"/>
  <c r="BK15" i="302"/>
  <c r="BL15" i="302" s="1"/>
  <c r="BK13" i="302"/>
  <c r="BL13" i="302" s="1"/>
  <c r="BK11" i="302"/>
  <c r="BL11" i="302" s="1"/>
  <c r="BK12" i="302"/>
  <c r="BL12" i="302" s="1"/>
  <c r="BK14" i="302"/>
  <c r="BL14" i="302" s="1"/>
  <c r="BK9" i="302"/>
  <c r="BL9" i="302" s="1"/>
  <c r="BK6" i="302"/>
  <c r="BL6" i="302" s="1"/>
  <c r="BK7" i="302"/>
  <c r="BL7" i="302" s="1"/>
  <c r="BK10" i="302"/>
  <c r="BL10" i="302" s="1"/>
  <c r="BK8" i="302"/>
  <c r="BL8" i="302" s="1"/>
  <c r="BK5" i="302"/>
  <c r="BL5" i="302" s="1"/>
  <c r="E5" i="309"/>
  <c r="F5" i="289"/>
  <c r="N5" i="302"/>
  <c r="N8" i="302"/>
  <c r="O8" i="302" s="1"/>
  <c r="N15" i="302"/>
  <c r="O15" i="302" s="1"/>
  <c r="N6" i="302"/>
  <c r="O6" i="302" s="1"/>
  <c r="N7" i="302"/>
  <c r="O7" i="302" s="1"/>
  <c r="N10" i="302"/>
  <c r="O10" i="302" s="1"/>
  <c r="N9" i="302"/>
  <c r="O9" i="302" s="1"/>
  <c r="N12" i="302"/>
  <c r="O12" i="302" s="1"/>
  <c r="N14" i="302"/>
  <c r="O14" i="302" s="1"/>
  <c r="N11" i="302"/>
  <c r="O11" i="302" s="1"/>
  <c r="N13" i="302"/>
  <c r="O13" i="302" s="1"/>
  <c r="L17" i="305"/>
  <c r="M5" i="305"/>
  <c r="M17" i="305" s="1"/>
  <c r="H9" i="309"/>
  <c r="I9" i="289"/>
  <c r="AB10" i="303"/>
  <c r="AC10" i="303" s="1"/>
  <c r="AB15" i="303"/>
  <c r="AC15" i="303" s="1"/>
  <c r="AB8" i="303"/>
  <c r="AC8" i="303" s="1"/>
  <c r="AB6" i="303"/>
  <c r="AC6" i="303" s="1"/>
  <c r="AB14" i="303"/>
  <c r="AC14" i="303" s="1"/>
  <c r="AB12" i="303"/>
  <c r="AC12" i="303" s="1"/>
  <c r="AB9" i="303"/>
  <c r="AB5" i="303"/>
  <c r="AB7" i="303"/>
  <c r="AC7" i="303" s="1"/>
  <c r="AB11" i="303"/>
  <c r="AB13" i="303"/>
  <c r="H12" i="309"/>
  <c r="I12" i="289"/>
  <c r="N9" i="303"/>
  <c r="O9" i="303" s="1"/>
  <c r="N15" i="303"/>
  <c r="O15" i="303" s="1"/>
  <c r="N12" i="303"/>
  <c r="O12" i="303" s="1"/>
  <c r="N6" i="303"/>
  <c r="O6" i="303" s="1"/>
  <c r="N14" i="303"/>
  <c r="O14" i="303" s="1"/>
  <c r="N5" i="303"/>
  <c r="N10" i="303"/>
  <c r="O10" i="303" s="1"/>
  <c r="N7" i="303"/>
  <c r="O7" i="303" s="1"/>
  <c r="N11" i="303"/>
  <c r="O11" i="303" s="1"/>
  <c r="N13" i="303"/>
  <c r="O13" i="303" s="1"/>
  <c r="N8" i="303"/>
  <c r="O8" i="303" s="1"/>
  <c r="CA9" i="302"/>
  <c r="CA13" i="302"/>
  <c r="CA15" i="302"/>
  <c r="CA11" i="302"/>
  <c r="CA6" i="302"/>
  <c r="D15" i="309"/>
  <c r="C15" i="309" s="1"/>
  <c r="J15" i="309" s="1"/>
  <c r="E15" i="289"/>
  <c r="J15" i="289" s="1"/>
  <c r="L5" i="301"/>
  <c r="Z5" i="301" s="1"/>
  <c r="W17" i="301"/>
  <c r="X5" i="301"/>
  <c r="AD5" i="301" s="1"/>
  <c r="V17" i="303"/>
  <c r="D5" i="309" l="1"/>
  <c r="E5" i="289"/>
  <c r="I11" i="303"/>
  <c r="I10" i="303"/>
  <c r="I7" i="303"/>
  <c r="I14" i="303"/>
  <c r="I13" i="303"/>
  <c r="I15" i="303"/>
  <c r="I12" i="303"/>
  <c r="I6" i="303"/>
  <c r="I8" i="303"/>
  <c r="I5" i="303"/>
  <c r="I9" i="303"/>
  <c r="AY6" i="302"/>
  <c r="AY13" i="302"/>
  <c r="AY12" i="302"/>
  <c r="AY9" i="302"/>
  <c r="AY15" i="302"/>
  <c r="AY8" i="302"/>
  <c r="AY7" i="302"/>
  <c r="AY14" i="302"/>
  <c r="AY10" i="302"/>
  <c r="AY11" i="302"/>
  <c r="D13" i="309"/>
  <c r="C13" i="309" s="1"/>
  <c r="J13" i="309" s="1"/>
  <c r="E13" i="289"/>
  <c r="J13" i="289" s="1"/>
  <c r="CB6" i="302"/>
  <c r="AN6" i="289"/>
  <c r="O17" i="302"/>
  <c r="AK13" i="302"/>
  <c r="AK9" i="302"/>
  <c r="AK6" i="302"/>
  <c r="AK5" i="302"/>
  <c r="AK14" i="302"/>
  <c r="AK15" i="302"/>
  <c r="AK11" i="302"/>
  <c r="AK12" i="302"/>
  <c r="AK8" i="302"/>
  <c r="AK7" i="302"/>
  <c r="AK10" i="302"/>
  <c r="W6" i="303"/>
  <c r="W8" i="303"/>
  <c r="W10" i="303"/>
  <c r="W11" i="303"/>
  <c r="W5" i="303"/>
  <c r="W12" i="303"/>
  <c r="W7" i="303"/>
  <c r="W14" i="303"/>
  <c r="W13" i="303"/>
  <c r="W15" i="303"/>
  <c r="W9" i="303"/>
  <c r="BF11" i="303"/>
  <c r="BF6" i="303"/>
  <c r="BF9" i="303"/>
  <c r="BF13" i="303"/>
  <c r="BF12" i="303"/>
  <c r="BF7" i="303"/>
  <c r="BF10" i="303"/>
  <c r="BF8" i="303"/>
  <c r="BF15" i="303"/>
  <c r="BF14" i="303"/>
  <c r="H5" i="309"/>
  <c r="I5" i="289"/>
  <c r="CB15" i="302"/>
  <c r="AN15" i="289"/>
  <c r="AR8" i="302"/>
  <c r="AR6" i="302"/>
  <c r="AR13" i="302"/>
  <c r="AR14" i="302"/>
  <c r="AR9" i="302"/>
  <c r="AR15" i="302"/>
  <c r="AR11" i="302"/>
  <c r="AR5" i="302"/>
  <c r="AR7" i="302"/>
  <c r="AR12" i="302"/>
  <c r="AR10" i="302"/>
  <c r="D8" i="309"/>
  <c r="C8" i="309" s="1"/>
  <c r="J8" i="309" s="1"/>
  <c r="E8" i="289"/>
  <c r="J8" i="289" s="1"/>
  <c r="AX17" i="303"/>
  <c r="C9" i="309"/>
  <c r="J9" i="309" s="1"/>
  <c r="J10" i="304"/>
  <c r="J6" i="304"/>
  <c r="J11" i="304"/>
  <c r="J14" i="304"/>
  <c r="J15" i="304"/>
  <c r="J7" i="304"/>
  <c r="J13" i="304"/>
  <c r="J9" i="304"/>
  <c r="J12" i="304"/>
  <c r="J8" i="304"/>
  <c r="J5" i="304"/>
  <c r="D11" i="309"/>
  <c r="C11" i="309" s="1"/>
  <c r="J11" i="309" s="1"/>
  <c r="E11" i="289"/>
  <c r="J11" i="289" s="1"/>
  <c r="AK13" i="303"/>
  <c r="AK10" i="303"/>
  <c r="AK5" i="303"/>
  <c r="AK9" i="303"/>
  <c r="AK8" i="303"/>
  <c r="AK14" i="303"/>
  <c r="AK12" i="303"/>
  <c r="AK11" i="303"/>
  <c r="AK7" i="303"/>
  <c r="AK15" i="303"/>
  <c r="AK6" i="303"/>
  <c r="BM8" i="303"/>
  <c r="BM6" i="303"/>
  <c r="BM12" i="303"/>
  <c r="BM9" i="303"/>
  <c r="BM14" i="303"/>
  <c r="BM7" i="303"/>
  <c r="BM11" i="303"/>
  <c r="BM5" i="303"/>
  <c r="BM10" i="303"/>
  <c r="BM13" i="303"/>
  <c r="BM15" i="303"/>
  <c r="H17" i="302"/>
  <c r="J9" i="289"/>
  <c r="CB13" i="302"/>
  <c r="AN13" i="289"/>
  <c r="CA11" i="303"/>
  <c r="CA6" i="303"/>
  <c r="CA15" i="303"/>
  <c r="CA9" i="303"/>
  <c r="CA13" i="303"/>
  <c r="AC17" i="302"/>
  <c r="D7" i="309"/>
  <c r="C7" i="309" s="1"/>
  <c r="J7" i="309" s="1"/>
  <c r="E7" i="289"/>
  <c r="J7" i="289" s="1"/>
  <c r="D12" i="309"/>
  <c r="C12" i="309" s="1"/>
  <c r="J12" i="309" s="1"/>
  <c r="E12" i="289"/>
  <c r="J12" i="289" s="1"/>
  <c r="CB11" i="302"/>
  <c r="AN11" i="289"/>
  <c r="AC17" i="303"/>
  <c r="K17" i="301"/>
  <c r="CB9" i="302"/>
  <c r="AN9" i="289"/>
  <c r="O17" i="303"/>
  <c r="V17" i="302"/>
  <c r="AQ17" i="303"/>
  <c r="BE17" i="302"/>
  <c r="D14" i="309"/>
  <c r="C14" i="309" s="1"/>
  <c r="J14" i="309" s="1"/>
  <c r="E14" i="289"/>
  <c r="J14" i="289" s="1"/>
  <c r="J6" i="289"/>
  <c r="BL17" i="302"/>
  <c r="D10" i="309"/>
  <c r="C10" i="309" s="1"/>
  <c r="J10" i="309" s="1"/>
  <c r="E10" i="289"/>
  <c r="J10" i="289" s="1"/>
  <c r="C6" i="309"/>
  <c r="J6" i="309" s="1"/>
  <c r="BM8" i="302" l="1"/>
  <c r="BM10" i="302"/>
  <c r="BM5" i="302"/>
  <c r="BM11" i="302"/>
  <c r="BM15" i="302"/>
  <c r="BM13" i="302"/>
  <c r="BM12" i="302"/>
  <c r="BM9" i="302"/>
  <c r="BM14" i="302"/>
  <c r="BM6" i="302"/>
  <c r="BM7" i="302"/>
  <c r="AL9" i="303"/>
  <c r="P9" i="289"/>
  <c r="CB11" i="303"/>
  <c r="X11" i="289"/>
  <c r="AL6" i="303"/>
  <c r="P6" i="289"/>
  <c r="BG12" i="303"/>
  <c r="U12" i="289"/>
  <c r="AZ11" i="302"/>
  <c r="AJ11" i="289"/>
  <c r="BN11" i="303"/>
  <c r="V11" i="289"/>
  <c r="AY8" i="303"/>
  <c r="AY10" i="303"/>
  <c r="AY13" i="303"/>
  <c r="AY6" i="303"/>
  <c r="AY9" i="303"/>
  <c r="AY11" i="303"/>
  <c r="AY7" i="303"/>
  <c r="AY15" i="303"/>
  <c r="AY14" i="303"/>
  <c r="AY12" i="303"/>
  <c r="X7" i="303"/>
  <c r="N7" i="289"/>
  <c r="AL9" i="302"/>
  <c r="AF9" i="289"/>
  <c r="AZ10" i="302"/>
  <c r="AJ10" i="289"/>
  <c r="AZ6" i="302"/>
  <c r="AJ6" i="289"/>
  <c r="J14" i="303"/>
  <c r="L14" i="289"/>
  <c r="BN7" i="303"/>
  <c r="V7" i="289"/>
  <c r="AL7" i="303"/>
  <c r="P7" i="289"/>
  <c r="AL13" i="303"/>
  <c r="P13" i="289"/>
  <c r="K7" i="304"/>
  <c r="AR7" i="289"/>
  <c r="AS9" i="302"/>
  <c r="AI9" i="289"/>
  <c r="BG9" i="303"/>
  <c r="U9" i="289"/>
  <c r="X12" i="303"/>
  <c r="N12" i="289"/>
  <c r="AL8" i="302"/>
  <c r="AF8" i="289"/>
  <c r="AL13" i="302"/>
  <c r="AF13" i="289"/>
  <c r="AZ14" i="302"/>
  <c r="AJ14" i="289"/>
  <c r="J9" i="303"/>
  <c r="L9" i="289"/>
  <c r="J7" i="303"/>
  <c r="L7" i="289"/>
  <c r="BN8" i="303"/>
  <c r="V8" i="289"/>
  <c r="AS5" i="302"/>
  <c r="AI5" i="289"/>
  <c r="BG7" i="303"/>
  <c r="U7" i="289"/>
  <c r="AL5" i="302"/>
  <c r="AF5" i="289"/>
  <c r="J15" i="303"/>
  <c r="L15" i="289"/>
  <c r="P11" i="303"/>
  <c r="P14" i="303"/>
  <c r="P12" i="303"/>
  <c r="P6" i="303"/>
  <c r="P13" i="303"/>
  <c r="P9" i="303"/>
  <c r="P10" i="303"/>
  <c r="P15" i="303"/>
  <c r="P7" i="303"/>
  <c r="P8" i="303"/>
  <c r="BN5" i="303"/>
  <c r="V5" i="289"/>
  <c r="K9" i="304"/>
  <c r="AR9" i="289"/>
  <c r="X14" i="303"/>
  <c r="N14" i="289"/>
  <c r="AZ13" i="302"/>
  <c r="AJ13" i="289"/>
  <c r="AL10" i="303"/>
  <c r="P10" i="289"/>
  <c r="AS15" i="302"/>
  <c r="AI15" i="289"/>
  <c r="AL7" i="302"/>
  <c r="AF7" i="289"/>
  <c r="AD8" i="302"/>
  <c r="AD14" i="302"/>
  <c r="AD7" i="302"/>
  <c r="AD12" i="302"/>
  <c r="AD15" i="302"/>
  <c r="AD6" i="302"/>
  <c r="AD10" i="302"/>
  <c r="BN14" i="303"/>
  <c r="V14" i="289"/>
  <c r="BG6" i="303"/>
  <c r="U6" i="289"/>
  <c r="AL12" i="302"/>
  <c r="AF12" i="289"/>
  <c r="P8" i="302"/>
  <c r="P11" i="302"/>
  <c r="P14" i="302"/>
  <c r="P13" i="302"/>
  <c r="P9" i="302"/>
  <c r="P12" i="302"/>
  <c r="P10" i="302"/>
  <c r="P6" i="302"/>
  <c r="P7" i="302"/>
  <c r="P15" i="302"/>
  <c r="J10" i="303"/>
  <c r="L10" i="289"/>
  <c r="AD6" i="303"/>
  <c r="AD7" i="303"/>
  <c r="AD10" i="303"/>
  <c r="AD15" i="303"/>
  <c r="AD14" i="303"/>
  <c r="AD8" i="303"/>
  <c r="AD12" i="303"/>
  <c r="CB13" i="303"/>
  <c r="X13" i="289"/>
  <c r="I14" i="302"/>
  <c r="I7" i="302"/>
  <c r="I6" i="302"/>
  <c r="I11" i="302"/>
  <c r="I8" i="302"/>
  <c r="I12" i="302"/>
  <c r="I10" i="302"/>
  <c r="I13" i="302"/>
  <c r="I9" i="302"/>
  <c r="I15" i="302"/>
  <c r="I5" i="302"/>
  <c r="BN9" i="303"/>
  <c r="V9" i="289"/>
  <c r="AL12" i="303"/>
  <c r="P12" i="289"/>
  <c r="K14" i="304"/>
  <c r="AR14" i="289"/>
  <c r="AS10" i="302"/>
  <c r="AI10" i="289"/>
  <c r="AS13" i="302"/>
  <c r="AI13" i="289"/>
  <c r="BG15" i="303"/>
  <c r="U15" i="289"/>
  <c r="BG11" i="303"/>
  <c r="U11" i="289"/>
  <c r="X11" i="303"/>
  <c r="N11" i="289"/>
  <c r="AL11" i="302"/>
  <c r="AF11" i="289"/>
  <c r="AZ8" i="302"/>
  <c r="AJ8" i="289"/>
  <c r="J8" i="303"/>
  <c r="L8" i="289"/>
  <c r="J11" i="303"/>
  <c r="L11" i="289"/>
  <c r="W11" i="302"/>
  <c r="W5" i="302"/>
  <c r="W8" i="302"/>
  <c r="W9" i="302"/>
  <c r="W7" i="302"/>
  <c r="W14" i="302"/>
  <c r="W13" i="302"/>
  <c r="W12" i="302"/>
  <c r="W6" i="302"/>
  <c r="W10" i="302"/>
  <c r="W15" i="302"/>
  <c r="BN10" i="303"/>
  <c r="V10" i="289"/>
  <c r="K10" i="304"/>
  <c r="AR10" i="289"/>
  <c r="X6" i="303"/>
  <c r="N6" i="289"/>
  <c r="AZ12" i="302"/>
  <c r="AJ12" i="289"/>
  <c r="AS11" i="302"/>
  <c r="AI11" i="289"/>
  <c r="AL10" i="302"/>
  <c r="AF10" i="289"/>
  <c r="J13" i="303"/>
  <c r="L13" i="289"/>
  <c r="K13" i="304"/>
  <c r="AR13" i="289"/>
  <c r="AL11" i="303"/>
  <c r="P11" i="289"/>
  <c r="K15" i="304"/>
  <c r="AR15" i="289"/>
  <c r="AS14" i="302"/>
  <c r="AI14" i="289"/>
  <c r="X5" i="303"/>
  <c r="N5" i="289"/>
  <c r="AZ7" i="302"/>
  <c r="AJ7" i="289"/>
  <c r="J5" i="303"/>
  <c r="L5" i="289"/>
  <c r="BF11" i="302"/>
  <c r="BF13" i="302"/>
  <c r="BF8" i="302"/>
  <c r="BF10" i="302"/>
  <c r="BF9" i="302"/>
  <c r="BF12" i="302"/>
  <c r="BF7" i="302"/>
  <c r="BF14" i="302"/>
  <c r="BF15" i="302"/>
  <c r="BF6" i="302"/>
  <c r="CB9" i="303"/>
  <c r="X9" i="289"/>
  <c r="BN15" i="303"/>
  <c r="V15" i="289"/>
  <c r="BN12" i="303"/>
  <c r="V12" i="289"/>
  <c r="AL14" i="303"/>
  <c r="P14" i="289"/>
  <c r="K5" i="304"/>
  <c r="AR5" i="289"/>
  <c r="K11" i="304"/>
  <c r="AR11" i="289"/>
  <c r="AS12" i="302"/>
  <c r="AI12" i="289"/>
  <c r="AS6" i="302"/>
  <c r="AI6" i="289"/>
  <c r="BG8" i="303"/>
  <c r="U8" i="289"/>
  <c r="X9" i="303"/>
  <c r="N9" i="289"/>
  <c r="X10" i="303"/>
  <c r="N10" i="289"/>
  <c r="AL15" i="302"/>
  <c r="AF15" i="289"/>
  <c r="CB17" i="302"/>
  <c r="AN17" i="289" s="1"/>
  <c r="AZ15" i="302"/>
  <c r="AJ15" i="289"/>
  <c r="J6" i="303"/>
  <c r="L6" i="289"/>
  <c r="J5" i="289"/>
  <c r="CB6" i="303"/>
  <c r="CB17" i="303" s="1"/>
  <c r="X17" i="289" s="1"/>
  <c r="X6" i="289"/>
  <c r="K12" i="304"/>
  <c r="AR12" i="289"/>
  <c r="X13" i="303"/>
  <c r="N13" i="289"/>
  <c r="AL5" i="303"/>
  <c r="P5" i="289"/>
  <c r="AL6" i="302"/>
  <c r="AF6" i="289"/>
  <c r="AL15" i="303"/>
  <c r="P15" i="289"/>
  <c r="BG13" i="303"/>
  <c r="U13" i="289"/>
  <c r="BG14" i="303"/>
  <c r="U14" i="289"/>
  <c r="AR14" i="303"/>
  <c r="AR12" i="303"/>
  <c r="AR13" i="303"/>
  <c r="AR6" i="303"/>
  <c r="AR7" i="303"/>
  <c r="AR8" i="303"/>
  <c r="AR11" i="303"/>
  <c r="AR9" i="303"/>
  <c r="AR5" i="303"/>
  <c r="AR15" i="303"/>
  <c r="AR10" i="303"/>
  <c r="CB15" i="303"/>
  <c r="X15" i="289"/>
  <c r="BN13" i="303"/>
  <c r="V13" i="289"/>
  <c r="BN6" i="303"/>
  <c r="V6" i="289"/>
  <c r="AL8" i="303"/>
  <c r="P8" i="289"/>
  <c r="K8" i="304"/>
  <c r="AR8" i="289"/>
  <c r="K6" i="304"/>
  <c r="AR6" i="289"/>
  <c r="AS7" i="302"/>
  <c r="AI7" i="289"/>
  <c r="AS8" i="302"/>
  <c r="AI8" i="289"/>
  <c r="BG10" i="303"/>
  <c r="U10" i="289"/>
  <c r="X15" i="303"/>
  <c r="N15" i="289"/>
  <c r="X8" i="303"/>
  <c r="N8" i="289"/>
  <c r="AL14" i="302"/>
  <c r="AF14" i="289"/>
  <c r="AZ9" i="302"/>
  <c r="AJ9" i="289"/>
  <c r="J12" i="303"/>
  <c r="L12" i="289"/>
  <c r="C5" i="309"/>
  <c r="J5" i="309" s="1"/>
  <c r="AS11" i="303" l="1"/>
  <c r="S11" i="289"/>
  <c r="X15" i="302"/>
  <c r="AD15" i="289"/>
  <c r="Q14" i="302"/>
  <c r="AC14" i="289"/>
  <c r="Q15" i="303"/>
  <c r="M15" i="289"/>
  <c r="AZ17" i="302"/>
  <c r="AJ17" i="289" s="1"/>
  <c r="AZ14" i="303"/>
  <c r="T14" i="289"/>
  <c r="AZ8" i="303"/>
  <c r="T8" i="289"/>
  <c r="AL9" i="289"/>
  <c r="BN9" i="302"/>
  <c r="AS8" i="303"/>
  <c r="S8" i="289"/>
  <c r="X10" i="302"/>
  <c r="AD10" i="289"/>
  <c r="AE8" i="303"/>
  <c r="O8" i="289"/>
  <c r="Q15" i="302"/>
  <c r="AC15" i="289"/>
  <c r="AE10" i="302"/>
  <c r="AE10" i="289"/>
  <c r="Q10" i="303"/>
  <c r="M10" i="289"/>
  <c r="AZ15" i="303"/>
  <c r="T15" i="289"/>
  <c r="BN12" i="302"/>
  <c r="AL12" i="289"/>
  <c r="AS7" i="303"/>
  <c r="S7" i="289"/>
  <c r="Q7" i="289" s="1"/>
  <c r="AL17" i="303"/>
  <c r="P17" i="289" s="1"/>
  <c r="E22" i="289"/>
  <c r="BG7" i="302"/>
  <c r="AK7" i="289"/>
  <c r="X6" i="302"/>
  <c r="AD6" i="289"/>
  <c r="X11" i="302"/>
  <c r="AD11" i="289"/>
  <c r="J11" i="302"/>
  <c r="AB11" i="289"/>
  <c r="AE14" i="303"/>
  <c r="O14" i="289"/>
  <c r="Q7" i="302"/>
  <c r="AC7" i="289"/>
  <c r="AC8" i="289"/>
  <c r="Q8" i="302"/>
  <c r="AE6" i="302"/>
  <c r="AE6" i="289"/>
  <c r="Q9" i="303"/>
  <c r="M9" i="289"/>
  <c r="AZ7" i="303"/>
  <c r="T7" i="289"/>
  <c r="BN13" i="302"/>
  <c r="AL13" i="289"/>
  <c r="BG14" i="302"/>
  <c r="AK14" i="289"/>
  <c r="AG14" i="289" s="1"/>
  <c r="AP14" i="289" s="1"/>
  <c r="X5" i="302"/>
  <c r="AD5" i="289"/>
  <c r="J8" i="302"/>
  <c r="AB8" i="289"/>
  <c r="Q11" i="302"/>
  <c r="AC11" i="289"/>
  <c r="AS6" i="303"/>
  <c r="S6" i="289"/>
  <c r="BG12" i="302"/>
  <c r="AK12" i="289"/>
  <c r="AG12" i="289" s="1"/>
  <c r="AP12" i="289" s="1"/>
  <c r="J17" i="303"/>
  <c r="L17" i="289" s="1"/>
  <c r="AD12" i="289"/>
  <c r="X12" i="302"/>
  <c r="J5" i="302"/>
  <c r="AB5" i="289"/>
  <c r="J6" i="302"/>
  <c r="AB6" i="289"/>
  <c r="AE15" i="303"/>
  <c r="O15" i="289"/>
  <c r="AC6" i="289"/>
  <c r="Q6" i="302"/>
  <c r="AE15" i="302"/>
  <c r="AE15" i="289"/>
  <c r="Q13" i="303"/>
  <c r="M13" i="289"/>
  <c r="AL17" i="302"/>
  <c r="AF17" i="289" s="1"/>
  <c r="AZ11" i="303"/>
  <c r="T11" i="289"/>
  <c r="BN15" i="302"/>
  <c r="AL15" i="289"/>
  <c r="AG15" i="289" s="1"/>
  <c r="AP15" i="289" s="1"/>
  <c r="BN11" i="302"/>
  <c r="AL11" i="289"/>
  <c r="BG15" i="302"/>
  <c r="AK15" i="289"/>
  <c r="J12" i="302"/>
  <c r="AB12" i="289"/>
  <c r="AS13" i="303"/>
  <c r="S13" i="289"/>
  <c r="X13" i="302"/>
  <c r="AD13" i="289"/>
  <c r="J15" i="302"/>
  <c r="AB15" i="289"/>
  <c r="AE10" i="303"/>
  <c r="O10" i="289"/>
  <c r="Q10" i="302"/>
  <c r="AC10" i="289"/>
  <c r="AE12" i="302"/>
  <c r="AE12" i="289"/>
  <c r="AZ9" i="303"/>
  <c r="T9" i="289"/>
  <c r="AS15" i="303"/>
  <c r="S15" i="289"/>
  <c r="Q15" i="289" s="1"/>
  <c r="Z15" i="289" s="1"/>
  <c r="AS12" i="303"/>
  <c r="S12" i="289"/>
  <c r="Q12" i="289" s="1"/>
  <c r="Z12" i="289" s="1"/>
  <c r="BG10" i="302"/>
  <c r="AK10" i="289"/>
  <c r="AG10" i="289" s="1"/>
  <c r="AP10" i="289" s="1"/>
  <c r="X14" i="302"/>
  <c r="AD14" i="289"/>
  <c r="J9" i="302"/>
  <c r="AB9" i="289"/>
  <c r="J14" i="302"/>
  <c r="AB14" i="289"/>
  <c r="AE7" i="303"/>
  <c r="O7" i="289"/>
  <c r="Q12" i="302"/>
  <c r="AC12" i="289"/>
  <c r="AE7" i="302"/>
  <c r="AE7" i="289"/>
  <c r="BN17" i="303"/>
  <c r="V17" i="289" s="1"/>
  <c r="Q12" i="303"/>
  <c r="M12" i="289"/>
  <c r="AZ6" i="303"/>
  <c r="AZ17" i="303" s="1"/>
  <c r="T17" i="289" s="1"/>
  <c r="T6" i="289"/>
  <c r="BN7" i="302"/>
  <c r="AL7" i="289"/>
  <c r="BN5" i="302"/>
  <c r="AL5" i="289"/>
  <c r="BG11" i="302"/>
  <c r="AK11" i="289"/>
  <c r="X8" i="302"/>
  <c r="AD8" i="289"/>
  <c r="AE12" i="303"/>
  <c r="O12" i="289"/>
  <c r="AS10" i="303"/>
  <c r="S10" i="289"/>
  <c r="BG9" i="302"/>
  <c r="AK9" i="289"/>
  <c r="AG9" i="289" s="1"/>
  <c r="AP9" i="289" s="1"/>
  <c r="J7" i="302"/>
  <c r="AB7" i="289"/>
  <c r="Q6" i="303"/>
  <c r="M6" i="289"/>
  <c r="AG7" i="289"/>
  <c r="AS5" i="303"/>
  <c r="S5" i="289"/>
  <c r="Q5" i="289" s="1"/>
  <c r="Z5" i="289" s="1"/>
  <c r="AV5" i="289" s="1"/>
  <c r="AS14" i="303"/>
  <c r="S14" i="289"/>
  <c r="Q14" i="289" s="1"/>
  <c r="Z14" i="289" s="1"/>
  <c r="K17" i="304"/>
  <c r="AR17" i="289" s="1"/>
  <c r="BG8" i="302"/>
  <c r="AK8" i="289"/>
  <c r="AG11" i="289"/>
  <c r="AP11" i="289" s="1"/>
  <c r="X7" i="302"/>
  <c r="AD7" i="289"/>
  <c r="J13" i="302"/>
  <c r="AB13" i="289"/>
  <c r="AE6" i="303"/>
  <c r="O6" i="289"/>
  <c r="Q9" i="302"/>
  <c r="AC9" i="289"/>
  <c r="BG17" i="303"/>
  <c r="U17" i="289" s="1"/>
  <c r="AE14" i="302"/>
  <c r="AE14" i="289"/>
  <c r="Q8" i="303"/>
  <c r="M8" i="289"/>
  <c r="Q14" i="303"/>
  <c r="M14" i="289"/>
  <c r="AG5" i="289"/>
  <c r="AP5" i="289" s="1"/>
  <c r="AZ13" i="303"/>
  <c r="T13" i="289"/>
  <c r="AL6" i="289"/>
  <c r="BN6" i="302"/>
  <c r="BN10" i="302"/>
  <c r="AL10" i="289"/>
  <c r="AS9" i="303"/>
  <c r="S9" i="289"/>
  <c r="Q9" i="289" s="1"/>
  <c r="AG6" i="289"/>
  <c r="AP6" i="289" s="1"/>
  <c r="BG6" i="302"/>
  <c r="AK6" i="289"/>
  <c r="BG13" i="302"/>
  <c r="AK13" i="289"/>
  <c r="AG13" i="289" s="1"/>
  <c r="AP13" i="289" s="1"/>
  <c r="X17" i="303"/>
  <c r="N17" i="289" s="1"/>
  <c r="X9" i="302"/>
  <c r="AD9" i="289"/>
  <c r="J10" i="302"/>
  <c r="AB10" i="289"/>
  <c r="Q13" i="302"/>
  <c r="AC13" i="289"/>
  <c r="AE8" i="302"/>
  <c r="AE8" i="289"/>
  <c r="Q7" i="303"/>
  <c r="M7" i="289"/>
  <c r="Q11" i="303"/>
  <c r="M11" i="289"/>
  <c r="AS17" i="302"/>
  <c r="AI17" i="289" s="1"/>
  <c r="AZ12" i="303"/>
  <c r="T12" i="289"/>
  <c r="AZ10" i="303"/>
  <c r="T10" i="289"/>
  <c r="BN14" i="302"/>
  <c r="AL14" i="289"/>
  <c r="BN8" i="302"/>
  <c r="AL8" i="289"/>
  <c r="AG8" i="289" s="1"/>
  <c r="AP8" i="289" s="1"/>
  <c r="AW5" i="289" l="1"/>
  <c r="C5" i="294"/>
  <c r="D5" i="294" s="1"/>
  <c r="AV12" i="289"/>
  <c r="Q13" i="289"/>
  <c r="Z13" i="289" s="1"/>
  <c r="AV13" i="289" s="1"/>
  <c r="J17" i="302"/>
  <c r="AB17" i="289" s="1"/>
  <c r="Z9" i="289"/>
  <c r="AV9" i="289" s="1"/>
  <c r="AS17" i="303"/>
  <c r="Q10" i="289"/>
  <c r="Z10" i="289" s="1"/>
  <c r="AV10" i="289" s="1"/>
  <c r="Q17" i="302"/>
  <c r="AC17" i="289" s="1"/>
  <c r="AP7" i="289"/>
  <c r="BN17" i="302"/>
  <c r="AL17" i="289" s="1"/>
  <c r="AV15" i="289"/>
  <c r="AE17" i="302"/>
  <c r="AE17" i="289" s="1"/>
  <c r="Z7" i="289"/>
  <c r="AV7" i="289" s="1"/>
  <c r="Q17" i="303"/>
  <c r="M17" i="289" s="1"/>
  <c r="Z17" i="289"/>
  <c r="AE17" i="303"/>
  <c r="O17" i="289" s="1"/>
  <c r="AV14" i="289"/>
  <c r="Q8" i="289"/>
  <c r="Z8" i="289" s="1"/>
  <c r="AV8" i="289" s="1"/>
  <c r="Q11" i="289"/>
  <c r="Z11" i="289" s="1"/>
  <c r="AV11" i="289" s="1"/>
  <c r="BG17" i="302"/>
  <c r="AK17" i="289" s="1"/>
  <c r="Q6" i="289"/>
  <c r="Z6" i="289" s="1"/>
  <c r="AV6" i="289" s="1"/>
  <c r="X17" i="302"/>
  <c r="AD17" i="289" s="1"/>
  <c r="AW10" i="289" l="1"/>
  <c r="C10" i="294"/>
  <c r="D10" i="294" s="1"/>
  <c r="AW11" i="289"/>
  <c r="C11" i="294"/>
  <c r="D11" i="294" s="1"/>
  <c r="AW15" i="289"/>
  <c r="C15" i="294"/>
  <c r="D15" i="294" s="1"/>
  <c r="AW13" i="289"/>
  <c r="C13" i="294"/>
  <c r="D13" i="294" s="1"/>
  <c r="AW6" i="289"/>
  <c r="C6" i="294"/>
  <c r="D6" i="294" s="1"/>
  <c r="AP17" i="289"/>
  <c r="AV17" i="289" s="1"/>
  <c r="C17" i="294" s="1"/>
  <c r="D17" i="294" s="1"/>
  <c r="AW8" i="289"/>
  <c r="C8" i="294"/>
  <c r="D8" i="294" s="1"/>
  <c r="AW12" i="289"/>
  <c r="C12" i="294"/>
  <c r="D12" i="294" s="1"/>
  <c r="AW14" i="289"/>
  <c r="C14" i="294"/>
  <c r="D14" i="294" s="1"/>
  <c r="AW7" i="289"/>
  <c r="C7" i="294"/>
  <c r="D7" i="294" s="1"/>
  <c r="AW9" i="289"/>
  <c r="C9" i="294"/>
  <c r="D9" i="294" s="1"/>
  <c r="AW17" i="289"/>
  <c r="E57" i="246" l="1"/>
  <c r="H57" i="246"/>
  <c r="H56" i="246"/>
  <c r="H55" i="246"/>
  <c r="E55" i="246"/>
  <c r="D51" i="246"/>
  <c r="H54" i="246"/>
  <c r="H53" i="246"/>
  <c r="F58" i="246"/>
  <c r="D58" i="246"/>
  <c r="E52" i="246"/>
  <c r="C51" i="246"/>
  <c r="H43" i="246"/>
  <c r="E43" i="246"/>
  <c r="H42" i="246"/>
  <c r="H41" i="246"/>
  <c r="E41" i="246"/>
  <c r="E39" i="246"/>
  <c r="F38" i="246"/>
  <c r="E38" i="246"/>
  <c r="D32" i="246"/>
  <c r="E34" i="246"/>
  <c r="D44" i="246"/>
  <c r="C32" i="246"/>
  <c r="H24" i="246"/>
  <c r="E24" i="246"/>
  <c r="H23" i="246"/>
  <c r="E23" i="246"/>
  <c r="H22" i="246"/>
  <c r="E22" i="246"/>
  <c r="H19" i="246"/>
  <c r="E19" i="246"/>
  <c r="H18" i="246"/>
  <c r="D11" i="246" l="1"/>
  <c r="C12" i="246"/>
  <c r="D10" i="246"/>
  <c r="D12" i="246"/>
  <c r="C10" i="246"/>
  <c r="H39" i="246"/>
  <c r="H34" i="246"/>
  <c r="H37" i="246"/>
  <c r="H33" i="246"/>
  <c r="F44" i="246"/>
  <c r="C75" i="246"/>
  <c r="E18" i="246"/>
  <c r="E37" i="246"/>
  <c r="H38" i="246"/>
  <c r="E40" i="246"/>
  <c r="H52" i="246"/>
  <c r="E54" i="246"/>
  <c r="F32" i="246"/>
  <c r="H40" i="246"/>
  <c r="E42" i="246"/>
  <c r="C44" i="246"/>
  <c r="F51" i="246"/>
  <c r="E56" i="246"/>
  <c r="C58" i="246"/>
  <c r="E53" i="246"/>
  <c r="E33" i="246"/>
  <c r="E51" i="246" l="1"/>
  <c r="D9" i="246"/>
  <c r="C9" i="246"/>
  <c r="C11" i="246"/>
  <c r="E58" i="246"/>
  <c r="H58" i="246"/>
  <c r="H51" i="246"/>
  <c r="H44" i="246"/>
  <c r="D8" i="246"/>
  <c r="H32" i="246"/>
  <c r="E44" i="246"/>
  <c r="C8" i="246"/>
  <c r="E32" i="246"/>
  <c r="I1" i="10"/>
  <c r="C5" i="10" s="1"/>
  <c r="B1" i="246" s="1"/>
  <c r="D51" i="94" l="1"/>
  <c r="B1" i="94" l="1"/>
  <c r="B1" i="44"/>
  <c r="C32" i="94" l="1"/>
  <c r="C58" i="94"/>
  <c r="C44" i="94"/>
  <c r="C51" i="94"/>
  <c r="H52" i="44" l="1"/>
  <c r="E43" i="94"/>
  <c r="E42" i="94"/>
  <c r="C11" i="94" l="1"/>
  <c r="C12" i="94"/>
  <c r="C75" i="94"/>
  <c r="E57" i="94" l="1"/>
  <c r="E56" i="94" l="1"/>
  <c r="E55" i="94" l="1"/>
  <c r="E53" i="94"/>
  <c r="E52" i="94" l="1"/>
  <c r="E19" i="94"/>
  <c r="E34" i="94"/>
  <c r="E54" i="94"/>
  <c r="E36" i="94"/>
  <c r="E21" i="94"/>
  <c r="E20" i="94"/>
  <c r="E35" i="94"/>
  <c r="E41" i="94" l="1"/>
  <c r="E24" i="94"/>
  <c r="E39" i="94"/>
  <c r="E18" i="94"/>
  <c r="C10" i="94" l="1"/>
  <c r="E40" i="94"/>
  <c r="D58" i="94"/>
  <c r="D32" i="94"/>
  <c r="E33" i="94"/>
  <c r="D44" i="94" l="1"/>
  <c r="E51" i="94"/>
  <c r="E58" i="94"/>
  <c r="E32" i="94"/>
  <c r="C8" i="94"/>
  <c r="C9" i="94"/>
  <c r="E44" i="94"/>
  <c r="H19" i="94" l="1"/>
  <c r="H18" i="94"/>
  <c r="H54" i="94"/>
  <c r="H56" i="94"/>
  <c r="H24" i="94"/>
  <c r="H42" i="94"/>
  <c r="H57" i="94"/>
  <c r="H20" i="94"/>
  <c r="H55" i="94"/>
  <c r="F36" i="94"/>
  <c r="H41" i="94"/>
  <c r="H52" i="94"/>
  <c r="H53" i="94"/>
  <c r="H40" i="94"/>
  <c r="H43" i="94"/>
  <c r="H21" i="94"/>
  <c r="D9" i="94" l="1"/>
  <c r="D11" i="94"/>
  <c r="D10" i="94"/>
  <c r="D12" i="94"/>
  <c r="H35" i="94"/>
  <c r="H36" i="94"/>
  <c r="H34" i="94"/>
  <c r="F32" i="94"/>
  <c r="H39" i="94"/>
  <c r="H33" i="94"/>
  <c r="F58" i="94"/>
  <c r="F44" i="94"/>
  <c r="F51" i="94"/>
  <c r="H51" i="94"/>
  <c r="H58" i="94"/>
  <c r="D8" i="94" l="1"/>
  <c r="H44" i="94"/>
  <c r="H32" i="94"/>
  <c r="F38" i="44" l="1"/>
  <c r="E23" i="44"/>
  <c r="E38" i="44"/>
  <c r="H23" i="44"/>
  <c r="F58" i="44"/>
  <c r="H38" i="44" l="1"/>
  <c r="C51" i="44" l="1"/>
  <c r="C44" i="44"/>
  <c r="C58" i="44"/>
  <c r="C32" i="44"/>
  <c r="H37" i="44" l="1"/>
  <c r="H39" i="44"/>
  <c r="H33" i="44"/>
  <c r="H34" i="44"/>
  <c r="E57" i="44" l="1"/>
  <c r="E56" i="44"/>
  <c r="E55" i="44"/>
  <c r="E53" i="44"/>
  <c r="E54" i="44"/>
  <c r="E40" i="44" l="1"/>
  <c r="E52" i="44"/>
  <c r="D58" i="44"/>
  <c r="D51" i="44"/>
  <c r="E43" i="44"/>
  <c r="E42" i="44"/>
  <c r="C12" i="44" l="1"/>
  <c r="C11" i="44"/>
  <c r="C9" i="44"/>
  <c r="C75" i="44"/>
  <c r="E58" i="44"/>
  <c r="E51" i="44"/>
  <c r="E18" i="44" l="1"/>
  <c r="E39" i="44" l="1"/>
  <c r="E24" i="44"/>
  <c r="E37" i="44"/>
  <c r="E22" i="44"/>
  <c r="E19" i="44"/>
  <c r="E34" i="44"/>
  <c r="E33" i="44"/>
  <c r="E41" i="44" l="1"/>
  <c r="C8" i="44"/>
  <c r="D44" i="44"/>
  <c r="D32" i="44"/>
  <c r="E32" i="44"/>
  <c r="C10" i="44" l="1"/>
  <c r="E44" i="44"/>
  <c r="H57" i="44" l="1"/>
  <c r="H54" i="44"/>
  <c r="H43" i="44"/>
  <c r="H41" i="44"/>
  <c r="H19" i="44"/>
  <c r="H42" i="44"/>
  <c r="H24" i="44"/>
  <c r="H40" i="44"/>
  <c r="H55" i="44"/>
  <c r="H22" i="44"/>
  <c r="H56" i="44"/>
  <c r="H53" i="44"/>
  <c r="H18" i="44"/>
  <c r="D12" i="44" l="1"/>
  <c r="D11" i="44"/>
  <c r="D10" i="44"/>
  <c r="D9" i="44"/>
  <c r="D8" i="44"/>
  <c r="F44" i="44"/>
  <c r="F32" i="44"/>
  <c r="F51" i="44"/>
  <c r="H44" i="44" l="1"/>
  <c r="H32" i="44"/>
  <c r="H58" i="44"/>
  <c r="H51" i="44"/>
</calcChain>
</file>

<file path=xl/sharedStrings.xml><?xml version="1.0" encoding="utf-8"?>
<sst xmlns="http://schemas.openxmlformats.org/spreadsheetml/2006/main" count="2574" uniqueCount="472">
  <si>
    <t>OSLO</t>
  </si>
  <si>
    <t>Kommune</t>
  </si>
  <si>
    <t>K.nr.</t>
  </si>
  <si>
    <t>Landet</t>
  </si>
  <si>
    <t>Administrasjon</t>
  </si>
  <si>
    <t>Hovedkostnadsnøkkel</t>
  </si>
  <si>
    <t>Netto driftsutgifter, premieavvik, konsern</t>
  </si>
  <si>
    <t>Sum avskrivninger, konsern</t>
  </si>
  <si>
    <t>Avskrivninger, premieavvik, konsern</t>
  </si>
  <si>
    <t>Private statlige skoler (1000 kr)</t>
  </si>
  <si>
    <t>Delområde</t>
  </si>
  <si>
    <t>(1000 kroner)</t>
  </si>
  <si>
    <t>(per innbygger)</t>
  </si>
  <si>
    <t>Nto driftsutg eks avskr, premieavvik, konsern</t>
  </si>
  <si>
    <t>Nto driftsutg eks avskr, næring, konsern</t>
  </si>
  <si>
    <t>Nto driftsutg eks avskr, tjenester utenf ordinært komm ansvarsområde, konsern</t>
  </si>
  <si>
    <t>Korreksjon statlige private skoler, kr per innbygger</t>
  </si>
  <si>
    <t>Sum</t>
  </si>
  <si>
    <t>Netto finans og avdrag, konsern</t>
  </si>
  <si>
    <t>Netto driftsresultat, konsern</t>
  </si>
  <si>
    <t>Sum inntekt, konsern</t>
  </si>
  <si>
    <t>Inntektsgrunnlag korrigert, andel av landssnitt</t>
  </si>
  <si>
    <t>Tjenester utenfor inntektssystemet</t>
  </si>
  <si>
    <t>Netto finans og avdrag</t>
  </si>
  <si>
    <t>Netto driftsresultat</t>
  </si>
  <si>
    <t>Sum                                       Nto driftsutg eks avskr, konsern + Netto finans og avdrag + Netto driftsresultat</t>
  </si>
  <si>
    <t>Premieavvik</t>
  </si>
  <si>
    <t>Nto driftsutg eks avskr, tjenester utenfor inntektssystemet, konsern</t>
  </si>
  <si>
    <t>Sum netto driftsutgifter, tjenester utenfor inntektssystemet, konsern</t>
  </si>
  <si>
    <t>Sum avskrivninger, tjenester utenfor inntektssystemet, konsern</t>
  </si>
  <si>
    <t>Sum innenfor inntektssystemet</t>
  </si>
  <si>
    <t>Sum øvrige</t>
  </si>
  <si>
    <t>Sum totalt</t>
  </si>
  <si>
    <t>Netto driftsutgift ekskl. avskrivninger</t>
  </si>
  <si>
    <t>Ressursbruk sammenlignet med landsgjennomsnitt korrigert for utgiftsbehov, og landsgjennomsnitt korrigert for utgiftsbehov og inntektsnivå</t>
  </si>
  <si>
    <t>Tjenester utenfor inntektssystemet - spesifisert - Ressursbruk sammenlignet med landsgjennomsnitt, og landsgjennomsnitt korrigert for inntektsnivå</t>
  </si>
  <si>
    <t>Næring</t>
  </si>
  <si>
    <t>Interkommunalt samarbeid</t>
  </si>
  <si>
    <t>Tjenester utenfor ord. komm. ansvarsomr</t>
  </si>
  <si>
    <t>(kr per innb)</t>
  </si>
  <si>
    <t xml:space="preserve">Ressursbruk         </t>
  </si>
  <si>
    <t xml:space="preserve"> (kr per innb)</t>
  </si>
  <si>
    <t xml:space="preserve">Landsgjennomsnitt korrigert for utgiftsbehov og inntektsnivå </t>
  </si>
  <si>
    <t xml:space="preserve">Ressursbruk sammenlignet med landsgjennomsnitt korrigert for utgiftsbehov og inntektsnivå                     </t>
  </si>
  <si>
    <t xml:space="preserve">Landsgjennomsnitt                </t>
  </si>
  <si>
    <t xml:space="preserve">Ressursbruk sammenlignet med landsgjennomsnitt                     </t>
  </si>
  <si>
    <t xml:space="preserve">Landsgjennomsnitt korrigert for inntektsnivå </t>
  </si>
  <si>
    <t xml:space="preserve">Ressursbruk sammenlignet med landsgjennomsnitt korrigert for inntektsnivå                    </t>
  </si>
  <si>
    <t xml:space="preserve">Ressursbruk sammenlignet med landsgjennomsnitt korrigert for utgiftsbehov                     </t>
  </si>
  <si>
    <t xml:space="preserve">Ressursbruk i.f.t landsgjennomsnitt   </t>
  </si>
  <si>
    <t xml:space="preserve">Utgiftsbehov ift landsgjennnomsnitt       </t>
  </si>
  <si>
    <t>Tjenester innenfor inntektssystemet - ressursbruk sammenlignet ned landsgjennomsnitt korrigert for utgiftsbehov og inntektsnivå</t>
  </si>
  <si>
    <t>pst</t>
  </si>
  <si>
    <t xml:space="preserve"> pst</t>
  </si>
  <si>
    <t>pst poeng</t>
  </si>
  <si>
    <t xml:space="preserve">Utgiftsbehov korrigert for inntektsnivå </t>
  </si>
  <si>
    <t>Ressursbruk sammenlignet med utgiftsbehov</t>
  </si>
  <si>
    <t xml:space="preserve">Ressursbruk sammenlignet med utgiftsbehov korrigert for inntektsnivå                     </t>
  </si>
  <si>
    <t>Sum Lønnsgrunnlag, konsern</t>
  </si>
  <si>
    <t>Lønnsgrunnlag, premieavvik, konsern</t>
  </si>
  <si>
    <t>Lønnsgrunnlag, fellesutgifter, konsern</t>
  </si>
  <si>
    <t>Lønnsgrunnlag, næring, konsern</t>
  </si>
  <si>
    <t>Lønnsgrunnlag, interkommunale samarbeid (§ 27-samarbeid), konsern</t>
  </si>
  <si>
    <t>Lønnsgrunnlag, tjenester utenf ordinært komm ansvarsområde, konsern</t>
  </si>
  <si>
    <t>Sum arbeidsgiveravgift, konsern</t>
  </si>
  <si>
    <t>Arbeidsgiveravgift, premieavvik, konsern</t>
  </si>
  <si>
    <t>Arbeidsgiveravgift, fellesutgifter, konsern</t>
  </si>
  <si>
    <t>Arbeidsgiveravgift, næring, konsern</t>
  </si>
  <si>
    <t>Arbeidsgiveravgift, interkommunale samarbeid (§ 27-samarbeid), konsern</t>
  </si>
  <si>
    <t>Arbeidsgiveravgift, tjenester utenf ordinært komm ansvarsområde, konsern</t>
  </si>
  <si>
    <t>Sum lønnsgrunnlag, tjenester utenfor inntektssystemet, konsern</t>
  </si>
  <si>
    <t>Sum arbeidsgiveravgift, tjenester utenfor inntektssystemet, konsern</t>
  </si>
  <si>
    <t>Lønnsandel</t>
  </si>
  <si>
    <t>Sum utenfor inntektssystemet</t>
  </si>
  <si>
    <t>Arbeidsgiveravift av lønnsandel</t>
  </si>
  <si>
    <t>Totalt</t>
  </si>
  <si>
    <t>Tjenester utenfor inntektssystemet, konsern</t>
  </si>
  <si>
    <t>Fellesutgifter, konsern</t>
  </si>
  <si>
    <t>Næring, konsern</t>
  </si>
  <si>
    <t>Interkommunale samarbeid (§ 27-samarbeid), konsern</t>
  </si>
  <si>
    <t>Premieavvik, konsern</t>
  </si>
  <si>
    <t>Utgiftsbehovnøkler</t>
  </si>
  <si>
    <t>Korreksjon arb.avg, tjenester utenfor inntektssystemet, konsern</t>
  </si>
  <si>
    <t>Spesifikasjon tjenester utenfor inntektssystemet</t>
  </si>
  <si>
    <t>Korreksjon arb.avg  fellesutgifter, konsern</t>
  </si>
  <si>
    <t>Korreksjon arb.avg  næring, konsern</t>
  </si>
  <si>
    <t>Korreksjon arb.avg  interkommunale samarbeid (§ 27-samarbeid), konsern</t>
  </si>
  <si>
    <t>Korreksjon arb.avg  tjenester utenf ordinært komm ansvarsområde, konsern</t>
  </si>
  <si>
    <t>Inntektsgrunnlag korrigert, kroner per innbygger</t>
  </si>
  <si>
    <t>Sum korreksjon utgiftsbehov , kr per innbygger</t>
  </si>
  <si>
    <t>Sum korreksjon arb.avg, konsern</t>
  </si>
  <si>
    <t>Sum Pensjon, konsern</t>
  </si>
  <si>
    <t>Sum Pensjon, tjenester utenfor inntektssystemet, konsern</t>
  </si>
  <si>
    <t>Pensjon, fellesutgifter, konsern</t>
  </si>
  <si>
    <t>Pensjon, næring, konsern</t>
  </si>
  <si>
    <t>Pensjon, interkommunale samarbeid (§ 27-samarbeid), konsern</t>
  </si>
  <si>
    <t>Pensjon, tjenester utenf ordinært komm ansvarsområde, konsern</t>
  </si>
  <si>
    <t>Pensjon av lønnsandel</t>
  </si>
  <si>
    <t>Pensjon</t>
  </si>
  <si>
    <t>Korreksjon pensjon, tjenester utenfor inntektssystemet, konsern</t>
  </si>
  <si>
    <t>Korreksjon pensjon  næring, konsern</t>
  </si>
  <si>
    <t>Korreksjon pensjon  interkommunale samarbeid (§ 27-samarbeid), konsern</t>
  </si>
  <si>
    <t>Korreksjon pensjon  tjenester utenf ordinært komm ansvarsområde, konsern</t>
  </si>
  <si>
    <t>Sum korreksjon pensjon, konsern</t>
  </si>
  <si>
    <t>Sum korreksjon, konsern</t>
  </si>
  <si>
    <t>Pensjon, premieavvik, konsern</t>
  </si>
  <si>
    <t>Brutto driftsutgifter, premieavvik, konsern</t>
  </si>
  <si>
    <t>Sum brutto driftsutgifter, konsern</t>
  </si>
  <si>
    <t>Bto driftsutg eks avskr, tjenester utenfor inntektssystemet, konsern</t>
  </si>
  <si>
    <t>Bto driftsutg eks avskr, fellesutgifter, konsern</t>
  </si>
  <si>
    <t>Bto driftsutg eks avskr, næring, konsern</t>
  </si>
  <si>
    <t>Bto driftsutg eks avskr, interkommunale samarbeid (§ 27-samarbeid), konsern</t>
  </si>
  <si>
    <t>Bto driftsutg eks avskr, tjenester utenf ordinært komm ansvarsområde, konsern</t>
  </si>
  <si>
    <t>Bto driftsutg eks avskr, premieavvik, konsern</t>
  </si>
  <si>
    <t>Brutto driftsutgift per innb</t>
  </si>
  <si>
    <t>Netto driftsutgift per innb</t>
  </si>
  <si>
    <t>Lønnsutgiftsbehov pensjon</t>
  </si>
  <si>
    <t>Premieavvik av lønnsutgiftsbehov</t>
  </si>
  <si>
    <t>Korreksjon premieavvik per innb vektet</t>
  </si>
  <si>
    <t>Premieavvik netto driftsutgift</t>
  </si>
  <si>
    <t>Korreksjon av premieavvik</t>
  </si>
  <si>
    <t>Sum korreksjon nøkkel eiendom per innb</t>
  </si>
  <si>
    <t>Eiendom grunnskolenøkkel uvektet</t>
  </si>
  <si>
    <t>Eiendom grunnskole-nøkkel vektet</t>
  </si>
  <si>
    <t>Korr grunnskole.nøkkel eiendom per innb</t>
  </si>
  <si>
    <t>Sum korreksjon eiendom 1000 kroner</t>
  </si>
  <si>
    <t>Tjenester utenfor inntsys</t>
  </si>
  <si>
    <t>Beregnet utgiftsbehov</t>
  </si>
  <si>
    <t>Tj utenfor ord. komm. ansv.</t>
  </si>
  <si>
    <t>Ressursbruk sammenlignet med landet</t>
  </si>
  <si>
    <t>Ressursbruk utgifts- og inntektskorrigert</t>
  </si>
  <si>
    <t>Hovedkostnadsindeks</t>
  </si>
  <si>
    <t>Sum utgiftsbehov</t>
  </si>
  <si>
    <t xml:space="preserve">Ressursbruk </t>
  </si>
  <si>
    <t>DISPONIBEL INNTEKT OG KOMMUNENS PRIORITERINGER</t>
  </si>
  <si>
    <t>Sum øvrige tjenester</t>
  </si>
  <si>
    <t>Interkom. samarbeid</t>
  </si>
  <si>
    <t>Frie disponible inntekter</t>
  </si>
  <si>
    <t>Sum tjenester INNTSYS</t>
  </si>
  <si>
    <t>ROGALAND</t>
  </si>
  <si>
    <t>MØRE OG ROMSDAL</t>
  </si>
  <si>
    <t>NORDLAND</t>
  </si>
  <si>
    <t>Netto driftsutg., videregående opplæring, konsern</t>
  </si>
  <si>
    <t>Netto driftsutg., fylkesveger, konsern</t>
  </si>
  <si>
    <t>Netto driftsutg., tannhelsetjeneste, konsern</t>
  </si>
  <si>
    <t>Netto driftsutg., fellesutgifter, konsern</t>
  </si>
  <si>
    <t>Netto driftsutg., administrasjon, konsern</t>
  </si>
  <si>
    <t>Netto driftsutg., lokal og reg. utvikling, natur og miljø, konsern</t>
  </si>
  <si>
    <t>Netto driftsutg., næring, konsern</t>
  </si>
  <si>
    <t>Netto driftsutg., kultur og idrett, konsern</t>
  </si>
  <si>
    <t>Netto driftsutg., interkommunale samarbeid (§ 27-samarbeid), konsern</t>
  </si>
  <si>
    <t>Netto driftsutg., tjenester utenf ordinært komm ansvarsområde, konsern</t>
  </si>
  <si>
    <t>Netto driftsutg., eiendom, konsern</t>
  </si>
  <si>
    <t>Avskrivning, videregående opplæring, konsern</t>
  </si>
  <si>
    <t>Avskrivning, fylkesveger, konsern</t>
  </si>
  <si>
    <t>Avskrivning, tannhelsetjeneste, konsern</t>
  </si>
  <si>
    <t>Avskrivning, fellesutgifter, konsern</t>
  </si>
  <si>
    <t>Avskrivning, administrasjon, konsern</t>
  </si>
  <si>
    <t>Avskrivning, lokal og reg. utvikling, natur og miljø, konsern</t>
  </si>
  <si>
    <t>Avskrivning, næring, konsern</t>
  </si>
  <si>
    <t>Avskrivning, kultur og idrett, konsern</t>
  </si>
  <si>
    <t>Avskrivning, interkommunale samarbeid (§ 27-samarbeid), konsern</t>
  </si>
  <si>
    <t>Avskrivning, tjenester utenf ordinært komm ansvarsområde, konsern</t>
  </si>
  <si>
    <t>Avskrivninger, eiendom, konsern</t>
  </si>
  <si>
    <t>Nto driftsutg eks avskr, videregående opplæring, konsern</t>
  </si>
  <si>
    <t>Nto driftsutg eks avskr, fylkesveger, konsern</t>
  </si>
  <si>
    <t>Nto driftsutg eks avskr, tannhelsetj, konsern</t>
  </si>
  <si>
    <t>Nto driftsutg administrasjon, konsern</t>
  </si>
  <si>
    <t>Nto driftsutg eks avskr, lokal og reg. utvikling, natur og miljø, konsern</t>
  </si>
  <si>
    <t>Nto driftsutg eks avskr, kultur og idrett, konsern</t>
  </si>
  <si>
    <t>Nto driftsutg eks avskr,  interkommunale samarbeid (§ 27-samarbeid), konsern</t>
  </si>
  <si>
    <t>Videregående opplæring</t>
  </si>
  <si>
    <t>Fylkesveger</t>
  </si>
  <si>
    <t>Tannhelsetjeneste</t>
  </si>
  <si>
    <t>Lokal og reg. utvikling, natur og miljø</t>
  </si>
  <si>
    <t>Kultur og idrett</t>
  </si>
  <si>
    <t>Korreksjon utg.behov videreående opplæring, kr per innbygger</t>
  </si>
  <si>
    <t>Korreksjon utg.behov fylkesveger, kr per innbygger</t>
  </si>
  <si>
    <t>Korreksjon utg.behov tannhelsetjeneste, kr per innbygger</t>
  </si>
  <si>
    <t>Korreksjon arb.avgift videregående opplæring</t>
  </si>
  <si>
    <t>Korreksjon arb.avgift fylkesveger</t>
  </si>
  <si>
    <t>Korreksjon arb.avgift tannhelsetjeneste</t>
  </si>
  <si>
    <t>Korreksjon arb.avg  administrasjon, konsern</t>
  </si>
  <si>
    <t>Korreksjon arb.avg lokal og reg. utvikling, natur og miljø, konsern</t>
  </si>
  <si>
    <t>Korreksjon arb.avg  kultur og idrett, konsern</t>
  </si>
  <si>
    <t>Korreksjon pensjon videregående opplæring</t>
  </si>
  <si>
    <t>Korreksjon pensjon fylkesveger</t>
  </si>
  <si>
    <t>Korreksjon pensjon tannhelsetjeneste</t>
  </si>
  <si>
    <t>Korreksjon pensjon  administrasjon, konsern</t>
  </si>
  <si>
    <t>Korreksjon pensjon  lokal og reg. utvikling, natur og miljø, konsern</t>
  </si>
  <si>
    <t>Korreksjon pensjon kultur og idrett, konsern</t>
  </si>
  <si>
    <t>Lønnsgrunnlag, videregående opplæring, konsern</t>
  </si>
  <si>
    <t>Lønnsgrunnlag, fylkesveger, konsern</t>
  </si>
  <si>
    <t>Lønnsgrunnlag, tannhelsetjeneste, konsern</t>
  </si>
  <si>
    <t>Lønnsgrunnlag, administrasjon, konsern</t>
  </si>
  <si>
    <t>Lønnsgrunnlag, lokal og reg. utvikling, natur og miljø, konsern</t>
  </si>
  <si>
    <t>Lønnsgrunnlag, kultur og idrett, konsern</t>
  </si>
  <si>
    <t>Lønnsgrunnlag, eiendom, konsern</t>
  </si>
  <si>
    <t>Arbeidsgiveravgift, videregående opplæring, konsern</t>
  </si>
  <si>
    <t>Arbeidsgiveravgift, fylkesveger, konsern</t>
  </si>
  <si>
    <t>Arbeidsgiveravgift, tannhelsetjeneste, konsern</t>
  </si>
  <si>
    <t>Arbeidsgiveravgift, administrasjon, konsern</t>
  </si>
  <si>
    <t>Arbeidsgiveravgift, lokal og reg. utvikling, natur og miljø, konsern</t>
  </si>
  <si>
    <t>Arbeidsgiveravgift, kultur og idrett, konsern</t>
  </si>
  <si>
    <t>Arbeidsgiveravgift, eiendom, konsern</t>
  </si>
  <si>
    <t>Pensjon, videregående opplæring, konsern</t>
  </si>
  <si>
    <t>Pensjon, fylkesveger, konsern</t>
  </si>
  <si>
    <t>Pensjon, tannhelsetjeneste, konsern</t>
  </si>
  <si>
    <t>Pensjon, administrasjon, konsern</t>
  </si>
  <si>
    <t>Pensjon, lokal og reg. utvikling, natur og miljø, konsern</t>
  </si>
  <si>
    <t>Pensjon, kultur og idrett, konsern</t>
  </si>
  <si>
    <t>Pensjon, eiendom, konsern</t>
  </si>
  <si>
    <t>Kostnadsindeks vidergående opplæring</t>
  </si>
  <si>
    <t>Kostnadsindeks fylkesveger</t>
  </si>
  <si>
    <t>Kostnadsindeks tannhelsetjeneste</t>
  </si>
  <si>
    <t>Videregående opplæring uvektet</t>
  </si>
  <si>
    <t>Videregående opplæring vektet</t>
  </si>
  <si>
    <t>Videregående opplæring vektet per innbygger</t>
  </si>
  <si>
    <t>Fylkesveger uvektet</t>
  </si>
  <si>
    <t>Fylkesveger vektet</t>
  </si>
  <si>
    <t>Fylkesveger vektet per innbygger</t>
  </si>
  <si>
    <t>Tannhelsetjeneste uvektet</t>
  </si>
  <si>
    <t>Tannhelsetjeneste vektet</t>
  </si>
  <si>
    <t>Tannhelsetjeneste vektet per innbygger</t>
  </si>
  <si>
    <t>Videregående opplæring vektet indeks</t>
  </si>
  <si>
    <t>Fylkesveger vektet indeks</t>
  </si>
  <si>
    <t>Tannhelsetjeneste vektet indeks</t>
  </si>
  <si>
    <t>Korr pensjon videregående opplæring vektet</t>
  </si>
  <si>
    <t>Korr pensjon videregående opplæring vektet per innbygger</t>
  </si>
  <si>
    <t>Korr pensjon fylkesveger vektet</t>
  </si>
  <si>
    <t>Korr pensjon fylkesveger vektet per innbygger</t>
  </si>
  <si>
    <t>Korr pensjon administrasjon vektet</t>
  </si>
  <si>
    <t>Korr pensjon administrasjon vektet per innbygger</t>
  </si>
  <si>
    <t>Korr pensjon næring vektet</t>
  </si>
  <si>
    <t>Korr pensjon næring vektet per innbygger</t>
  </si>
  <si>
    <t>Korr pensjon kultur og idrett vektet</t>
  </si>
  <si>
    <t>Korr pensjon kultur og idrett vektet per innbygger</t>
  </si>
  <si>
    <t>Tannhelse- tjenester</t>
  </si>
  <si>
    <t>Videregående opplæring, konsern</t>
  </si>
  <si>
    <t>Fylkesveger, konsern</t>
  </si>
  <si>
    <t>Tannhelse-tjenesten, konsern</t>
  </si>
  <si>
    <t>Administrasjon, konsern</t>
  </si>
  <si>
    <t xml:space="preserve"> Lokal og reg. utvikling, natur og miljø, konsern</t>
  </si>
  <si>
    <t>Kultur og idrett, konsern</t>
  </si>
  <si>
    <t>Tjenester utenf ordinært komm ansvarsområde, konsern</t>
  </si>
  <si>
    <t>Eiendom, konsern</t>
  </si>
  <si>
    <t>Arbeidsgiveravgift</t>
  </si>
  <si>
    <t>Brutto driftsutg eks avskr, videregående opplæring, konsern</t>
  </si>
  <si>
    <t>Brutto driftsutg eks avskr, fylkesveger, konsern</t>
  </si>
  <si>
    <t>Brutto driftsutg eks avskr, tannhelsetj, konsern</t>
  </si>
  <si>
    <t>Brutto driftsutg eks avskr, tjenester utenfor inntektssystemet, konsern</t>
  </si>
  <si>
    <t>Brutto driftsutg eks avskr, fellesutgifter, konsern</t>
  </si>
  <si>
    <t>Brutto driftsutg administrasjon, konsern</t>
  </si>
  <si>
    <t>Brutto driftsutg eks avskr, lokal og reg. utvikling, natur og miljø, konsern</t>
  </si>
  <si>
    <t>Brutto driftsutg eks avskr, næring, konsern</t>
  </si>
  <si>
    <t>Brutto driftsutg eks avskr, kultur og idrett, konsern</t>
  </si>
  <si>
    <t>Brutto driftsutg eks avskr,  interkommunale samarbeid (§ 27-samarbeid), konsern</t>
  </si>
  <si>
    <t>Brutto driftsutg eks avskr, tjenester utenf ordinært komm ansvarsområde, konsern</t>
  </si>
  <si>
    <t>Brutto driftsutg eks avskr, eiendom, konsern</t>
  </si>
  <si>
    <t>Bto driftsutg eks avskr, videregående opplæring, konsern</t>
  </si>
  <si>
    <t>Bto driftsutg eks avskr, fylkesveger, konsern</t>
  </si>
  <si>
    <t>Bto driftsutg eks avskr, tannhelsetjenesten, konsern</t>
  </si>
  <si>
    <t>Bto driftsutg eks avskr, administrasjon, konsern</t>
  </si>
  <si>
    <t>Bto driftsutg eks avskr, lokal og reg. utvikling, natur og miljø, konsern</t>
  </si>
  <si>
    <t>Bto driftsutg eks avskr, kultur og idrett, konsern</t>
  </si>
  <si>
    <t>Bto driftsutg eks avskr, eiendom, konsern</t>
  </si>
  <si>
    <t>Tannhelse-tjeneste</t>
  </si>
  <si>
    <t xml:space="preserve">Utgiftsbehov landsgjennnomsnitt       </t>
  </si>
  <si>
    <t>Reg. utvikling, natur og miljø</t>
  </si>
  <si>
    <t>Øvrige tjenester</t>
  </si>
  <si>
    <t>Tjenester innenfor INNTSYS</t>
  </si>
  <si>
    <t>Fylke</t>
  </si>
  <si>
    <t>Fylke utgiftskorrigert</t>
  </si>
  <si>
    <t>Fylke utgifts- og inntektskorrigert</t>
  </si>
  <si>
    <t>Sum                                       Bto driftsutg eks avskr, konsern</t>
  </si>
  <si>
    <t>Buss og bane</t>
  </si>
  <si>
    <t>Båt og ferje</t>
  </si>
  <si>
    <t>Korreksjon utg.behov buss og bane, kr per innbygger</t>
  </si>
  <si>
    <t>Korreksjon utg.behov båt og ferje, kr per innbygger</t>
  </si>
  <si>
    <t>Korreksjon arb.avgift buss og bane</t>
  </si>
  <si>
    <t>Korreksjon arb.avgift båt og ferje</t>
  </si>
  <si>
    <t>Korreksjon pensjon buss og bane</t>
  </si>
  <si>
    <t>Korreksjon pensjon båt og ferje</t>
  </si>
  <si>
    <t>Netto driftsutg., buss og bane, konsern</t>
  </si>
  <si>
    <t>Netto driftsutg., båt og ferje, konsern</t>
  </si>
  <si>
    <t>Avskrivning, buss og bane, konsern</t>
  </si>
  <si>
    <t>Avskrivning, båt og ferje, konsern</t>
  </si>
  <si>
    <t>Nto driftsutg eks avskr, buss og bane, konsern</t>
  </si>
  <si>
    <t>Nto driftsutg eks avskr, båt og ferje, konsern</t>
  </si>
  <si>
    <t>Lønnsgrunnlag, buss og bane, konsern</t>
  </si>
  <si>
    <t>Lønnsgrunnlag, båt og ferje, konsern</t>
  </si>
  <si>
    <t>Arbeidsgiveravgift, buss og bane, konsern</t>
  </si>
  <si>
    <t>Arbeidsgiveravgift, båt og ferje, konsern</t>
  </si>
  <si>
    <t>Pensjon, buss og bane, konsern</t>
  </si>
  <si>
    <t>Pensjon, båt og ferje, konsern</t>
  </si>
  <si>
    <t>Buss og bane, konsern</t>
  </si>
  <si>
    <t>Båt og ferje, konsern</t>
  </si>
  <si>
    <t>Kostnadsindeks buss og bane</t>
  </si>
  <si>
    <t>Kostnadsindeks båt og ferje</t>
  </si>
  <si>
    <t>Buss og bane uvektet</t>
  </si>
  <si>
    <t>Buss og bane vektet</t>
  </si>
  <si>
    <t>Buss og bane vektet per innbygger</t>
  </si>
  <si>
    <t>Buss og bane vektet indeks</t>
  </si>
  <si>
    <t>Båt og ferje vektet indeks</t>
  </si>
  <si>
    <t>Brutto driftsutg eks avskr, buss og bane, konsern</t>
  </si>
  <si>
    <t>Brutto driftsutg eks avskr, båt og ferje, konsern</t>
  </si>
  <si>
    <t>Bto driftsutg eks avskr, buss og bane, konsern</t>
  </si>
  <si>
    <t>Bto driftsutg eks avskr, båt og ferje, konsern</t>
  </si>
  <si>
    <t>Korr pensjon buss og bane vektet</t>
  </si>
  <si>
    <t>Korr pensjon buss og bane vektet per innbygger</t>
  </si>
  <si>
    <t>Korr pensjon båt og ferje vektet</t>
  </si>
  <si>
    <t>Korr pensjon båt og ferje vektet per innbygger</t>
  </si>
  <si>
    <t>Ressursbruk korrigert for utgiftsbehov</t>
  </si>
  <si>
    <t>Korreksjoner</t>
  </si>
  <si>
    <t>Videregående</t>
  </si>
  <si>
    <t>Båt og ferje uvektet</t>
  </si>
  <si>
    <t>Båt og ferje vektet</t>
  </si>
  <si>
    <t>Båt og ferje vektet per innbygger</t>
  </si>
  <si>
    <t>Differanse nøkkel GH</t>
  </si>
  <si>
    <t>Beregning gjennomsnitt pensjon, videregående opplæring</t>
  </si>
  <si>
    <t>Revektingsgrunnlag videregående opplæring</t>
  </si>
  <si>
    <t>Revektet kostnadsnøkkel, pensjon videregående opplæring</t>
  </si>
  <si>
    <t>Utgiftsandel pensjon, videregående opplæring</t>
  </si>
  <si>
    <t>Revektet beregning gjennomsnitt pensjon, videregående opplæring</t>
  </si>
  <si>
    <t>Beregning gjennomsnitt pensjon, fylkesveger</t>
  </si>
  <si>
    <t>Revektingsgrunnlag fylkesveger</t>
  </si>
  <si>
    <t>Utgiftsandel pensjon, fylkesveger</t>
  </si>
  <si>
    <t>Revektet kostnadsnøkkel, pensjon fylkesveger</t>
  </si>
  <si>
    <t>Revektet beregning gjennomsnitt pensjon, fylkesveger</t>
  </si>
  <si>
    <t>Beregning gjennomsnitt pensjon, buss og bane</t>
  </si>
  <si>
    <t>Revektingsgrunnlag buss og bane</t>
  </si>
  <si>
    <t>Utgiftsandel pensjon, buss og bane</t>
  </si>
  <si>
    <t>Revektet kostnadsnøkkel, pensjon buss og bane</t>
  </si>
  <si>
    <t>Revektet beregning gjennomsnitt pensjon, buss og bane</t>
  </si>
  <si>
    <t>Beregning gjennomsnitt pensjon, båt og ferje</t>
  </si>
  <si>
    <t>Revektingsgrunnlag båt og ferje</t>
  </si>
  <si>
    <t>Utgiftsandel pensjon, båt og ferje</t>
  </si>
  <si>
    <t>Revektet kostnadsnøkkel, pensjon båt og ferje</t>
  </si>
  <si>
    <t>Revektet beregning gjennomsnitt pensjon, båt og ferje</t>
  </si>
  <si>
    <t>Beregning gjennomsnitt pensjon, tannhelsetjeneste</t>
  </si>
  <si>
    <t>Revektingsgrunnlag tannhelsetjeneste</t>
  </si>
  <si>
    <t>Utgiftsandel pensjon, tannhelsetjeneste</t>
  </si>
  <si>
    <t>Revektet kostnadsnøkkel, pensjon tannhelsetjeneste</t>
  </si>
  <si>
    <t>Revektet beregning gjennomsnitt pensjon, tannhelsetjeneste</t>
  </si>
  <si>
    <t>Korr pensjon tannhelsetjeneste vektet per innbygger</t>
  </si>
  <si>
    <t>Korr pensjon tannhelsetjeneste vektet</t>
  </si>
  <si>
    <t>Beregning gjennomsnitt pensjon, administrasjon</t>
  </si>
  <si>
    <t>Revektingsgrunnlag administrasjon</t>
  </si>
  <si>
    <t>Utgiftsandel pensjon, administrasjon</t>
  </si>
  <si>
    <t>Revektet kostnadsnøkkel, pensjon administrasjon</t>
  </si>
  <si>
    <t>Revektet beregning gjennomsnitt pensjon, administrasjon</t>
  </si>
  <si>
    <t>Beregning gjennomsnitt pensjon, lokal pg reg.utvikling, natur og miljø</t>
  </si>
  <si>
    <t>Revektingsgrunnlag lokal pg reg.utvikling, natur og miljø</t>
  </si>
  <si>
    <t>Utgiftsandel pensjon, lokal pg reg.utvikling, natur og miljø</t>
  </si>
  <si>
    <t>Revektet kostnadsnøkkel, pensjon lokal pg reg.utvikling, natur og miljø</t>
  </si>
  <si>
    <t>Revektet beregning gjennomsnitt pensjon, lokal pg reg.utvikling, natur og miljø</t>
  </si>
  <si>
    <t>Korr pensjon lokal pg reg.utvikling, natur og miljø vektet per innbygger</t>
  </si>
  <si>
    <t>Korr pensjon lokal pg reg.utvikling, natur og miljø vektet</t>
  </si>
  <si>
    <t>Beregning gjennomsnitt pensjon, næring</t>
  </si>
  <si>
    <t>Revektingsgrunnlag næring</t>
  </si>
  <si>
    <t>Utgiftsandel pensjon, næring</t>
  </si>
  <si>
    <t>Revektet kostnadsnøkkel, pensjon næring</t>
  </si>
  <si>
    <t>Revektet beregning gjennomsnitt pensjon, næring</t>
  </si>
  <si>
    <t>Beregning gjennomsnitt pensjon, kultur og idrett</t>
  </si>
  <si>
    <t>Revektingsgrunnlag kultur og idrett</t>
  </si>
  <si>
    <t>Utgiftsandel pensjon, kultur og idrett</t>
  </si>
  <si>
    <t>Revektet kostnadsnøkkel, pensjon kultur og idrett</t>
  </si>
  <si>
    <t>Revektet beregning gjennomsnitt pensjon, kultur og idrett</t>
  </si>
  <si>
    <t>Beregning gjennomsnitt pensjon, interkommunale samarbeid</t>
  </si>
  <si>
    <t>Revektingsgrunnlag interkommunale samarbeid</t>
  </si>
  <si>
    <t>Utgiftsandel pensjon, interkommunale samarbeid</t>
  </si>
  <si>
    <t>Revektet kostnadsnøkkel, pensjon interkommunale samarbeid</t>
  </si>
  <si>
    <t>Revektet beregning gjennomsnitt pensjon, interkommunale samarbeid</t>
  </si>
  <si>
    <t>Korr pensjon interkommunale samarbeid vektet per innbygger</t>
  </si>
  <si>
    <t>Korr pensjon interkommunale samarbeid vektet</t>
  </si>
  <si>
    <t>Beregning gjennomsnitt pensjon, tjenester utenfor</t>
  </si>
  <si>
    <t>Revektingsgrunnlag tjenester utenfor</t>
  </si>
  <si>
    <t>Utgiftsandel pensjon, tjenester utenfor</t>
  </si>
  <si>
    <t>Revektet kostnadsnøkkel, pensjon tjenester utenfor</t>
  </si>
  <si>
    <t>Revektet beregning gjennomsnitt pensjon, tjenester utenfor</t>
  </si>
  <si>
    <t>Korr pensjon tjenester utenfor vektet per innbygger</t>
  </si>
  <si>
    <t>Korr pensjon tjenester utenfor vektet</t>
  </si>
  <si>
    <t>Lønnsutgiftsbehov kroner per innbygger</t>
  </si>
  <si>
    <t>Indeks lønnsutgiftsbehov</t>
  </si>
  <si>
    <t>Beregning av gjennomsnittlig premieavvik</t>
  </si>
  <si>
    <t>Korreksjon premieavvik, kroner</t>
  </si>
  <si>
    <t>Nto driftsutg eks avskr, fellesutgifter, konsern</t>
  </si>
  <si>
    <t>Nto driftsutg eks avskr, eiendom, konsern</t>
  </si>
  <si>
    <t>TRØNDELAG</t>
  </si>
  <si>
    <t>Innbyggere 1.7.2018 korrigert</t>
  </si>
  <si>
    <t>ØSTFOLD ( - 2019)</t>
  </si>
  <si>
    <t>AKERSHUS ( - 2019)</t>
  </si>
  <si>
    <t>HEDMARK ( - 2019)</t>
  </si>
  <si>
    <t>OPPLAND ( - 2019)</t>
  </si>
  <si>
    <t>BUSKERUD ( - 2019)</t>
  </si>
  <si>
    <t>VESTFOLD ( - 2019)</t>
  </si>
  <si>
    <t>TELEMARK ( - 2019)</t>
  </si>
  <si>
    <t>AUST-AGDER ( - 2019)</t>
  </si>
  <si>
    <t>VEST-AGDER ( - 2019)</t>
  </si>
  <si>
    <t>HORDALAND ( - 2019)</t>
  </si>
  <si>
    <t>SOGN OG FJORDANE ( - 2019)</t>
  </si>
  <si>
    <t>TROMS ( - 2019)</t>
  </si>
  <si>
    <t>FINNMARK ( - 2019)</t>
  </si>
  <si>
    <t>VIKEN</t>
  </si>
  <si>
    <t>INNLANDET</t>
  </si>
  <si>
    <t>VESTFOLD OG TELEMARK</t>
  </si>
  <si>
    <t>AGDER</t>
  </si>
  <si>
    <t>VESTLAND</t>
  </si>
  <si>
    <t>TROMS OG FINNMARK</t>
  </si>
  <si>
    <t>Innbyggere 1.7.2021</t>
  </si>
  <si>
    <t>Innbyggere 1.7.2021 korrigert</t>
  </si>
  <si>
    <t>Innbyggere 01.07.2021</t>
  </si>
  <si>
    <t>Innbyggere 1.7.2022 korrigert</t>
  </si>
  <si>
    <t>Innbyggere 1.7.2022</t>
  </si>
  <si>
    <t>VESTFOLD OG TELEMRK</t>
  </si>
  <si>
    <t>Netto driftsutg., kollektiv (buss, bane og båt), konsern</t>
  </si>
  <si>
    <t>Netto driftsutg., ferge, konsern</t>
  </si>
  <si>
    <t>Ferge</t>
  </si>
  <si>
    <t>Innbyggere 1.7.2023 korrigert</t>
  </si>
  <si>
    <t>Innbyggere 1.7.2023</t>
  </si>
  <si>
    <t>Avskrivning, kollektiv (buss, bane og båt), konsern</t>
  </si>
  <si>
    <t>Avskrivning, ferge, konsern</t>
  </si>
  <si>
    <t>Nto driftsutg eks avskr, kollektiv (buss, bane og båt), konsern</t>
  </si>
  <si>
    <t>Nto driftsutg eks avskr, ferge, konsern</t>
  </si>
  <si>
    <t>Kollektiv (Buss, bane og båt)</t>
  </si>
  <si>
    <t>Lønnsgrunnlag, kollektiv (buss, bane og båt), konsern</t>
  </si>
  <si>
    <t>Lønnsgrunnlag, ferge, konsern</t>
  </si>
  <si>
    <t>Arbeidsgiveravgift, kollektiv (buss, bane og båt), konsern</t>
  </si>
  <si>
    <t>Arbeidsgiveravgift, ferge, konsern</t>
  </si>
  <si>
    <t>Pensjon, kollektiv (buss, bane og båt), konsern</t>
  </si>
  <si>
    <t>Pensjon, ferge, konsern</t>
  </si>
  <si>
    <t>Kostnadsindeks kollektiv (buss, bane og båt)</t>
  </si>
  <si>
    <t>Kostnadsindeks ferge</t>
  </si>
  <si>
    <t>Kollektiv (buss, bane og båt) uvektet</t>
  </si>
  <si>
    <t>Kollektiv (buss, bane og båt) vektet</t>
  </si>
  <si>
    <t>Kollektiv (buss, bane og båt) vektet per innbygger</t>
  </si>
  <si>
    <t>Ferge uvektet</t>
  </si>
  <si>
    <t>Ferge vektet</t>
  </si>
  <si>
    <t>Ferge vektet per innbygger</t>
  </si>
  <si>
    <t>Kollektiv (buss, bane og båt) vektet indeks</t>
  </si>
  <si>
    <t>Ferge vektet indeks</t>
  </si>
  <si>
    <t>Beregning gjennomsnitt pensjon, kollektiv (buss, bane og båt)</t>
  </si>
  <si>
    <t>Revektingsgrunnlag kollektiv (buss, bane og båt)</t>
  </si>
  <si>
    <t>Utgiftsandel pensjon, kollektiv (buss, bane og båt)</t>
  </si>
  <si>
    <t>Revektet kostnadsnøkkel, pensjonkollektiv (buss, bane og båt)</t>
  </si>
  <si>
    <t>Revektet beregning gjennomsnitt pensjon, kollektiv (buss, bane og båt)</t>
  </si>
  <si>
    <t>Korr pensjon kollektiv (buss, bane og båt) vektet per innbygger</t>
  </si>
  <si>
    <t>Korr pensjon kollektiv (buss, bane og båt) vektet</t>
  </si>
  <si>
    <t>Beregning gjennomsnitt pensjon, ferge</t>
  </si>
  <si>
    <t>Revektingsgrunnlag ferge</t>
  </si>
  <si>
    <t>Utgiftsandel pensjon, ferge</t>
  </si>
  <si>
    <t>Revektet kostnadsnøkkel, pensjon ferge</t>
  </si>
  <si>
    <t>Revektet beregning gjennomsnitt pensjon, ferge</t>
  </si>
  <si>
    <t>Korr pensjon ferge vektet per innbygger</t>
  </si>
  <si>
    <t>Korr pensjon ferge vektet</t>
  </si>
  <si>
    <t>Revektet kostnadsnøkkel, pensjon kollektiv (buss, bane og båt)</t>
  </si>
  <si>
    <t>Kollektiv (buss, bane og båt)</t>
  </si>
  <si>
    <t>Fergee</t>
  </si>
  <si>
    <t>Kollektiv (buss, bane og båt), konsern</t>
  </si>
  <si>
    <t>Ferge, konsern</t>
  </si>
  <si>
    <t>Brutto driftsutg eks avskr, kollektiv (buss, bane og båt), konsern</t>
  </si>
  <si>
    <t>Brutto driftsutg eks avskr, ferge, konsern</t>
  </si>
  <si>
    <t>Bto driftsutg eks avskr, kollektiv (buss, bane og båt), konsern</t>
  </si>
  <si>
    <t>Bto driftsutg eks avskr, ferge, konsern</t>
  </si>
  <si>
    <t>Kollektiv (buss, bane, båt)</t>
  </si>
  <si>
    <t>Korreksjon utg.behov kollektiv (buss, bane og båt), kr per innbygger</t>
  </si>
  <si>
    <t>Korreksjon utg.behov ferge, kr per innbygger</t>
  </si>
  <si>
    <t>Korreksjon arb.avgift kollektiv (buss, bane og båt)</t>
  </si>
  <si>
    <t>Korreksjon arb.avgift ferge</t>
  </si>
  <si>
    <t>Korreksjon pensjon kollektiv (buss, bane og båt)</t>
  </si>
  <si>
    <t>Korreksjon pensjon ferge</t>
  </si>
  <si>
    <t>Båt og ferge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</si>
</sst>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000"/>
    <numFmt numFmtId="166" formatCode="#,##0.000000"/>
    <numFmt numFmtId="167" formatCode="0.00000"/>
    <numFmt numFmtId="168" formatCode="0.0\ %"/>
    <numFmt numFmtId="169" formatCode="#,##0.0000"/>
    <numFmt numFmtId="170" formatCode="0.0000"/>
    <numFmt numFmtId="171" formatCode="0.000000"/>
    <numFmt numFmtId="172" formatCode="#,##0.0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30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Comic Sans MS"/>
      <family val="4"/>
    </font>
    <font>
      <i/>
      <sz val="9"/>
      <name val="Comic Sans MS"/>
      <family val="4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3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8" borderId="3" applyNumberFormat="0" applyAlignment="0" applyProtection="0"/>
    <xf numFmtId="0" fontId="14" fillId="0" borderId="4" applyNumberFormat="0" applyFill="0" applyAlignment="0" applyProtection="0"/>
    <xf numFmtId="164" fontId="4" fillId="0" borderId="0" applyFont="0" applyFill="0" applyBorder="0" applyAlignment="0" applyProtection="0"/>
    <xf numFmtId="0" fontId="15" fillId="18" borderId="5" applyNumberFormat="0" applyAlignment="0" applyProtection="0"/>
    <xf numFmtId="0" fontId="7" fillId="19" borderId="6" applyNumberFormat="0" applyFont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7" borderId="11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167" fontId="0" fillId="0" borderId="0" xfId="0" applyNumberFormat="1"/>
    <xf numFmtId="3" fontId="0" fillId="0" borderId="0" xfId="0" applyNumberFormat="1"/>
    <xf numFmtId="0" fontId="2" fillId="0" borderId="0" xfId="0" applyFont="1"/>
    <xf numFmtId="3" fontId="24" fillId="0" borderId="0" xfId="0" applyNumberFormat="1" applyFont="1"/>
    <xf numFmtId="167" fontId="0" fillId="27" borderId="0" xfId="0" applyNumberFormat="1" applyFill="1"/>
    <xf numFmtId="3" fontId="3" fillId="27" borderId="0" xfId="0" applyNumberFormat="1" applyFont="1" applyFill="1"/>
    <xf numFmtId="0" fontId="3" fillId="27" borderId="2" xfId="1" applyFill="1" applyBorder="1" applyAlignment="1">
      <alignment horizontal="center"/>
    </xf>
    <xf numFmtId="0" fontId="3" fillId="27" borderId="1" xfId="1" applyFill="1" applyBorder="1" applyAlignment="1">
      <alignment horizontal="center" wrapText="1"/>
    </xf>
    <xf numFmtId="3" fontId="0" fillId="0" borderId="13" xfId="0" applyNumberFormat="1" applyBorder="1"/>
    <xf numFmtId="0" fontId="0" fillId="26" borderId="14" xfId="0" applyFill="1" applyBorder="1" applyAlignment="1">
      <alignment horizontal="center" wrapText="1"/>
    </xf>
    <xf numFmtId="3" fontId="0" fillId="27" borderId="16" xfId="0" applyNumberFormat="1" applyFill="1" applyBorder="1"/>
    <xf numFmtId="3" fontId="0" fillId="27" borderId="0" xfId="0" applyNumberFormat="1" applyFill="1"/>
    <xf numFmtId="0" fontId="0" fillId="27" borderId="15" xfId="0" applyFill="1" applyBorder="1" applyAlignment="1">
      <alignment horizontal="center" wrapText="1"/>
    </xf>
    <xf numFmtId="0" fontId="0" fillId="27" borderId="1" xfId="0" applyFill="1" applyBorder="1" applyAlignment="1">
      <alignment horizontal="center" wrapText="1"/>
    </xf>
    <xf numFmtId="0" fontId="0" fillId="26" borderId="1" xfId="0" applyFill="1" applyBorder="1" applyAlignment="1">
      <alignment horizontal="center" wrapText="1"/>
    </xf>
    <xf numFmtId="0" fontId="0" fillId="27" borderId="0" xfId="0" applyFill="1"/>
    <xf numFmtId="3" fontId="0" fillId="0" borderId="2" xfId="0" applyNumberFormat="1" applyBorder="1"/>
    <xf numFmtId="0" fontId="0" fillId="0" borderId="2" xfId="0" applyBorder="1"/>
    <xf numFmtId="0" fontId="3" fillId="2" borderId="1" xfId="1" applyFill="1" applyBorder="1" applyAlignment="1">
      <alignment horizontal="center" wrapText="1"/>
    </xf>
    <xf numFmtId="3" fontId="2" fillId="0" borderId="0" xfId="0" applyNumberFormat="1" applyFont="1"/>
    <xf numFmtId="3" fontId="0" fillId="0" borderId="17" xfId="0" applyNumberFormat="1" applyBorder="1"/>
    <xf numFmtId="3" fontId="0" fillId="27" borderId="18" xfId="0" applyNumberFormat="1" applyFill="1" applyBorder="1"/>
    <xf numFmtId="0" fontId="0" fillId="0" borderId="23" xfId="0" applyBorder="1"/>
    <xf numFmtId="3" fontId="0" fillId="0" borderId="19" xfId="0" applyNumberFormat="1" applyBorder="1"/>
    <xf numFmtId="3" fontId="0" fillId="0" borderId="12" xfId="0" applyNumberFormat="1" applyBorder="1"/>
    <xf numFmtId="3" fontId="0" fillId="27" borderId="12" xfId="0" applyNumberFormat="1" applyFill="1" applyBorder="1"/>
    <xf numFmtId="0" fontId="0" fillId="0" borderId="24" xfId="0" applyBorder="1"/>
    <xf numFmtId="0" fontId="0" fillId="0" borderId="22" xfId="0" applyBorder="1"/>
    <xf numFmtId="3" fontId="0" fillId="27" borderId="20" xfId="0" applyNumberFormat="1" applyFill="1" applyBorder="1"/>
    <xf numFmtId="0" fontId="0" fillId="26" borderId="2" xfId="0" applyFill="1" applyBorder="1" applyAlignment="1">
      <alignment horizontal="center" wrapText="1"/>
    </xf>
    <xf numFmtId="0" fontId="0" fillId="27" borderId="2" xfId="0" applyFill="1" applyBorder="1" applyAlignment="1">
      <alignment horizontal="center" wrapText="1"/>
    </xf>
    <xf numFmtId="0" fontId="0" fillId="27" borderId="18" xfId="0" applyFill="1" applyBorder="1" applyAlignment="1">
      <alignment horizontal="center" wrapText="1"/>
    </xf>
    <xf numFmtId="0" fontId="0" fillId="26" borderId="21" xfId="0" applyFill="1" applyBorder="1"/>
    <xf numFmtId="0" fontId="0" fillId="26" borderId="22" xfId="0" applyFill="1" applyBorder="1"/>
    <xf numFmtId="3" fontId="0" fillId="27" borderId="2" xfId="0" applyNumberFormat="1" applyFill="1" applyBorder="1"/>
    <xf numFmtId="0" fontId="0" fillId="26" borderId="17" xfId="0" applyFill="1" applyBorder="1" applyAlignment="1">
      <alignment horizontal="center" wrapText="1"/>
    </xf>
    <xf numFmtId="0" fontId="25" fillId="0" borderId="0" xfId="0" applyFont="1"/>
    <xf numFmtId="165" fontId="3" fillId="0" borderId="0" xfId="31" applyNumberFormat="1" applyFont="1" applyAlignment="1">
      <alignment horizontal="left"/>
    </xf>
    <xf numFmtId="3" fontId="3" fillId="0" borderId="0" xfId="31" applyNumberFormat="1" applyFont="1"/>
    <xf numFmtId="0" fontId="7" fillId="0" borderId="0" xfId="31"/>
    <xf numFmtId="168" fontId="0" fillId="0" borderId="0" xfId="0" applyNumberFormat="1"/>
    <xf numFmtId="0" fontId="3" fillId="28" borderId="1" xfId="1" applyFill="1" applyBorder="1" applyAlignment="1">
      <alignment horizontal="center" wrapText="1"/>
    </xf>
    <xf numFmtId="0" fontId="3" fillId="28" borderId="2" xfId="1" applyFill="1" applyBorder="1" applyAlignment="1">
      <alignment horizontal="center"/>
    </xf>
    <xf numFmtId="0" fontId="0" fillId="28" borderId="0" xfId="0" applyFill="1"/>
    <xf numFmtId="3" fontId="3" fillId="28" borderId="0" xfId="0" applyNumberFormat="1" applyFont="1" applyFill="1"/>
    <xf numFmtId="167" fontId="0" fillId="28" borderId="0" xfId="0" applyNumberFormat="1" applyFill="1"/>
    <xf numFmtId="3" fontId="0" fillId="29" borderId="0" xfId="0" applyNumberFormat="1" applyFill="1"/>
    <xf numFmtId="0" fontId="26" fillId="2" borderId="2" xfId="0" applyFont="1" applyFill="1" applyBorder="1" applyAlignment="1">
      <alignment horizontal="center" wrapText="1"/>
    </xf>
    <xf numFmtId="10" fontId="27" fillId="30" borderId="0" xfId="38" applyNumberFormat="1" applyFont="1" applyFill="1"/>
    <xf numFmtId="3" fontId="0" fillId="0" borderId="0" xfId="0" applyNumberFormat="1" applyAlignment="1">
      <alignment horizontal="center"/>
    </xf>
    <xf numFmtId="0" fontId="0" fillId="0" borderId="0" xfId="0" quotePrefix="1"/>
    <xf numFmtId="169" fontId="0" fillId="0" borderId="0" xfId="0" applyNumberFormat="1"/>
    <xf numFmtId="0" fontId="0" fillId="31" borderId="22" xfId="0" applyFill="1" applyBorder="1"/>
    <xf numFmtId="0" fontId="0" fillId="0" borderId="13" xfId="0" applyBorder="1"/>
    <xf numFmtId="0" fontId="0" fillId="0" borderId="17" xfId="0" applyBorder="1"/>
    <xf numFmtId="3" fontId="0" fillId="27" borderId="21" xfId="0" applyNumberFormat="1" applyFill="1" applyBorder="1"/>
    <xf numFmtId="3" fontId="0" fillId="27" borderId="24" xfId="0" applyNumberFormat="1" applyFill="1" applyBorder="1"/>
    <xf numFmtId="3" fontId="0" fillId="27" borderId="22" xfId="0" applyNumberFormat="1" applyFill="1" applyBorder="1"/>
    <xf numFmtId="0" fontId="0" fillId="26" borderId="15" xfId="0" applyFill="1" applyBorder="1" applyAlignment="1">
      <alignment horizontal="center" wrapText="1"/>
    </xf>
    <xf numFmtId="170" fontId="0" fillId="0" borderId="16" xfId="0" applyNumberFormat="1" applyBorder="1"/>
    <xf numFmtId="170" fontId="0" fillId="0" borderId="18" xfId="0" applyNumberFormat="1" applyBorder="1"/>
    <xf numFmtId="170" fontId="0" fillId="0" borderId="13" xfId="0" applyNumberFormat="1" applyBorder="1"/>
    <xf numFmtId="170" fontId="0" fillId="0" borderId="17" xfId="0" applyNumberFormat="1" applyBorder="1"/>
    <xf numFmtId="0" fontId="28" fillId="0" borderId="0" xfId="0" applyFont="1"/>
    <xf numFmtId="0" fontId="0" fillId="26" borderId="23" xfId="0" applyFill="1" applyBorder="1"/>
    <xf numFmtId="3" fontId="0" fillId="0" borderId="24" xfId="0" applyNumberFormat="1" applyBorder="1"/>
    <xf numFmtId="3" fontId="0" fillId="0" borderId="22" xfId="0" applyNumberFormat="1" applyBorder="1"/>
    <xf numFmtId="0" fontId="0" fillId="26" borderId="23" xfId="0" applyFill="1" applyBorder="1" applyAlignment="1">
      <alignment horizontal="center" wrapText="1"/>
    </xf>
    <xf numFmtId="0" fontId="0" fillId="26" borderId="14" xfId="0" applyFill="1" applyBorder="1"/>
    <xf numFmtId="0" fontId="0" fillId="26" borderId="17" xfId="0" applyFill="1" applyBorder="1"/>
    <xf numFmtId="0" fontId="25" fillId="25" borderId="0" xfId="0" applyFont="1" applyFill="1"/>
    <xf numFmtId="0" fontId="0" fillId="0" borderId="19" xfId="0" applyBorder="1"/>
    <xf numFmtId="170" fontId="0" fillId="0" borderId="19" xfId="0" applyNumberFormat="1" applyBorder="1"/>
    <xf numFmtId="170" fontId="0" fillId="0" borderId="20" xfId="0" applyNumberFormat="1" applyBorder="1"/>
    <xf numFmtId="0" fontId="24" fillId="26" borderId="24" xfId="0" applyFont="1" applyFill="1" applyBorder="1"/>
    <xf numFmtId="3" fontId="24" fillId="26" borderId="0" xfId="0" applyNumberFormat="1" applyFont="1" applyFill="1" applyAlignment="1">
      <alignment horizontal="right" wrapText="1"/>
    </xf>
    <xf numFmtId="3" fontId="24" fillId="27" borderId="0" xfId="0" applyNumberFormat="1" applyFont="1" applyFill="1"/>
    <xf numFmtId="3" fontId="24" fillId="27" borderId="16" xfId="0" applyNumberFormat="1" applyFont="1" applyFill="1" applyBorder="1"/>
    <xf numFmtId="3" fontId="24" fillId="26" borderId="14" xfId="0" applyNumberFormat="1" applyFont="1" applyFill="1" applyBorder="1" applyAlignment="1">
      <alignment horizontal="right" wrapText="1"/>
    </xf>
    <xf numFmtId="3" fontId="24" fillId="27" borderId="0" xfId="0" applyNumberFormat="1" applyFont="1" applyFill="1" applyAlignment="1">
      <alignment horizontal="right" wrapText="1"/>
    </xf>
    <xf numFmtId="3" fontId="24" fillId="26" borderId="13" xfId="0" applyNumberFormat="1" applyFont="1" applyFill="1" applyBorder="1" applyAlignment="1">
      <alignment horizontal="right" wrapText="1"/>
    </xf>
    <xf numFmtId="3" fontId="24" fillId="27" borderId="16" xfId="0" applyNumberFormat="1" applyFont="1" applyFill="1" applyBorder="1" applyAlignment="1">
      <alignment horizontal="right" wrapText="1"/>
    </xf>
    <xf numFmtId="171" fontId="0" fillId="0" borderId="0" xfId="0" applyNumberFormat="1"/>
    <xf numFmtId="165" fontId="25" fillId="25" borderId="0" xfId="0" applyNumberFormat="1" applyFont="1" applyFill="1" applyProtection="1">
      <protection locked="0"/>
    </xf>
    <xf numFmtId="3" fontId="0" fillId="0" borderId="0" xfId="0" applyNumberFormat="1" applyAlignment="1">
      <alignment horizontal="right"/>
    </xf>
    <xf numFmtId="3" fontId="0" fillId="27" borderId="0" xfId="0" applyNumberFormat="1" applyFill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27" borderId="16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7" borderId="2" xfId="0" applyNumberForma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quotePrefix="1" applyNumberFormat="1"/>
    <xf numFmtId="3" fontId="0" fillId="0" borderId="21" xfId="0" applyNumberFormat="1" applyBorder="1"/>
    <xf numFmtId="10" fontId="0" fillId="0" borderId="0" xfId="0" applyNumberFormat="1"/>
    <xf numFmtId="3" fontId="3" fillId="0" borderId="0" xfId="0" applyNumberFormat="1" applyFont="1" applyAlignment="1">
      <alignment horizontal="right"/>
    </xf>
    <xf numFmtId="172" fontId="0" fillId="0" borderId="0" xfId="0" applyNumberFormat="1"/>
    <xf numFmtId="0" fontId="25" fillId="25" borderId="0" xfId="0" applyFont="1" applyFill="1" applyAlignment="1">
      <alignment horizontal="center"/>
    </xf>
    <xf numFmtId="0" fontId="3" fillId="29" borderId="1" xfId="1" applyFill="1" applyBorder="1" applyAlignment="1">
      <alignment horizontal="center" wrapText="1"/>
    </xf>
    <xf numFmtId="0" fontId="3" fillId="29" borderId="2" xfId="1" applyFill="1" applyBorder="1" applyAlignment="1">
      <alignment horizontal="center"/>
    </xf>
    <xf numFmtId="0" fontId="28" fillId="31" borderId="0" xfId="0" applyFont="1" applyFill="1"/>
    <xf numFmtId="0" fontId="25" fillId="31" borderId="0" xfId="0" applyFont="1" applyFill="1"/>
    <xf numFmtId="0" fontId="0" fillId="31" borderId="0" xfId="0" applyFill="1"/>
    <xf numFmtId="0" fontId="29" fillId="31" borderId="0" xfId="0" applyFont="1" applyFill="1"/>
    <xf numFmtId="0" fontId="3" fillId="2" borderId="2" xfId="1" applyFill="1" applyBorder="1" applyAlignment="1">
      <alignment horizontal="center"/>
    </xf>
    <xf numFmtId="0" fontId="30" fillId="0" borderId="0" xfId="0" applyFont="1"/>
    <xf numFmtId="0" fontId="3" fillId="0" borderId="1" xfId="1" applyBorder="1" applyAlignment="1">
      <alignment horizontal="center" wrapText="1"/>
    </xf>
    <xf numFmtId="0" fontId="3" fillId="0" borderId="2" xfId="1" applyBorder="1" applyAlignment="1">
      <alignment horizontal="center"/>
    </xf>
    <xf numFmtId="0" fontId="3" fillId="2" borderId="0" xfId="1" applyFill="1" applyAlignment="1">
      <alignment horizontal="center" wrapText="1"/>
    </xf>
    <xf numFmtId="0" fontId="24" fillId="0" borderId="0" xfId="0" applyFont="1"/>
    <xf numFmtId="166" fontId="0" fillId="0" borderId="0" xfId="0" applyNumberFormat="1"/>
    <xf numFmtId="0" fontId="3" fillId="2" borderId="0" xfId="1" applyFill="1" applyAlignment="1">
      <alignment horizontal="center"/>
    </xf>
    <xf numFmtId="165" fontId="25" fillId="31" borderId="0" xfId="0" applyNumberFormat="1" applyFont="1" applyFill="1"/>
    <xf numFmtId="3" fontId="31" fillId="0" borderId="0" xfId="0" applyNumberFormat="1" applyFont="1"/>
    <xf numFmtId="3" fontId="31" fillId="25" borderId="0" xfId="0" applyNumberFormat="1" applyFont="1" applyFill="1"/>
    <xf numFmtId="3" fontId="32" fillId="25" borderId="0" xfId="0" applyNumberFormat="1" applyFont="1" applyFill="1"/>
    <xf numFmtId="0" fontId="25" fillId="33" borderId="0" xfId="0" applyFont="1" applyFill="1"/>
    <xf numFmtId="0" fontId="0" fillId="33" borderId="0" xfId="0" applyFill="1"/>
    <xf numFmtId="0" fontId="25" fillId="31" borderId="0" xfId="0" applyFont="1" applyFill="1"/>
    <xf numFmtId="0" fontId="0" fillId="31" borderId="0" xfId="0" applyFill="1"/>
    <xf numFmtId="0" fontId="0" fillId="0" borderId="2" xfId="0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3" fillId="2" borderId="12" xfId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20% - uthevingsfarge 1 2" xfId="3" xr:uid="{00000000-0005-0000-0000-000000000000}"/>
    <cellStyle name="20% - uthevingsfarge 2 2" xfId="4" xr:uid="{00000000-0005-0000-0000-000001000000}"/>
    <cellStyle name="20% - uthevingsfarge 3 2" xfId="5" xr:uid="{00000000-0005-0000-0000-000002000000}"/>
    <cellStyle name="20% - uthevingsfarge 4 2" xfId="6" xr:uid="{00000000-0005-0000-0000-000003000000}"/>
    <cellStyle name="20% - uthevingsfarge 5 2" xfId="7" xr:uid="{00000000-0005-0000-0000-000004000000}"/>
    <cellStyle name="20% - uthevingsfarge 6 2" xfId="8" xr:uid="{00000000-0005-0000-0000-000005000000}"/>
    <cellStyle name="40% - uthevingsfarge 1 2" xfId="9" xr:uid="{00000000-0005-0000-0000-000006000000}"/>
    <cellStyle name="40% - uthevingsfarge 2 2" xfId="10" xr:uid="{00000000-0005-0000-0000-000007000000}"/>
    <cellStyle name="40% - uthevingsfarge 3 2" xfId="11" xr:uid="{00000000-0005-0000-0000-000008000000}"/>
    <cellStyle name="40% - uthevingsfarge 4 2" xfId="12" xr:uid="{00000000-0005-0000-0000-000009000000}"/>
    <cellStyle name="40% - uthevingsfarge 5 2" xfId="13" xr:uid="{00000000-0005-0000-0000-00000A000000}"/>
    <cellStyle name="40% - uthevingsfarge 6 2" xfId="14" xr:uid="{00000000-0005-0000-0000-00000B000000}"/>
    <cellStyle name="60% - uthevingsfarge 1 2" xfId="15" xr:uid="{00000000-0005-0000-0000-00000C000000}"/>
    <cellStyle name="60% - uthevingsfarge 2 2" xfId="16" xr:uid="{00000000-0005-0000-0000-00000D000000}"/>
    <cellStyle name="60% - uthevingsfarge 3 2" xfId="17" xr:uid="{00000000-0005-0000-0000-00000E000000}"/>
    <cellStyle name="60% - uthevingsfarge 4 2" xfId="18" xr:uid="{00000000-0005-0000-0000-00000F000000}"/>
    <cellStyle name="60% - uthevingsfarge 5 2" xfId="19" xr:uid="{00000000-0005-0000-0000-000010000000}"/>
    <cellStyle name="60% - uthevingsfarge 6 2" xfId="20" xr:uid="{00000000-0005-0000-0000-000011000000}"/>
    <cellStyle name="Beregning 2" xfId="21" xr:uid="{00000000-0005-0000-0000-000012000000}"/>
    <cellStyle name="Dårlig 2" xfId="22" xr:uid="{00000000-0005-0000-0000-000013000000}"/>
    <cellStyle name="Forklarende tekst 2" xfId="23" xr:uid="{00000000-0005-0000-0000-000014000000}"/>
    <cellStyle name="God 2" xfId="24" xr:uid="{00000000-0005-0000-0000-000015000000}"/>
    <cellStyle name="Hyperkobling 2" xfId="25" xr:uid="{00000000-0005-0000-0000-000016000000}"/>
    <cellStyle name="Inndata 2" xfId="26" xr:uid="{00000000-0005-0000-0000-000017000000}"/>
    <cellStyle name="Koblet celle 2" xfId="27" xr:uid="{00000000-0005-0000-0000-000018000000}"/>
    <cellStyle name="Komma 2" xfId="28" xr:uid="{00000000-0005-0000-0000-000019000000}"/>
    <cellStyle name="Kontrollcelle 2" xfId="29" xr:uid="{00000000-0005-0000-0000-00001A000000}"/>
    <cellStyle name="Merknad 2" xfId="30" xr:uid="{00000000-0005-0000-0000-00001B000000}"/>
    <cellStyle name="Normal" xfId="0" builtinId="0"/>
    <cellStyle name="Normal 2" xfId="31" xr:uid="{00000000-0005-0000-0000-00001D000000}"/>
    <cellStyle name="Normal 3" xfId="32" xr:uid="{00000000-0005-0000-0000-00001E000000}"/>
    <cellStyle name="Normal 4" xfId="50" xr:uid="{00000000-0005-0000-0000-00001F000000}"/>
    <cellStyle name="Normal 5" xfId="2" xr:uid="{00000000-0005-0000-0000-000020000000}"/>
    <cellStyle name="Normal_Krit97" xfId="1" xr:uid="{00000000-0005-0000-0000-000021000000}"/>
    <cellStyle name="Nøytral 2" xfId="33" xr:uid="{00000000-0005-0000-0000-000022000000}"/>
    <cellStyle name="Overskrift 1 2" xfId="34" xr:uid="{00000000-0005-0000-0000-000023000000}"/>
    <cellStyle name="Overskrift 2 2" xfId="35" xr:uid="{00000000-0005-0000-0000-000024000000}"/>
    <cellStyle name="Overskrift 3 2" xfId="36" xr:uid="{00000000-0005-0000-0000-000025000000}"/>
    <cellStyle name="Overskrift 4 2" xfId="37" xr:uid="{00000000-0005-0000-0000-000026000000}"/>
    <cellStyle name="Prosent 2" xfId="38" xr:uid="{00000000-0005-0000-0000-000027000000}"/>
    <cellStyle name="times" xfId="39" xr:uid="{00000000-0005-0000-0000-000028000000}"/>
    <cellStyle name="Tittel 2" xfId="40" xr:uid="{00000000-0005-0000-0000-000029000000}"/>
    <cellStyle name="Totalt 2" xfId="41" xr:uid="{00000000-0005-0000-0000-00002A000000}"/>
    <cellStyle name="Utdata 2" xfId="42" xr:uid="{00000000-0005-0000-0000-00002B000000}"/>
    <cellStyle name="Uthevingsfarge1 2" xfId="43" xr:uid="{00000000-0005-0000-0000-00002C000000}"/>
    <cellStyle name="Uthevingsfarge2 2" xfId="44" xr:uid="{00000000-0005-0000-0000-00002D000000}"/>
    <cellStyle name="Uthevingsfarge3 2" xfId="45" xr:uid="{00000000-0005-0000-0000-00002E000000}"/>
    <cellStyle name="Uthevingsfarge4 2" xfId="46" xr:uid="{00000000-0005-0000-0000-00002F000000}"/>
    <cellStyle name="Uthevingsfarge5 2" xfId="47" xr:uid="{00000000-0005-0000-0000-000030000000}"/>
    <cellStyle name="Uthevingsfarge6 2" xfId="48" xr:uid="{00000000-0005-0000-0000-000031000000}"/>
    <cellStyle name="Varseltekst 2" xfId="49" xr:uid="{00000000-0005-0000-0000-00003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6.xml"/><Relationship Id="rId21" Type="http://schemas.openxmlformats.org/officeDocument/2006/relationships/worksheet" Target="worksheets/sheet11.xml"/><Relationship Id="rId42" Type="http://schemas.openxmlformats.org/officeDocument/2006/relationships/worksheet" Target="worksheets/sheet32.xml"/><Relationship Id="rId47" Type="http://schemas.openxmlformats.org/officeDocument/2006/relationships/worksheet" Target="worksheets/sheet37.xml"/><Relationship Id="rId63" Type="http://schemas.openxmlformats.org/officeDocument/2006/relationships/worksheet" Target="worksheets/sheet53.xml"/><Relationship Id="rId68" Type="http://schemas.openxmlformats.org/officeDocument/2006/relationships/worksheet" Target="worksheets/sheet58.xml"/><Relationship Id="rId84" Type="http://schemas.openxmlformats.org/officeDocument/2006/relationships/customXml" Target="../customXml/item1.xml"/><Relationship Id="rId16" Type="http://schemas.openxmlformats.org/officeDocument/2006/relationships/worksheet" Target="worksheets/sheet6.xml"/><Relationship Id="rId11" Type="http://schemas.openxmlformats.org/officeDocument/2006/relationships/chartsheet" Target="chartsheets/sheet10.xml"/><Relationship Id="rId32" Type="http://schemas.openxmlformats.org/officeDocument/2006/relationships/worksheet" Target="worksheets/sheet22.xml"/><Relationship Id="rId37" Type="http://schemas.openxmlformats.org/officeDocument/2006/relationships/worksheet" Target="worksheets/sheet27.xml"/><Relationship Id="rId53" Type="http://schemas.openxmlformats.org/officeDocument/2006/relationships/worksheet" Target="worksheets/sheet43.xml"/><Relationship Id="rId58" Type="http://schemas.openxmlformats.org/officeDocument/2006/relationships/worksheet" Target="worksheets/sheet48.xml"/><Relationship Id="rId74" Type="http://schemas.openxmlformats.org/officeDocument/2006/relationships/worksheet" Target="worksheets/sheet64.xml"/><Relationship Id="rId79" Type="http://schemas.openxmlformats.org/officeDocument/2006/relationships/externalLink" Target="externalLinks/externalLink2.xml"/><Relationship Id="rId5" Type="http://schemas.openxmlformats.org/officeDocument/2006/relationships/chartsheet" Target="chartsheets/sheet4.xml"/><Relationship Id="rId19" Type="http://schemas.openxmlformats.org/officeDocument/2006/relationships/worksheet" Target="worksheets/sheet9.xml"/><Relationship Id="rId14" Type="http://schemas.openxmlformats.org/officeDocument/2006/relationships/worksheet" Target="worksheets/sheet4.xml"/><Relationship Id="rId22" Type="http://schemas.openxmlformats.org/officeDocument/2006/relationships/worksheet" Target="worksheets/sheet12.xml"/><Relationship Id="rId27" Type="http://schemas.openxmlformats.org/officeDocument/2006/relationships/worksheet" Target="worksheets/sheet17.xml"/><Relationship Id="rId30" Type="http://schemas.openxmlformats.org/officeDocument/2006/relationships/worksheet" Target="worksheets/sheet20.xml"/><Relationship Id="rId35" Type="http://schemas.openxmlformats.org/officeDocument/2006/relationships/worksheet" Target="worksheets/sheet25.xml"/><Relationship Id="rId43" Type="http://schemas.openxmlformats.org/officeDocument/2006/relationships/worksheet" Target="worksheets/sheet33.xml"/><Relationship Id="rId48" Type="http://schemas.openxmlformats.org/officeDocument/2006/relationships/worksheet" Target="worksheets/sheet38.xml"/><Relationship Id="rId56" Type="http://schemas.openxmlformats.org/officeDocument/2006/relationships/worksheet" Target="worksheets/sheet46.xml"/><Relationship Id="rId64" Type="http://schemas.openxmlformats.org/officeDocument/2006/relationships/worksheet" Target="worksheets/sheet54.xml"/><Relationship Id="rId69" Type="http://schemas.openxmlformats.org/officeDocument/2006/relationships/worksheet" Target="worksheets/sheet59.xml"/><Relationship Id="rId77" Type="http://schemas.openxmlformats.org/officeDocument/2006/relationships/worksheet" Target="worksheets/sheet67.xml"/><Relationship Id="rId8" Type="http://schemas.openxmlformats.org/officeDocument/2006/relationships/chartsheet" Target="chartsheets/sheet7.xml"/><Relationship Id="rId51" Type="http://schemas.openxmlformats.org/officeDocument/2006/relationships/worksheet" Target="worksheets/sheet41.xml"/><Relationship Id="rId72" Type="http://schemas.openxmlformats.org/officeDocument/2006/relationships/worksheet" Target="worksheets/sheet6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7.xml"/><Relationship Id="rId25" Type="http://schemas.openxmlformats.org/officeDocument/2006/relationships/worksheet" Target="worksheets/sheet15.xml"/><Relationship Id="rId33" Type="http://schemas.openxmlformats.org/officeDocument/2006/relationships/worksheet" Target="worksheets/sheet23.xml"/><Relationship Id="rId38" Type="http://schemas.openxmlformats.org/officeDocument/2006/relationships/worksheet" Target="worksheets/sheet28.xml"/><Relationship Id="rId46" Type="http://schemas.openxmlformats.org/officeDocument/2006/relationships/worksheet" Target="worksheets/sheet36.xml"/><Relationship Id="rId59" Type="http://schemas.openxmlformats.org/officeDocument/2006/relationships/worksheet" Target="worksheets/sheet49.xml"/><Relationship Id="rId67" Type="http://schemas.openxmlformats.org/officeDocument/2006/relationships/worksheet" Target="worksheets/sheet57.xml"/><Relationship Id="rId20" Type="http://schemas.openxmlformats.org/officeDocument/2006/relationships/worksheet" Target="worksheets/sheet10.xml"/><Relationship Id="rId41" Type="http://schemas.openxmlformats.org/officeDocument/2006/relationships/worksheet" Target="worksheets/sheet31.xml"/><Relationship Id="rId54" Type="http://schemas.openxmlformats.org/officeDocument/2006/relationships/worksheet" Target="worksheets/sheet44.xml"/><Relationship Id="rId62" Type="http://schemas.openxmlformats.org/officeDocument/2006/relationships/worksheet" Target="worksheets/sheet52.xml"/><Relationship Id="rId70" Type="http://schemas.openxmlformats.org/officeDocument/2006/relationships/worksheet" Target="worksheets/sheet60.xml"/><Relationship Id="rId75" Type="http://schemas.openxmlformats.org/officeDocument/2006/relationships/worksheet" Target="worksheets/sheet6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13.xml"/><Relationship Id="rId28" Type="http://schemas.openxmlformats.org/officeDocument/2006/relationships/worksheet" Target="worksheets/sheet18.xml"/><Relationship Id="rId36" Type="http://schemas.openxmlformats.org/officeDocument/2006/relationships/worksheet" Target="worksheets/sheet26.xml"/><Relationship Id="rId49" Type="http://schemas.openxmlformats.org/officeDocument/2006/relationships/worksheet" Target="worksheets/sheet39.xml"/><Relationship Id="rId57" Type="http://schemas.openxmlformats.org/officeDocument/2006/relationships/worksheet" Target="worksheets/sheet47.xml"/><Relationship Id="rId10" Type="http://schemas.openxmlformats.org/officeDocument/2006/relationships/chartsheet" Target="chartsheets/sheet9.xml"/><Relationship Id="rId31" Type="http://schemas.openxmlformats.org/officeDocument/2006/relationships/worksheet" Target="worksheets/sheet21.xml"/><Relationship Id="rId44" Type="http://schemas.openxmlformats.org/officeDocument/2006/relationships/worksheet" Target="worksheets/sheet34.xml"/><Relationship Id="rId52" Type="http://schemas.openxmlformats.org/officeDocument/2006/relationships/worksheet" Target="worksheets/sheet42.xml"/><Relationship Id="rId60" Type="http://schemas.openxmlformats.org/officeDocument/2006/relationships/worksheet" Target="worksheets/sheet50.xml"/><Relationship Id="rId65" Type="http://schemas.openxmlformats.org/officeDocument/2006/relationships/worksheet" Target="worksheets/sheet55.xml"/><Relationship Id="rId73" Type="http://schemas.openxmlformats.org/officeDocument/2006/relationships/worksheet" Target="worksheets/sheet63.xml"/><Relationship Id="rId78" Type="http://schemas.openxmlformats.org/officeDocument/2006/relationships/externalLink" Target="externalLinks/externalLink1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3" Type="http://schemas.openxmlformats.org/officeDocument/2006/relationships/worksheet" Target="worksheets/sheet3.xml"/><Relationship Id="rId18" Type="http://schemas.openxmlformats.org/officeDocument/2006/relationships/worksheet" Target="worksheets/sheet8.xml"/><Relationship Id="rId39" Type="http://schemas.openxmlformats.org/officeDocument/2006/relationships/worksheet" Target="worksheets/sheet29.xml"/><Relationship Id="rId34" Type="http://schemas.openxmlformats.org/officeDocument/2006/relationships/worksheet" Target="worksheets/sheet24.xml"/><Relationship Id="rId50" Type="http://schemas.openxmlformats.org/officeDocument/2006/relationships/worksheet" Target="worksheets/sheet40.xml"/><Relationship Id="rId55" Type="http://schemas.openxmlformats.org/officeDocument/2006/relationships/worksheet" Target="worksheets/sheet45.xml"/><Relationship Id="rId76" Type="http://schemas.openxmlformats.org/officeDocument/2006/relationships/worksheet" Target="worksheets/sheet66.xml"/><Relationship Id="rId7" Type="http://schemas.openxmlformats.org/officeDocument/2006/relationships/chartsheet" Target="chartsheets/sheet6.xml"/><Relationship Id="rId71" Type="http://schemas.openxmlformats.org/officeDocument/2006/relationships/worksheet" Target="worksheets/sheet61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9.xml"/><Relationship Id="rId24" Type="http://schemas.openxmlformats.org/officeDocument/2006/relationships/worksheet" Target="worksheets/sheet14.xml"/><Relationship Id="rId40" Type="http://schemas.openxmlformats.org/officeDocument/2006/relationships/worksheet" Target="worksheets/sheet30.xml"/><Relationship Id="rId45" Type="http://schemas.openxmlformats.org/officeDocument/2006/relationships/worksheet" Target="worksheets/sheet35.xml"/><Relationship Id="rId66" Type="http://schemas.openxmlformats.org/officeDocument/2006/relationships/worksheet" Target="worksheets/sheet56.xml"/><Relationship Id="rId61" Type="http://schemas.openxmlformats.org/officeDocument/2006/relationships/worksheet" Target="worksheets/sheet51.xml"/><Relationship Id="rId8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Slik ser fylkeskommunens ressursbruk ut - rapporterte tall KOSTRA</a:t>
            </a:r>
            <a:br>
              <a:rPr lang="en-US"/>
            </a:br>
            <a:r>
              <a:rPr lang="en-US"/>
              <a:t>sammenlignet med landsgjennomsnitt(=0), (kroner per innbygger)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2021'!$B$75:$B$86</c:f>
              <c:strCache>
                <c:ptCount val="12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  <c:pt idx="8">
                  <c:v>Tjenester utenfor inntsys</c:v>
                </c:pt>
                <c:pt idx="9">
                  <c:v>Premieavvik</c:v>
                </c:pt>
                <c:pt idx="10">
                  <c:v>Netto finans og avdrag</c:v>
                </c:pt>
                <c:pt idx="11">
                  <c:v>Netto driftsresultat</c:v>
                </c:pt>
              </c:strCache>
            </c:strRef>
          </c:cat>
          <c:val>
            <c:numRef>
              <c:f>'Tabeller fylkesko 2021'!$C$75:$C$86</c:f>
              <c:numCache>
                <c:formatCode>#,##0</c:formatCode>
                <c:ptCount val="12"/>
                <c:pt idx="0">
                  <c:v>892.61869524919052</c:v>
                </c:pt>
                <c:pt idx="1">
                  <c:v>279.96210334184252</c:v>
                </c:pt>
                <c:pt idx="2">
                  <c:v>548.60199168170948</c:v>
                </c:pt>
                <c:pt idx="5">
                  <c:v>-476.17426313965007</c:v>
                </c:pt>
                <c:pt idx="6">
                  <c:v>-13.499589419728864</c:v>
                </c:pt>
                <c:pt idx="7">
                  <c:v>86.683905502686571</c:v>
                </c:pt>
                <c:pt idx="8">
                  <c:v>390.77701987943078</c:v>
                </c:pt>
                <c:pt idx="9">
                  <c:v>16.102122118508078</c:v>
                </c:pt>
                <c:pt idx="10">
                  <c:v>469.61927057867376</c:v>
                </c:pt>
                <c:pt idx="11">
                  <c:v>-409.45386529428174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4-48F5-B880-B923CD8162CD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2021'!$B$75:$B$86</c:f>
              <c:strCache>
                <c:ptCount val="12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  <c:pt idx="8">
                  <c:v>Tjenester utenfor inntsys</c:v>
                </c:pt>
                <c:pt idx="9">
                  <c:v>Premieavvik</c:v>
                </c:pt>
                <c:pt idx="10">
                  <c:v>Netto finans og avdrag</c:v>
                </c:pt>
                <c:pt idx="11">
                  <c:v>Netto driftsresultat</c:v>
                </c:pt>
              </c:strCache>
            </c:strRef>
          </c:cat>
          <c:val>
            <c:numRef>
              <c:f>'Tabeller fylkesko 2022'!$C$75:$C$86</c:f>
              <c:numCache>
                <c:formatCode>#,##0</c:formatCode>
                <c:ptCount val="12"/>
                <c:pt idx="0">
                  <c:v>773.75400808052427</c:v>
                </c:pt>
                <c:pt idx="1">
                  <c:v>110.70418404593602</c:v>
                </c:pt>
                <c:pt idx="2">
                  <c:v>629.2213753220633</c:v>
                </c:pt>
                <c:pt idx="5">
                  <c:v>-609.22315921530071</c:v>
                </c:pt>
                <c:pt idx="6">
                  <c:v>-13.635999257515095</c:v>
                </c:pt>
                <c:pt idx="7">
                  <c:v>33.627817090607209</c:v>
                </c:pt>
                <c:pt idx="8">
                  <c:v>530.30422627554572</c:v>
                </c:pt>
                <c:pt idx="9">
                  <c:v>65.748899402146236</c:v>
                </c:pt>
                <c:pt idx="10">
                  <c:v>538.52082107813828</c:v>
                </c:pt>
                <c:pt idx="11">
                  <c:v>-511.51415666109665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4-48F5-B880-B923CD8162CD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2021'!$B$75:$B$86</c:f>
              <c:strCache>
                <c:ptCount val="12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  <c:pt idx="8">
                  <c:v>Tjenester utenfor inntsys</c:v>
                </c:pt>
                <c:pt idx="9">
                  <c:v>Premieavvik</c:v>
                </c:pt>
                <c:pt idx="10">
                  <c:v>Netto finans og avdrag</c:v>
                </c:pt>
                <c:pt idx="11">
                  <c:v>Netto driftsresultat</c:v>
                </c:pt>
              </c:strCache>
            </c:strRef>
          </c:cat>
          <c:val>
            <c:numRef>
              <c:f>'Tabeller fylkesko 2023'!$C$75:$C$86</c:f>
              <c:numCache>
                <c:formatCode>#,##0</c:formatCode>
                <c:ptCount val="12"/>
                <c:pt idx="0">
                  <c:v>761.66383048328225</c:v>
                </c:pt>
                <c:pt idx="1">
                  <c:v>191.37089238197586</c:v>
                </c:pt>
                <c:pt idx="2">
                  <c:v>456.30608498323522</c:v>
                </c:pt>
                <c:pt idx="3">
                  <c:v>-520.00810558658122</c:v>
                </c:pt>
                <c:pt idx="4">
                  <c:v>-86.479710204975731</c:v>
                </c:pt>
                <c:pt idx="7">
                  <c:v>86.12797756740008</c:v>
                </c:pt>
                <c:pt idx="8">
                  <c:v>340.1275428853121</c:v>
                </c:pt>
                <c:pt idx="9">
                  <c:v>320.0007678363541</c:v>
                </c:pt>
                <c:pt idx="10">
                  <c:v>536.67586536913552</c:v>
                </c:pt>
                <c:pt idx="11">
                  <c:v>-562.45748474857373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4-48F5-B880-B923CD816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44160"/>
        <c:axId val="184054528"/>
      </c:barChart>
      <c:catAx>
        <c:axId val="1840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84054528"/>
        <c:crosses val="autoZero"/>
        <c:auto val="1"/>
        <c:lblAlgn val="ctr"/>
        <c:lblOffset val="100"/>
        <c:noMultiLvlLbl val="0"/>
      </c:catAx>
      <c:valAx>
        <c:axId val="184054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4044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nb-N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 b="1">
                <a:solidFill>
                  <a:srgbClr val="FF0000"/>
                </a:solidFill>
              </a:rPr>
              <a:t>Ressursbruk til</a:t>
            </a:r>
            <a:r>
              <a:rPr lang="en-US" sz="2000" b="1" baseline="0">
                <a:solidFill>
                  <a:srgbClr val="FF0000"/>
                </a:solidFill>
              </a:rPr>
              <a:t> (prioritering av) øvrige tjenester                                    korrigert for forskjeller i inntektsnivå</a:t>
            </a:r>
            <a:endParaRPr lang="en-US" sz="2000" b="1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0741589883626"/>
          <c:y val="0.20952343823380445"/>
          <c:w val="0.87690576012038424"/>
          <c:h val="0.50640932321422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2021'!$B$51:$B$57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 2021'!$H$51:$H$57</c:f>
              <c:numCache>
                <c:formatCode>#,##0</c:formatCode>
                <c:ptCount val="7"/>
                <c:pt idx="0">
                  <c:v>304.44436369538886</c:v>
                </c:pt>
                <c:pt idx="1">
                  <c:v>-5.2819683035155549</c:v>
                </c:pt>
                <c:pt idx="2">
                  <c:v>-24.755209107267206</c:v>
                </c:pt>
                <c:pt idx="3">
                  <c:v>132.36379951973728</c:v>
                </c:pt>
                <c:pt idx="4">
                  <c:v>202.28913122431891</c:v>
                </c:pt>
                <c:pt idx="5">
                  <c:v>0.21101197352462961</c:v>
                </c:pt>
                <c:pt idx="6">
                  <c:v>-0.38240161140926326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E-4B38-A426-D5A5974E7459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2021'!$B$51:$B$57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 2022'!$H$51:$H$57</c:f>
              <c:numCache>
                <c:formatCode>#,##0</c:formatCode>
                <c:ptCount val="7"/>
                <c:pt idx="0">
                  <c:v>475.99724825117943</c:v>
                </c:pt>
                <c:pt idx="1">
                  <c:v>21.798984541996333</c:v>
                </c:pt>
                <c:pt idx="2">
                  <c:v>11.660074605791721</c:v>
                </c:pt>
                <c:pt idx="3">
                  <c:v>268.12885671721369</c:v>
                </c:pt>
                <c:pt idx="4">
                  <c:v>172.29706695755914</c:v>
                </c:pt>
                <c:pt idx="5">
                  <c:v>0.75867733026554507</c:v>
                </c:pt>
                <c:pt idx="6">
                  <c:v>1.3535880983530599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E-4B38-A426-D5A5974E7459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2021'!$B$51:$B$57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 2023'!$H$51:$H$57</c:f>
              <c:numCache>
                <c:formatCode>#,##0</c:formatCode>
                <c:ptCount val="7"/>
                <c:pt idx="0">
                  <c:v>454.92100576960263</c:v>
                </c:pt>
                <c:pt idx="1">
                  <c:v>57.788337440477562</c:v>
                </c:pt>
                <c:pt idx="2">
                  <c:v>-37.39719458141181</c:v>
                </c:pt>
                <c:pt idx="3">
                  <c:v>236.07866283865192</c:v>
                </c:pt>
                <c:pt idx="4">
                  <c:v>151.45990968011671</c:v>
                </c:pt>
                <c:pt idx="5">
                  <c:v>-0.84296894249757304</c:v>
                </c:pt>
                <c:pt idx="6">
                  <c:v>47.834259334265795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E-4B38-A426-D5A5974E7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1856"/>
        <c:axId val="92363392"/>
      </c:barChart>
      <c:catAx>
        <c:axId val="9236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300"/>
            </a:pPr>
            <a:endParaRPr lang="nb-NO"/>
          </a:p>
        </c:txPr>
        <c:crossAx val="92363392"/>
        <c:crosses val="autoZero"/>
        <c:auto val="1"/>
        <c:lblAlgn val="ctr"/>
        <c:lblOffset val="100"/>
        <c:noMultiLvlLbl val="0"/>
      </c:catAx>
      <c:valAx>
        <c:axId val="9236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923618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US" sz="1500" b="1">
                <a:solidFill>
                  <a:srgbClr val="FF0000"/>
                </a:solidFill>
              </a:rPr>
              <a:t>Anslag for fylkeskommunens ressursbruk sammenlignet</a:t>
            </a:r>
            <a:r>
              <a:rPr lang="en-US" sz="1500" b="1" baseline="0">
                <a:solidFill>
                  <a:srgbClr val="FF0000"/>
                </a:solidFill>
              </a:rPr>
              <a:t> med landsgjennomsnittet (=1) som staten benytter. Fylkeskommunen blir kompensert/trukket ut fra dette i rammetilskuddet.</a:t>
            </a:r>
            <a:r>
              <a:rPr lang="en-US" sz="1500" b="1">
                <a:solidFill>
                  <a:schemeClr val="accent5">
                    <a:lumMod val="75000"/>
                  </a:schemeClr>
                </a:solidFill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2021'!$B$63:$B$70</c:f>
              <c:strCache>
                <c:ptCount val="8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Buss og bane</c:v>
                </c:pt>
                <c:pt idx="5">
                  <c:v>Båt og ferje</c:v>
                </c:pt>
                <c:pt idx="6">
                  <c:v>Tannhelsetjeneste</c:v>
                </c:pt>
                <c:pt idx="7">
                  <c:v>Sum utgiftsbehov</c:v>
                </c:pt>
              </c:strCache>
            </c:strRef>
          </c:cat>
          <c:val>
            <c:numRef>
              <c:f>'Tabeller fylkesko 2021'!$C$63:$C$70</c:f>
              <c:numCache>
                <c:formatCode>0.0000</c:formatCode>
                <c:ptCount val="8"/>
                <c:pt idx="0">
                  <c:v>1.012572546855</c:v>
                </c:pt>
                <c:pt idx="1">
                  <c:v>1.2942396964060001</c:v>
                </c:pt>
                <c:pt idx="4">
                  <c:v>1.05514238388</c:v>
                </c:pt>
                <c:pt idx="5">
                  <c:v>1.138105922492</c:v>
                </c:pt>
                <c:pt idx="6">
                  <c:v>0.99297800244399992</c:v>
                </c:pt>
                <c:pt idx="7">
                  <c:v>1.08347192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6-4D46-967F-6154CE506F92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2021'!$B$63:$B$70</c:f>
              <c:strCache>
                <c:ptCount val="8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Buss og bane</c:v>
                </c:pt>
                <c:pt idx="5">
                  <c:v>Båt og ferje</c:v>
                </c:pt>
                <c:pt idx="6">
                  <c:v>Tannhelsetjeneste</c:v>
                </c:pt>
                <c:pt idx="7">
                  <c:v>Sum utgiftsbehov</c:v>
                </c:pt>
              </c:strCache>
            </c:strRef>
          </c:cat>
          <c:val>
            <c:numRef>
              <c:f>'Tabeller fylkesko 2022'!$C$63:$C$70</c:f>
              <c:numCache>
                <c:formatCode>0.0000</c:formatCode>
                <c:ptCount val="8"/>
                <c:pt idx="0">
                  <c:v>1.02035371</c:v>
                </c:pt>
                <c:pt idx="1">
                  <c:v>1.2804020200000001</c:v>
                </c:pt>
                <c:pt idx="4">
                  <c:v>1.0615868000000002</c:v>
                </c:pt>
                <c:pt idx="5">
                  <c:v>1.2282993799999999</c:v>
                </c:pt>
                <c:pt idx="6">
                  <c:v>1.0043769899999999</c:v>
                </c:pt>
                <c:pt idx="7">
                  <c:v>1.0929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6-4D46-967F-6154CE506F92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2021'!$B$63:$B$70</c:f>
              <c:strCache>
                <c:ptCount val="8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Buss og bane</c:v>
                </c:pt>
                <c:pt idx="5">
                  <c:v>Båt og ferje</c:v>
                </c:pt>
                <c:pt idx="6">
                  <c:v>Tannhelsetjeneste</c:v>
                </c:pt>
                <c:pt idx="7">
                  <c:v>Sum utgiftsbehov</c:v>
                </c:pt>
              </c:strCache>
            </c:strRef>
          </c:cat>
          <c:val>
            <c:numRef>
              <c:f>'Tabeller fylkesko 2023'!$C$63:$C$70</c:f>
              <c:numCache>
                <c:formatCode>0.0000</c:formatCode>
                <c:ptCount val="8"/>
                <c:pt idx="0">
                  <c:v>1.0195042229505571</c:v>
                </c:pt>
                <c:pt idx="1">
                  <c:v>1.2666523308794941</c:v>
                </c:pt>
                <c:pt idx="2">
                  <c:v>1.0917317827078288</c:v>
                </c:pt>
                <c:pt idx="3">
                  <c:v>1.0558842371923283</c:v>
                </c:pt>
                <c:pt idx="6">
                  <c:v>1.0416844885673895</c:v>
                </c:pt>
                <c:pt idx="7">
                  <c:v>1.0865235188462492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6-4D46-967F-6154CE506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9424"/>
        <c:axId val="193373312"/>
      </c:barChart>
      <c:lineChart>
        <c:grouping val="standard"/>
        <c:varyColors val="0"/>
        <c:ser>
          <c:idx val="4"/>
          <c:order val="3"/>
          <c:tx>
            <c:strRef>
              <c:f>'Tabeller fylkesko 2021'!$D$62</c:f>
              <c:strCache>
                <c:ptCount val="1"/>
                <c:pt idx="0">
                  <c:v>Landet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'Tabeller fylkesko 2021'!$D$63:$D$70</c:f>
              <c:numCache>
                <c:formatCode>0.0000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56-4D46-967F-6154CE506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9424"/>
        <c:axId val="193373312"/>
      </c:lineChart>
      <c:catAx>
        <c:axId val="19139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/>
            </a:pPr>
            <a:endParaRPr lang="nb-NO"/>
          </a:p>
        </c:txPr>
        <c:crossAx val="193373312"/>
        <c:crosses val="autoZero"/>
        <c:auto val="1"/>
        <c:lblAlgn val="ctr"/>
        <c:lblOffset val="100"/>
        <c:noMultiLvlLbl val="0"/>
      </c:catAx>
      <c:valAx>
        <c:axId val="19337331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39942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99232"/>
        <c:axId val="197600768"/>
      </c:barChart>
      <c:catAx>
        <c:axId val="19759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7600768"/>
        <c:crosses val="autoZero"/>
        <c:auto val="1"/>
        <c:lblAlgn val="ctr"/>
        <c:lblOffset val="100"/>
        <c:noMultiLvlLbl val="0"/>
      </c:catAx>
      <c:valAx>
        <c:axId val="1976007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759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Fylkeskommunens frie disponible</a:t>
            </a:r>
            <a:r>
              <a:rPr lang="en-US" baseline="0">
                <a:solidFill>
                  <a:srgbClr val="FF0000"/>
                </a:solidFill>
              </a:rPr>
              <a:t> inntekter </a:t>
            </a:r>
            <a:r>
              <a:rPr lang="en-US">
                <a:solidFill>
                  <a:srgbClr val="FF0000"/>
                </a:solidFill>
              </a:rPr>
              <a:t>og ressursbruk (kr per innb)</a:t>
            </a:r>
            <a:r>
              <a:rPr lang="en-US"/>
              <a:t> </a:t>
            </a:r>
          </a:p>
          <a:p>
            <a:pPr>
              <a:defRPr/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avvik fra landsgjennomsnitt(=0) korrigert for kommunens utgiftsbehov m.m </a:t>
            </a:r>
          </a:p>
          <a:p>
            <a:pPr>
              <a:defRPr/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(kroner </a:t>
            </a:r>
            <a:r>
              <a:rPr lang="en-US" baseline="0">
                <a:solidFill>
                  <a:schemeClr val="accent5">
                    <a:lumMod val="75000"/>
                  </a:schemeClr>
                </a:solidFill>
              </a:rPr>
              <a:t>per innbygger)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 2021'!$C$7:$C$12</c:f>
              <c:numCache>
                <c:formatCode>#,##0</c:formatCode>
                <c:ptCount val="6"/>
                <c:pt idx="0">
                  <c:v>-67.43964362562474</c:v>
                </c:pt>
                <c:pt idx="1">
                  <c:v>-413.18995420616397</c:v>
                </c:pt>
                <c:pt idx="2">
                  <c:v>298.275230156715</c:v>
                </c:pt>
                <c:pt idx="3">
                  <c:v>-12.690324860571394</c:v>
                </c:pt>
                <c:pt idx="4">
                  <c:v>469.61927057867376</c:v>
                </c:pt>
                <c:pt idx="5">
                  <c:v>-409.45386529428174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A-4D83-8D39-20AD5C438959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 2022'!$C$7:$C$12</c:f>
              <c:numCache>
                <c:formatCode>#,##0</c:formatCode>
                <c:ptCount val="6"/>
                <c:pt idx="0">
                  <c:v>-400.48861631147884</c:v>
                </c:pt>
                <c:pt idx="1">
                  <c:v>-855.21152090275712</c:v>
                </c:pt>
                <c:pt idx="2">
                  <c:v>439.40411298187018</c:v>
                </c:pt>
                <c:pt idx="3">
                  <c:v>-11.687872807633944</c:v>
                </c:pt>
                <c:pt idx="4">
                  <c:v>538.52082107813828</c:v>
                </c:pt>
                <c:pt idx="5">
                  <c:v>-511.51415666109665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A-4D83-8D39-20AD5C438959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 2023'!$C$7:$C$12</c:f>
              <c:numCache>
                <c:formatCode>#,##0</c:formatCode>
                <c:ptCount val="6"/>
                <c:pt idx="0">
                  <c:v>-491.80367963447679</c:v>
                </c:pt>
                <c:pt idx="1">
                  <c:v>-861.66466946276103</c:v>
                </c:pt>
                <c:pt idx="2">
                  <c:v>411.38744651873412</c:v>
                </c:pt>
                <c:pt idx="3">
                  <c:v>-15.744837311011338</c:v>
                </c:pt>
                <c:pt idx="4">
                  <c:v>536.67586536913552</c:v>
                </c:pt>
                <c:pt idx="5">
                  <c:v>-562.45748474857373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A-4D83-8D39-20AD5C438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69664"/>
        <c:axId val="200616576"/>
      </c:barChart>
      <c:catAx>
        <c:axId val="20036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400"/>
            </a:pPr>
            <a:endParaRPr lang="nb-NO"/>
          </a:p>
        </c:txPr>
        <c:crossAx val="200616576"/>
        <c:crosses val="autoZero"/>
        <c:auto val="1"/>
        <c:lblAlgn val="ctr"/>
        <c:lblOffset val="100"/>
        <c:noMultiLvlLbl val="0"/>
      </c:catAx>
      <c:valAx>
        <c:axId val="200616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03696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900" b="0">
                <a:solidFill>
                  <a:srgbClr val="FF0000"/>
                </a:solidFill>
              </a:rPr>
              <a:t>Tjenester innenfor</a:t>
            </a:r>
            <a:r>
              <a:rPr lang="en-US" sz="1900" b="0" baseline="0">
                <a:solidFill>
                  <a:srgbClr val="FF0000"/>
                </a:solidFill>
              </a:rPr>
              <a:t> inntektssystemet  </a:t>
            </a:r>
          </a:p>
          <a:p>
            <a:pPr>
              <a:defRPr/>
            </a:pPr>
            <a:r>
              <a:rPr lang="en-US" sz="1900" b="0">
                <a:solidFill>
                  <a:srgbClr val="FF0000"/>
                </a:solidFill>
              </a:rPr>
              <a:t>Fylkeskommunens ressursbruk korrigert for  forskjeller i utgiftsbehov m.m </a:t>
            </a:r>
            <a:endParaRPr lang="en-US" sz="1400" b="0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20880764710765"/>
          <c:y val="0.1975637876816175"/>
          <c:w val="0.87781126012207578"/>
          <c:h val="0.51849468205506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2021'!$B$32:$B$39</c:f>
              <c:strCache>
                <c:ptCount val="8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</c:strCache>
            </c:strRef>
          </c:cat>
          <c:val>
            <c:numRef>
              <c:f>'Tabeller fylkesko 2021'!$E$32:$E$39</c:f>
              <c:numCache>
                <c:formatCode>#,##0</c:formatCode>
                <c:ptCount val="8"/>
                <c:pt idx="0">
                  <c:v>-413.18995420616397</c:v>
                </c:pt>
                <c:pt idx="1">
                  <c:v>193.45954329395227</c:v>
                </c:pt>
                <c:pt idx="2">
                  <c:v>41.650174251371936</c:v>
                </c:pt>
                <c:pt idx="5">
                  <c:v>-615.12635673089017</c:v>
                </c:pt>
                <c:pt idx="6">
                  <c:v>-125.23240810736411</c:v>
                </c:pt>
                <c:pt idx="7">
                  <c:v>92.059093086766097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4-4B06-9F77-070BCEFF2B28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2021'!$B$32:$B$39</c:f>
              <c:strCache>
                <c:ptCount val="8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</c:strCache>
            </c:strRef>
          </c:cat>
          <c:val>
            <c:numRef>
              <c:f>'Tabeller fylkesko 2022'!$E$32:$E$39</c:f>
              <c:numCache>
                <c:formatCode>#,##0</c:formatCode>
                <c:ptCount val="8"/>
                <c:pt idx="0">
                  <c:v>-855.21152090275712</c:v>
                </c:pt>
                <c:pt idx="1">
                  <c:v>-31.887686200395365</c:v>
                </c:pt>
                <c:pt idx="2">
                  <c:v>112.62400698542206</c:v>
                </c:pt>
                <c:pt idx="5">
                  <c:v>-758.98867879490354</c:v>
                </c:pt>
                <c:pt idx="6">
                  <c:v>-223.82118226727789</c:v>
                </c:pt>
                <c:pt idx="7">
                  <c:v>46.862019374397619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4-4B06-9F77-070BCEFF2B28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2021'!$B$32:$B$39</c:f>
              <c:strCache>
                <c:ptCount val="8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</c:strCache>
            </c:strRef>
          </c:cat>
          <c:val>
            <c:numRef>
              <c:f>'Tabeller fylkesko 2023'!$E$32:$E$39</c:f>
              <c:numCache>
                <c:formatCode>#,##0</c:formatCode>
                <c:ptCount val="8"/>
                <c:pt idx="0">
                  <c:v>-861.66466946276103</c:v>
                </c:pt>
                <c:pt idx="1">
                  <c:v>60.313726544190104</c:v>
                </c:pt>
                <c:pt idx="2">
                  <c:v>-88.958534286153736</c:v>
                </c:pt>
                <c:pt idx="3">
                  <c:v>-785.83849086639339</c:v>
                </c:pt>
                <c:pt idx="4">
                  <c:v>-128.29784440505989</c:v>
                </c:pt>
                <c:pt idx="7">
                  <c:v>81.116473550655883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4-4B06-9F77-070BCEFF2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97728"/>
        <c:axId val="204767232"/>
      </c:barChart>
      <c:catAx>
        <c:axId val="20269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400000" vert="horz"/>
          <a:lstStyle/>
          <a:p>
            <a:pPr>
              <a:defRPr sz="1400"/>
            </a:pPr>
            <a:endParaRPr lang="nb-NO"/>
          </a:p>
        </c:txPr>
        <c:crossAx val="204767232"/>
        <c:crosses val="autoZero"/>
        <c:auto val="1"/>
        <c:lblAlgn val="ctr"/>
        <c:lblOffset val="100"/>
        <c:noMultiLvlLbl val="0"/>
      </c:catAx>
      <c:valAx>
        <c:axId val="204767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697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986510167300424"/>
          <c:y val="0.10957386523175258"/>
          <c:w val="0.75411518993726168"/>
          <c:h val="9.2732980720126049E-2"/>
        </c:manualLayout>
      </c:layout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2000" b="0">
                <a:solidFill>
                  <a:srgbClr val="FF0000"/>
                </a:solidFill>
              </a:rPr>
              <a:t>Ressursbruk</a:t>
            </a:r>
            <a:r>
              <a:rPr lang="en-US" sz="2000" b="0" baseline="0">
                <a:solidFill>
                  <a:srgbClr val="FF0000"/>
                </a:solidFill>
              </a:rPr>
              <a:t> øvrige tjenester</a:t>
            </a:r>
            <a:endParaRPr lang="en-US" sz="2000" b="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9637713928636"/>
          <c:y val="0.15851829626672365"/>
          <c:w val="0.8660161477158832"/>
          <c:h val="0.52105650241948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2021'!$B$51:$B$57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 2021'!$E$51:$E$57</c:f>
              <c:numCache>
                <c:formatCode>#,##0</c:formatCode>
                <c:ptCount val="7"/>
                <c:pt idx="0">
                  <c:v>298.27523015671483</c:v>
                </c:pt>
                <c:pt idx="1">
                  <c:v>-8.7227549897183962</c:v>
                </c:pt>
                <c:pt idx="2">
                  <c:v>-25.667435625649915</c:v>
                </c:pt>
                <c:pt idx="3">
                  <c:v>132.07871816802148</c:v>
                </c:pt>
                <c:pt idx="4">
                  <c:v>200.75886664121577</c:v>
                </c:pt>
                <c:pt idx="5">
                  <c:v>0.21196540058221064</c:v>
                </c:pt>
                <c:pt idx="6">
                  <c:v>-0.38412943773632058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6-44D9-A093-B9502312782E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2021'!$B$51:$B$57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 2022'!$E$51:$E$57</c:f>
              <c:numCache>
                <c:formatCode>#,##0</c:formatCode>
                <c:ptCount val="7"/>
                <c:pt idx="0">
                  <c:v>439.40411298187013</c:v>
                </c:pt>
                <c:pt idx="1">
                  <c:v>-0.5815089908645632</c:v>
                </c:pt>
                <c:pt idx="2">
                  <c:v>5.7409145223477651</c:v>
                </c:pt>
                <c:pt idx="3">
                  <c:v>269.0021853157732</c:v>
                </c:pt>
                <c:pt idx="4">
                  <c:v>163.07433511350689</c:v>
                </c:pt>
                <c:pt idx="5">
                  <c:v>0.77876308460224097</c:v>
                </c:pt>
                <c:pt idx="6">
                  <c:v>1.3894239365045427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56-44D9-A093-B9502312782E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2021'!$B$51:$B$57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 2023'!$E$51:$E$57</c:f>
              <c:numCache>
                <c:formatCode>#,##0</c:formatCode>
                <c:ptCount val="7"/>
                <c:pt idx="0">
                  <c:v>411.38744651873441</c:v>
                </c:pt>
                <c:pt idx="1">
                  <c:v>30.183642315224574</c:v>
                </c:pt>
                <c:pt idx="2">
                  <c:v>-44.610579885720568</c:v>
                </c:pt>
                <c:pt idx="3">
                  <c:v>237.55629300660235</c:v>
                </c:pt>
                <c:pt idx="4">
                  <c:v>139.76240037231901</c:v>
                </c:pt>
                <c:pt idx="5">
                  <c:v>-0.86995852055184064</c:v>
                </c:pt>
                <c:pt idx="6">
                  <c:v>49.365649230860889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6-44D9-A093-B9502312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37088"/>
        <c:axId val="206539008"/>
      </c:barChart>
      <c:catAx>
        <c:axId val="2065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400"/>
            </a:pPr>
            <a:endParaRPr lang="nb-NO"/>
          </a:p>
        </c:txPr>
        <c:crossAx val="206539008"/>
        <c:crosses val="autoZero"/>
        <c:auto val="1"/>
        <c:lblAlgn val="ctr"/>
        <c:lblOffset val="100"/>
        <c:noMultiLvlLbl val="0"/>
      </c:catAx>
      <c:valAx>
        <c:axId val="20653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65370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1168"/>
        <c:axId val="209514880"/>
      </c:barChart>
      <c:catAx>
        <c:axId val="20943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14880"/>
        <c:crosses val="autoZero"/>
        <c:auto val="1"/>
        <c:lblAlgn val="ctr"/>
        <c:lblOffset val="100"/>
        <c:noMultiLvlLbl val="0"/>
      </c:catAx>
      <c:valAx>
        <c:axId val="20951488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94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b-NO" sz="2000" b="0">
                <a:solidFill>
                  <a:srgbClr val="FF0000"/>
                </a:solidFill>
              </a:rPr>
              <a:t>Ressursbruk (prioritering) justert</a:t>
            </a:r>
            <a:r>
              <a:rPr lang="nb-NO" sz="2000" b="0" baseline="0">
                <a:solidFill>
                  <a:srgbClr val="FF0000"/>
                </a:solidFill>
              </a:rPr>
              <a:t> for  ulikheter i</a:t>
            </a:r>
            <a:r>
              <a:rPr lang="nb-NO" sz="2000" b="0">
                <a:solidFill>
                  <a:srgbClr val="FF0000"/>
                </a:solidFill>
              </a:rPr>
              <a:t> inntekt og utgiftsbehov </a:t>
            </a:r>
            <a:r>
              <a:rPr lang="nb-NO" sz="1600" b="1">
                <a:solidFill>
                  <a:schemeClr val="tx2">
                    <a:lumMod val="75000"/>
                  </a:schemeClr>
                </a:solidFill>
              </a:rPr>
              <a:t>sammenlignet</a:t>
            </a:r>
            <a:r>
              <a:rPr lang="nb-NO" sz="1600" b="1" baseline="0">
                <a:solidFill>
                  <a:schemeClr val="tx2">
                    <a:lumMod val="75000"/>
                  </a:schemeClr>
                </a:solidFill>
              </a:rPr>
              <a:t> </a:t>
            </a:r>
            <a:r>
              <a:rPr lang="nb-NO" sz="1600" b="1">
                <a:solidFill>
                  <a:schemeClr val="tx2">
                    <a:lumMod val="75000"/>
                  </a:schemeClr>
                </a:solidFill>
              </a:rPr>
              <a:t>med landsgjennomsnitt(=0) (kroner per innbygger)</a:t>
            </a:r>
          </a:p>
        </c:rich>
      </c:tx>
      <c:layout>
        <c:manualLayout>
          <c:xMode val="edge"/>
          <c:yMode val="edge"/>
          <c:x val="0.13367382767690716"/>
          <c:y val="1.04448743382925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 2021'!$D$8:$D$12</c:f>
              <c:numCache>
                <c:formatCode>#,##0</c:formatCode>
                <c:ptCount val="5"/>
                <c:pt idx="0">
                  <c:v>-360.90125067898515</c:v>
                </c:pt>
                <c:pt idx="1">
                  <c:v>304.44436369538903</c:v>
                </c:pt>
                <c:pt idx="2">
                  <c:v>-13.468537893287277</c:v>
                </c:pt>
                <c:pt idx="3">
                  <c:v>472.91612299286965</c:v>
                </c:pt>
                <c:pt idx="4">
                  <c:v>-402.99069811599065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5-42A3-A141-9B95386A6A65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 2022'!$D$8:$D$12</c:f>
              <c:numCache>
                <c:formatCode>#,##0</c:formatCode>
                <c:ptCount val="5"/>
                <c:pt idx="0">
                  <c:v>-540.72355976154961</c:v>
                </c:pt>
                <c:pt idx="1">
                  <c:v>475.9972482511796</c:v>
                </c:pt>
                <c:pt idx="2">
                  <c:v>-14.581453427769212</c:v>
                </c:pt>
                <c:pt idx="3">
                  <c:v>557.02363515477225</c:v>
                </c:pt>
                <c:pt idx="4">
                  <c:v>-477.71587021663322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5-42A3-A141-9B95386A6A65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 2023'!$D$8:$D$12</c:f>
              <c:numCache>
                <c:formatCode>#,##0</c:formatCode>
                <c:ptCount val="5"/>
                <c:pt idx="0">
                  <c:v>-446.47285571675798</c:v>
                </c:pt>
                <c:pt idx="1">
                  <c:v>454.92100576960229</c:v>
                </c:pt>
                <c:pt idx="2">
                  <c:v>-34.179581200125995</c:v>
                </c:pt>
                <c:pt idx="3">
                  <c:v>563.35043577237559</c:v>
                </c:pt>
                <c:pt idx="4">
                  <c:v>-537.61900462509368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5-42A3-A141-9B95386A6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98880"/>
        <c:axId val="218700416"/>
      </c:barChart>
      <c:catAx>
        <c:axId val="21869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400"/>
            </a:pPr>
            <a:endParaRPr lang="nb-NO"/>
          </a:p>
        </c:txPr>
        <c:crossAx val="218700416"/>
        <c:crosses val="autoZero"/>
        <c:auto val="1"/>
        <c:lblAlgn val="ctr"/>
        <c:lblOffset val="100"/>
        <c:noMultiLvlLbl val="0"/>
      </c:catAx>
      <c:valAx>
        <c:axId val="218700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186988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800" b="1">
                <a:solidFill>
                  <a:srgbClr val="FF0000"/>
                </a:solidFill>
              </a:rPr>
              <a:t>Tjenester innenfor inntektssystemet  </a:t>
            </a:r>
          </a:p>
          <a:p>
            <a:pPr>
              <a:defRPr/>
            </a:pPr>
            <a:r>
              <a:rPr lang="en-US" sz="1800" b="1">
                <a:solidFill>
                  <a:srgbClr val="FF0000"/>
                </a:solidFill>
              </a:rPr>
              <a:t>Ressursbruk (prioritering)</a:t>
            </a:r>
            <a:r>
              <a:rPr lang="en-US" sz="1800" b="1" baseline="0">
                <a:solidFill>
                  <a:srgbClr val="FF0000"/>
                </a:solidFill>
              </a:rPr>
              <a:t> hensyntatt forskjeller i inntekter og utgiftsbehov</a:t>
            </a:r>
            <a:endParaRPr lang="en-US" sz="18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3458520642083505"/>
          <c:y val="1.9661362699704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25659609486498"/>
          <c:y val="0.19865899919907107"/>
          <c:w val="0.87063679500440994"/>
          <c:h val="0.49038434253412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'Tabeller fylkesko 2021'!$B$1:$C$1</c:f>
              <c:strCache>
                <c:ptCount val="1"/>
                <c:pt idx="0">
                  <c:v>TRØNDELAG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2021'!$B$32:$B$39</c:f>
              <c:strCache>
                <c:ptCount val="8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</c:strCache>
            </c:strRef>
          </c:cat>
          <c:val>
            <c:numRef>
              <c:f>'Tabeller fylkesko 2021'!$H$32:$H$39</c:f>
              <c:numCache>
                <c:formatCode>#,##0</c:formatCode>
                <c:ptCount val="8"/>
                <c:pt idx="0">
                  <c:v>-360.90125067898515</c:v>
                </c:pt>
                <c:pt idx="1">
                  <c:v>221.12154650845696</c:v>
                </c:pt>
                <c:pt idx="2">
                  <c:v>49.06901001587994</c:v>
                </c:pt>
                <c:pt idx="5">
                  <c:v>-603.82159375902393</c:v>
                </c:pt>
                <c:pt idx="6">
                  <c:v>-121.58812344882847</c:v>
                </c:pt>
                <c:pt idx="7">
                  <c:v>94.317910004530347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7-4C29-B9CF-8DF8EF843CC7}"/>
            </c:ext>
          </c:extLst>
        </c:ser>
        <c:ser>
          <c:idx val="1"/>
          <c:order val="1"/>
          <c:tx>
            <c:strRef>
              <c:f>'Tabeller fylkesko 2022'!$B$1:$C$1</c:f>
              <c:strCache>
                <c:ptCount val="1"/>
                <c:pt idx="0">
                  <c:v>TRØNDELAG 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'Tabeller fylkesko 2021'!$B$32:$B$39</c:f>
              <c:strCache>
                <c:ptCount val="8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</c:strCache>
            </c:strRef>
          </c:cat>
          <c:val>
            <c:numRef>
              <c:f>'Tabeller fylkesko 2022'!$H$32:$H$39</c:f>
              <c:numCache>
                <c:formatCode>#,##0</c:formatCode>
                <c:ptCount val="8"/>
                <c:pt idx="0">
                  <c:v>-540.72355976154961</c:v>
                </c:pt>
                <c:pt idx="1">
                  <c:v>134.43225758686185</c:v>
                </c:pt>
                <c:pt idx="2">
                  <c:v>159.31656379280275</c:v>
                </c:pt>
                <c:pt idx="5">
                  <c:v>-695.24528472189195</c:v>
                </c:pt>
                <c:pt idx="6">
                  <c:v>-199.8054563681012</c:v>
                </c:pt>
                <c:pt idx="7">
                  <c:v>60.578359948778939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7-4C29-B9CF-8DF8EF843CC7}"/>
            </c:ext>
          </c:extLst>
        </c:ser>
        <c:ser>
          <c:idx val="2"/>
          <c:order val="2"/>
          <c:tx>
            <c:strRef>
              <c:f>'Tabeller fylkesko 2023'!$B$1:$C$1</c:f>
              <c:strCache>
                <c:ptCount val="1"/>
                <c:pt idx="0">
                  <c:v>TRØNDELAG 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'Tabeller fylkesko 2021'!$B$32:$B$39</c:f>
              <c:strCache>
                <c:ptCount val="8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Buss og bane</c:v>
                </c:pt>
                <c:pt idx="6">
                  <c:v>Båt og ferje</c:v>
                </c:pt>
                <c:pt idx="7">
                  <c:v>Tannhelsetjeneste</c:v>
                </c:pt>
              </c:strCache>
            </c:strRef>
          </c:cat>
          <c:val>
            <c:numRef>
              <c:f>'Tabeller fylkesko 2023'!$H$32:$H$39</c:f>
              <c:numCache>
                <c:formatCode>#,##0</c:formatCode>
                <c:ptCount val="8"/>
                <c:pt idx="0">
                  <c:v>-446.47285571675798</c:v>
                </c:pt>
                <c:pt idx="1">
                  <c:v>279.78642058930473</c:v>
                </c:pt>
                <c:pt idx="2">
                  <c:v>-26.518170776158968</c:v>
                </c:pt>
                <c:pt idx="3">
                  <c:v>-695.20008911618925</c:v>
                </c:pt>
                <c:pt idx="4">
                  <c:v>-104.9351716481749</c:v>
                </c:pt>
                <c:pt idx="7">
                  <c:v>100.39415523446041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7-4C29-B9CF-8DF8EF843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3984"/>
        <c:axId val="89515520"/>
      </c:barChart>
      <c:catAx>
        <c:axId val="8951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/>
            </a:pPr>
            <a:endParaRPr lang="nb-NO"/>
          </a:p>
        </c:txPr>
        <c:crossAx val="89515520"/>
        <c:crosses val="autoZero"/>
        <c:auto val="1"/>
        <c:lblAlgn val="ctr"/>
        <c:lblOffset val="100"/>
        <c:noMultiLvlLbl val="0"/>
      </c:catAx>
      <c:valAx>
        <c:axId val="8951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95139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1"/>
  <sheetViews>
    <sheetView zoomScale="110" workbookViewId="0"/>
  </sheetViews>
  <sheetProtection algorithmName="SHA-512" hashValue="Knu8eTs4lpBp3oaznVK3r3ZfY457El+aaovnwePlUpdOkuItUlctF2owkGsxvwONceH0SI0jBbeDsmKG7IulSg==" saltValue="YvWwdnT7QOixK2Mav173RA==" spinCount="100000" objects="1"/>
  <pageMargins left="0.7" right="0.7" top="0.75" bottom="0.75" header="0.3" footer="0.3"/>
  <pageSetup paperSize="0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Diagram5"/>
  <sheetViews>
    <sheetView zoomScale="110" workbookViewId="0"/>
  </sheetViews>
  <pageMargins left="0.7" right="0.7" top="0.75" bottom="0.75" header="0.3" footer="0.3"/>
  <pageSetup paperSize="0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2"/>
  <sheetViews>
    <sheetView zoomScale="110" workbookViewId="0"/>
  </sheetViews>
  <sheetProtection algorithmName="SHA-512" hashValue="S06Bpw0rtPgjNv+P8jGpZ6ZXHFbTmzR0rArpMiCflvZh5dJLlOnjN2MfUDlydF1R0j2Vja7Gv3i0bS+iUTAvaQ==" saltValue="GlToqVlFLIMB6FbBxr1yTw==" spinCount="100000" objects="1"/>
  <pageMargins left="0.7" right="0.7" top="0.75" bottom="0.75" header="0.3" footer="0.3"/>
  <pageSetup paperSize="0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130" workbookViewId="0" zoomToFit="1"/>
  </sheetViews>
  <sheetProtection objects="1"/>
  <pageMargins left="0.7" right="0.7" top="0.75" bottom="0.75" header="0.3" footer="0.3"/>
  <pageSetup paperSize="0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Diagram6"/>
  <sheetViews>
    <sheetView zoomScale="110" workbookViewId="0"/>
  </sheetViews>
  <sheetProtection algorithmName="SHA-512" hashValue="C7HSH5f6ELS75gIV1R9i9+PvKOgDx+6J8/TJ6Byn1pq5p2bNUDdtuf2s3jRZTBs57t1osoH2Pz0ZRIp93qj46Q==" saltValue="UsejbNmmIFomQEFA4ELWvw==" spinCount="100000" objects="1"/>
  <pageMargins left="0.7" right="0.7" top="0.75" bottom="0.75" header="0.3" footer="0.3"/>
  <pageSetup paperSize="0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Diagram7"/>
  <sheetViews>
    <sheetView zoomScale="110" workbookViewId="0"/>
  </sheetViews>
  <sheetProtection algorithmName="SHA-512" hashValue="7Y60vpbPPH27Vwm2zpMKXerS7WxTChvOLdiMmyaWh5XSB+2unykOAkH9zD9+of4SeMz0YhsgW3Qk8nUH1vRYfg==" saltValue="MEYMvwSBYwq+2a5GexHqSA==" spinCount="100000" objects="1"/>
  <pageMargins left="0.7" right="0.7" top="0.75" bottom="0.75" header="0.3" footer="0.3"/>
  <pageSetup paperSize="0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8"/>
  <sheetViews>
    <sheetView zoomScale="110" workbookViewId="0"/>
  </sheetViews>
  <sheetProtection algorithmName="SHA-512" hashValue="EJYfrQ31YFveQUdAHFS/3xvnJLHRUo8cfLc4qusUR9CSItGhAvmTXNscYppovaCI6meP1r/9qophb15siFnIsg==" saltValue="j14wcXRiWrk1UryhicMwMA==" spinCount="100000" objects="1"/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9"/>
  <sheetViews>
    <sheetView zoomScale="130" workbookViewId="0" zoomToFit="1"/>
  </sheetViews>
  <sheetProtection objects="1"/>
  <pageMargins left="0.7" right="0.7" top="0.75" bottom="0.75" header="0.3" footer="0.3"/>
  <pageSetup paperSize="0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Diagram10"/>
  <sheetViews>
    <sheetView zoomScale="110" workbookViewId="0"/>
  </sheetViews>
  <sheetProtection algorithmName="SHA-512" hashValue="+nEhaqiirFBfDgB/nfErRmkRF9UOGxElHW1BVyAdzQhFecQmU41sNmR5zsdfMFgfUea9huZ1VChZvDrhJwwEzA==" saltValue="7YhRutSwgzXfbqmTwtqjDw==" spinCount="100000" objects="1"/>
  <pageMargins left="0.7" right="0.7" top="0.75" bottom="0.75" header="0.3" footer="0.3"/>
  <pageSetup paperSize="0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Diagram3"/>
  <sheetViews>
    <sheetView zoomScale="110" workbookViewId="0"/>
  </sheetViews>
  <sheetProtection algorithmName="SHA-512" hashValue="80wMBSoatTEtymHVQNK2iYzp3iTTl6i9t5v+k18Fq0SmxNOrxYC7sO9xBCYy+Ff5yFK0mULFpQW1UfdJI4cl/Q==" saltValue="/x2df+7rZVTWxMQNPPvhRw==" spinCount="100000" objects="1"/>
  <pageMargins left="0.7" right="0.7" top="0.75" bottom="0.75" header="0.3" footer="0.3"/>
  <pageSetup paperSize="9" orientation="landscape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FB83247-E6BE-4D42-9B17-BA8B3D1DD4E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6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0.19509</cdr:x>
      <cdr:y>0.93679</cdr:y>
    </cdr:from>
    <cdr:to>
      <cdr:x>0.77497</cdr:x>
      <cdr:y>0.98708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1814689" y="5695244"/>
          <a:ext cx="5393737" cy="30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0.22808</cdr:x>
      <cdr:y>0.948</cdr:y>
    </cdr:from>
    <cdr:to>
      <cdr:x>0.80795</cdr:x>
      <cdr:y>0.99829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2121311" y="5763049"/>
          <a:ext cx="5393303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CC08F92-558C-4D0B-B6A5-D4069F4FAE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7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0.24247</cdr:x>
      <cdr:y>0.94158</cdr:y>
    </cdr:from>
    <cdr:to>
      <cdr:x>0.82528</cdr:x>
      <cdr:y>0.99187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255191" y="5724022"/>
          <a:ext cx="5420647" cy="305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9473" cy="60613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0.24906</cdr:x>
      <cdr:y>0.94971</cdr:y>
    </cdr:from>
    <cdr:to>
      <cdr:x>0.82893</cdr:x>
      <cdr:y>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316454" y="5773468"/>
          <a:ext cx="5393302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ksiskyen-my.sharepoint.com/personal/sigmund_engdal_ks_no/Documents/Dokumenter/Modell%20sammenligning%20mellom%20kommuner/Fylkeskommune/2023%20-%20Kostrapublisering%2015032024/Publisert/fylkesk-tilleggsmodell-tilrettelagt-for-sammenligning-2021-publ-apr241.xlsx" TargetMode="External"/><Relationship Id="rId2" Type="http://schemas.microsoft.com/office/2019/04/relationships/externalLinkLongPath" Target="fylkesk-tilleggsmodell-tilrettelagt-for-sammenligning-2021-publ-apr241.xlsx?482F53DE" TargetMode="External"/><Relationship Id="rId1" Type="http://schemas.openxmlformats.org/officeDocument/2006/relationships/externalLinkPath" Target="file:///\\482F53DE\fylkesk-tilleggsmodell-tilrettelagt-for-sammenligning-2021-publ-apr241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ksiskyen-my.sharepoint.com/personal/sigmund_engdal_ks_no/Documents/Dokumenter/Modell%20sammenligning%20mellom%20kommuner/Fylkeskommune/2023%20-%20Kostrapublisering%2015032024/Publisert/fylkesk-tilleggsmodell-tilrettelagt-for-sammenligning-2023-publ-apr24.xlsx" TargetMode="External"/><Relationship Id="rId2" Type="http://schemas.microsoft.com/office/2019/04/relationships/externalLinkLongPath" Target="fylkesk-tilleggsmodell-tilrettelagt-for-sammenligning-2023-publ-apr24.xlsx?482F53DE" TargetMode="External"/><Relationship Id="rId1" Type="http://schemas.openxmlformats.org/officeDocument/2006/relationships/externalLinkPath" Target="file:///\\482F53DE\fylkesk-tilleggsmodell-tilrettelagt-for-sammenligning-2023-publ-apr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Inngang"/>
      <sheetName val="1. Kostratall"/>
      <sheetName val="2. Inntektssyst kostnadsnøkler"/>
      <sheetName val="Utgiftskorrigering"/>
      <sheetName val="3. Disp inntekt og ressursbruk"/>
      <sheetName val="4. Ressursbr tjenest i INNTSYS"/>
      <sheetName val="Ressurbruk øvrige tjenester"/>
      <sheetName val="Inntekts og utgiftskorrigering"/>
      <sheetName val="5. Inntektskorr ressursbruk"/>
      <sheetName val="6. Inntkorr ressursb  INNTSYS "/>
      <sheetName val="7. Inntkorr ressursb øvr tjenes"/>
      <sheetName val="Tabeller fylkeskom 1"/>
      <sheetName val="Tabeller fylkeskom 2"/>
      <sheetName val="Tabeller fylkeskom 3"/>
      <sheetName val="Tabeller fylkeskom 4"/>
      <sheetName val="2022 Korreksjoner"/>
      <sheetName val="2022 Nto driftsutg landet"/>
      <sheetName val="2022 Nto driftsutg"/>
      <sheetName val="2022 Avskrivning"/>
      <sheetName val="2022 Nto driftsutg eks avskriv"/>
      <sheetName val="2022 Inntektsnivå"/>
      <sheetName val="2022 Lønnsand og arbavg landet"/>
      <sheetName val="2022 Lønnsand og pensjon landet"/>
      <sheetName val="2022 Lønnsgr arbavg tjeneste"/>
      <sheetName val="2022 Arbavg tjeneste"/>
      <sheetName val="2022 Lønnsgr pensjon tjeneste"/>
      <sheetName val="2022 Pensjon tjeneste"/>
      <sheetName val="2022 Revekting utgiftsbehov"/>
      <sheetName val="2022 Korr med revekting pensjon"/>
      <sheetName val="2022 Korr med revekting arbavg"/>
      <sheetName val="2022 Korr med revekt premieavv"/>
      <sheetName val="2022 Korr med revekting eiendom"/>
      <sheetName val="2022 Grunnlag korreksjoner"/>
      <sheetName val="2022 Bto driftsutg"/>
      <sheetName val="2022 Bto driftsutg eks avskriv"/>
      <sheetName val="2022 Nøkkel revektet"/>
      <sheetName val="Fylkeskommu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7">
          <cell r="E17">
            <v>1</v>
          </cell>
          <cell r="F17">
            <v>1</v>
          </cell>
          <cell r="G17">
            <v>1</v>
          </cell>
          <cell r="H17">
            <v>1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Inngang"/>
      <sheetName val="1 Kostratall"/>
      <sheetName val="2 Inntektsyst kostandsnøkler"/>
      <sheetName val=" Utgiftskorrigering"/>
      <sheetName val="3 Disp innt og ressursbruk"/>
      <sheetName val="4 Ressursbruk tjenest INNTSYS"/>
      <sheetName val="Ressursbruk øvrige tjenester"/>
      <sheetName val=" Inntekts og utgiftskorrigering"/>
      <sheetName val="5 Inntektskorr ressursbruk"/>
      <sheetName val="6 Inntkorr ressursbruk INNTSYS"/>
      <sheetName val="7 Inntkorr ressursb øvr tjenes"/>
      <sheetName val="Tabeller fylkeskom 1"/>
      <sheetName val="Tabeller fylkeskom 2"/>
      <sheetName val="Tabeller fylkeskom 3"/>
      <sheetName val="Tabeller fylkeskom 4"/>
      <sheetName val="2023 Korreksjoner"/>
      <sheetName val="2023 Nto driftsutg landet"/>
      <sheetName val="2023 Nto driftsutg"/>
      <sheetName val="2023 Avskrivning"/>
      <sheetName val="2023 Nto driftsutg eks avskriv"/>
      <sheetName val="2023 Inntektsnivå"/>
      <sheetName val="2023 Lønnsand og arbavg landet"/>
      <sheetName val="2023 Lønnsand og pensjon landet"/>
      <sheetName val="2023 Lønnsgr arbavg tjeneste"/>
      <sheetName val="2023 Arbavg tjeneste"/>
      <sheetName val="2023 Lønnsgr pensjon tjeneste"/>
      <sheetName val="2023 Pensjon tjeneste"/>
      <sheetName val="2023 Revekting utgiftsbehov"/>
      <sheetName val="2023 Korr med revekting pensjon"/>
      <sheetName val="2023 Korr med revekting arbavg"/>
      <sheetName val="2023 Korr med revekt premieavv"/>
      <sheetName val="2023 Korr med revekting eiendom"/>
      <sheetName val="2023 Grunnlag korreksjoner"/>
      <sheetName val="2023 Bto driftsutg"/>
      <sheetName val="2023 Bto driftsutg eks avskriv"/>
      <sheetName val="2023 Nøkkel revektet"/>
      <sheetName val="Fylkeskommuner"/>
    </sheetNames>
    <sheetDataSet>
      <sheetData sheetId="0">
        <row r="5">
          <cell r="C5" t="str">
            <v>TRØNDELAG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C7">
            <v>-491.80367963447679</v>
          </cell>
        </row>
      </sheetData>
      <sheetData sheetId="12" refreshError="1"/>
      <sheetData sheetId="13" refreshError="1"/>
      <sheetData sheetId="14" refreshError="1"/>
      <sheetData sheetId="15">
        <row r="5">
          <cell r="AV5">
            <v>-3611.1737715086283</v>
          </cell>
        </row>
        <row r="6">
          <cell r="AV6">
            <v>-305.23663154874544</v>
          </cell>
        </row>
        <row r="7">
          <cell r="AV7">
            <v>4477.071161362991</v>
          </cell>
        </row>
        <row r="8">
          <cell r="AV8">
            <v>6912.1175584548664</v>
          </cell>
        </row>
        <row r="9">
          <cell r="AV9">
            <v>-2466.7140835497862</v>
          </cell>
        </row>
        <row r="10">
          <cell r="AV10">
            <v>352.66898571683043</v>
          </cell>
        </row>
        <row r="11">
          <cell r="AV11">
            <v>-1557.23931423766</v>
          </cell>
        </row>
        <row r="12">
          <cell r="AV12">
            <v>-161.41809164159179</v>
          </cell>
        </row>
        <row r="13">
          <cell r="AV13">
            <v>2265.1530529323977</v>
          </cell>
        </row>
        <row r="14">
          <cell r="AV14">
            <v>1253.467510117759</v>
          </cell>
        </row>
        <row r="15">
          <cell r="AV15">
            <v>6456.2603954546794</v>
          </cell>
        </row>
        <row r="17">
          <cell r="AV17">
            <v>6.8885072934676828E-7</v>
          </cell>
        </row>
      </sheetData>
      <sheetData sheetId="16">
        <row r="5">
          <cell r="C5">
            <v>7074.2914108960813</v>
          </cell>
        </row>
        <row r="6">
          <cell r="C6">
            <v>2012.6482212005101</v>
          </cell>
        </row>
        <row r="7">
          <cell r="C7">
            <v>2921.5591934503386</v>
          </cell>
        </row>
        <row r="8">
          <cell r="C8">
            <v>753.05201833278443</v>
          </cell>
        </row>
        <row r="9">
          <cell r="C9">
            <v>621.37997873072015</v>
          </cell>
        </row>
        <row r="10">
          <cell r="C10">
            <v>13382.930822610435</v>
          </cell>
        </row>
        <row r="19">
          <cell r="C19">
            <v>15852.370892071393</v>
          </cell>
        </row>
        <row r="23">
          <cell r="C23">
            <v>889.7856677552785</v>
          </cell>
        </row>
        <row r="24">
          <cell r="C24">
            <v>232.50997088168853</v>
          </cell>
        </row>
        <row r="25">
          <cell r="C25">
            <v>-47.628642146543307</v>
          </cell>
        </row>
        <row r="26">
          <cell r="C26">
            <v>377.04731326631429</v>
          </cell>
        </row>
        <row r="27">
          <cell r="C27">
            <v>0.86995852055184064</v>
          </cell>
        </row>
        <row r="28">
          <cell r="C28">
            <v>-49.361486354146564</v>
          </cell>
        </row>
      </sheetData>
      <sheetData sheetId="17">
        <row r="5">
          <cell r="W5">
            <v>711918</v>
          </cell>
        </row>
        <row r="6">
          <cell r="W6">
            <v>495545</v>
          </cell>
        </row>
        <row r="7">
          <cell r="W7">
            <v>269164</v>
          </cell>
        </row>
        <row r="8">
          <cell r="W8">
            <v>241960</v>
          </cell>
        </row>
        <row r="9">
          <cell r="W9">
            <v>1300096</v>
          </cell>
        </row>
        <row r="10">
          <cell r="W10">
            <v>374624</v>
          </cell>
        </row>
        <row r="11">
          <cell r="W11">
            <v>431103</v>
          </cell>
        </row>
        <row r="12">
          <cell r="W12">
            <v>317444</v>
          </cell>
        </row>
        <row r="13">
          <cell r="W13">
            <v>648436</v>
          </cell>
        </row>
        <row r="14">
          <cell r="W14">
            <v>480437</v>
          </cell>
        </row>
        <row r="15">
          <cell r="W15">
            <v>243329</v>
          </cell>
        </row>
        <row r="17">
          <cell r="W17">
            <v>5514056</v>
          </cell>
        </row>
      </sheetData>
      <sheetData sheetId="18" refreshError="1"/>
      <sheetData sheetId="19">
        <row r="17">
          <cell r="D17">
            <v>39008039</v>
          </cell>
          <cell r="E17">
            <v>11097855</v>
          </cell>
          <cell r="F17">
            <v>16109641</v>
          </cell>
          <cell r="G17">
            <v>4152371</v>
          </cell>
          <cell r="H17">
            <v>3426324</v>
          </cell>
          <cell r="I17">
            <v>7737449</v>
          </cell>
          <cell r="K17">
            <v>4906328</v>
          </cell>
          <cell r="L17">
            <v>1282073</v>
          </cell>
          <cell r="M17">
            <v>-262627</v>
          </cell>
          <cell r="N17">
            <v>2079060</v>
          </cell>
          <cell r="O17">
            <v>4797</v>
          </cell>
          <cell r="P17">
            <v>-272182</v>
          </cell>
          <cell r="R17">
            <v>-3276504.2216767771</v>
          </cell>
          <cell r="S17">
            <v>4741012.029423316</v>
          </cell>
          <cell r="T17">
            <v>4414674.0239050686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Z5">
            <v>0.71053058348772868</v>
          </cell>
          <cell r="AA5">
            <v>0.21462039411895761</v>
          </cell>
          <cell r="AB5">
            <v>1.5114284535122655</v>
          </cell>
          <cell r="AC5">
            <v>0</v>
          </cell>
          <cell r="AD5">
            <v>0.80830409059491792</v>
          </cell>
        </row>
        <row r="6">
          <cell r="Z6">
            <v>1.0774887931615929</v>
          </cell>
          <cell r="AA6">
            <v>0.79939004925414059</v>
          </cell>
          <cell r="AB6">
            <v>0.9424851409192746</v>
          </cell>
          <cell r="AC6">
            <v>0.64870346692722514</v>
          </cell>
          <cell r="AD6">
            <v>1.0173396804533479</v>
          </cell>
        </row>
        <row r="7">
          <cell r="Z7">
            <v>1.0989358133062832</v>
          </cell>
          <cell r="AA7">
            <v>1.5552146008066416</v>
          </cell>
          <cell r="AB7">
            <v>1.0728168111973642</v>
          </cell>
          <cell r="AC7">
            <v>3.6508681383265915</v>
          </cell>
          <cell r="AD7">
            <v>1.0804828658338601</v>
          </cell>
        </row>
        <row r="8">
          <cell r="Z8">
            <v>1.0853378047755211</v>
          </cell>
          <cell r="AA8">
            <v>1.9381931214813777</v>
          </cell>
          <cell r="AB8">
            <v>1.3547771165025086</v>
          </cell>
          <cell r="AC8">
            <v>5.2548770101082702</v>
          </cell>
          <cell r="AD8">
            <v>1.1605514881983592</v>
          </cell>
        </row>
        <row r="9">
          <cell r="Z9">
            <v>1.0109508011160717</v>
          </cell>
          <cell r="AA9">
            <v>0.60627924197881555</v>
          </cell>
          <cell r="AB9">
            <v>0.65317532338165341</v>
          </cell>
          <cell r="AC9">
            <v>2.6179811137927333E-2</v>
          </cell>
          <cell r="AD9">
            <v>0.96460045526742033</v>
          </cell>
        </row>
        <row r="10">
          <cell r="Z10">
            <v>1.0062398373243804</v>
          </cell>
          <cell r="AA10">
            <v>1.5174599383336682</v>
          </cell>
          <cell r="AB10">
            <v>0.94309915694030932</v>
          </cell>
          <cell r="AC10">
            <v>5.9463031673505529E-2</v>
          </cell>
          <cell r="AD10">
            <v>1.0216409626046192</v>
          </cell>
        </row>
        <row r="11">
          <cell r="Z11">
            <v>1.0246976591874704</v>
          </cell>
          <cell r="AA11">
            <v>0.87778384106275287</v>
          </cell>
          <cell r="AB11">
            <v>0.66753460722060465</v>
          </cell>
          <cell r="AC11">
            <v>0.13457432220097476</v>
          </cell>
          <cell r="AD11">
            <v>0.96530680839609195</v>
          </cell>
        </row>
        <row r="12">
          <cell r="Z12">
            <v>1.084268975153569</v>
          </cell>
          <cell r="AA12">
            <v>1.2211575516772717</v>
          </cell>
          <cell r="AB12">
            <v>0.78004641987215195</v>
          </cell>
          <cell r="AC12">
            <v>0.1328769183331836</v>
          </cell>
          <cell r="AD12">
            <v>1.0388028742608666</v>
          </cell>
        </row>
        <row r="13">
          <cell r="Z13">
            <v>1.048859894414335</v>
          </cell>
          <cell r="AA13">
            <v>1.2994326055707779</v>
          </cell>
          <cell r="AB13">
            <v>1.0646807692486568</v>
          </cell>
          <cell r="AC13">
            <v>2.300543280463788</v>
          </cell>
          <cell r="AD13">
            <v>1.0530401240046849</v>
          </cell>
        </row>
        <row r="14">
          <cell r="Z14">
            <v>1.0195042229505571</v>
          </cell>
          <cell r="AA14">
            <v>1.2666523308794941</v>
          </cell>
          <cell r="AB14">
            <v>1.0917317827078288</v>
          </cell>
          <cell r="AC14">
            <v>1.0558842371923283</v>
          </cell>
          <cell r="AD14">
            <v>1.0416844885673895</v>
          </cell>
        </row>
        <row r="15">
          <cell r="Z15">
            <v>1.1042840912589909</v>
          </cell>
          <cell r="AA15">
            <v>2.0698277004132728</v>
          </cell>
          <cell r="AB15">
            <v>1.6506558229265536</v>
          </cell>
          <cell r="AC15">
            <v>3.2174219622421876</v>
          </cell>
          <cell r="AD15">
            <v>1.2198806295668334</v>
          </cell>
        </row>
      </sheetData>
      <sheetData sheetId="28">
        <row r="5">
          <cell r="I5">
            <v>8.3786563781276069</v>
          </cell>
          <cell r="P5">
            <v>-7.9042854440117907</v>
          </cell>
          <cell r="W5">
            <v>1.1333786043811436</v>
          </cell>
          <cell r="AD5">
            <v>0</v>
          </cell>
          <cell r="AK5">
            <v>49.76978040405335</v>
          </cell>
          <cell r="AR5">
            <v>39.736260644737733</v>
          </cell>
          <cell r="AY5">
            <v>0</v>
          </cell>
          <cell r="BF5">
            <v>0</v>
          </cell>
          <cell r="BM5">
            <v>5.0875320564623108</v>
          </cell>
          <cell r="BT5">
            <v>0</v>
          </cell>
          <cell r="CA5">
            <v>0</v>
          </cell>
        </row>
        <row r="6">
          <cell r="I6">
            <v>50.526811254242766</v>
          </cell>
          <cell r="P6">
            <v>-20.412780125731203</v>
          </cell>
          <cell r="W6">
            <v>1.72326016474491</v>
          </cell>
          <cell r="AD6">
            <v>-0.12591244793790901</v>
          </cell>
          <cell r="AK6">
            <v>4.4242585693644862</v>
          </cell>
          <cell r="AR6">
            <v>-84.520544647134003</v>
          </cell>
          <cell r="AY6">
            <v>6.0871497449255285</v>
          </cell>
          <cell r="BF6">
            <v>-0.24927915563131853</v>
          </cell>
          <cell r="BM6">
            <v>1.7791028288735455</v>
          </cell>
          <cell r="BT6">
            <v>0</v>
          </cell>
          <cell r="CA6">
            <v>-0.17655281549377005</v>
          </cell>
        </row>
        <row r="7">
          <cell r="I7">
            <v>97.354293033143392</v>
          </cell>
          <cell r="P7">
            <v>56.852378277667995</v>
          </cell>
          <cell r="W7">
            <v>3.7422291273086201</v>
          </cell>
          <cell r="AD7">
            <v>0.3097759291328393</v>
          </cell>
          <cell r="AK7">
            <v>16.856506542334284</v>
          </cell>
          <cell r="AR7">
            <v>-77.368684048112044</v>
          </cell>
          <cell r="AY7">
            <v>1.9776596870666976</v>
          </cell>
          <cell r="BF7">
            <v>-0.2307258830720845</v>
          </cell>
          <cell r="BM7">
            <v>2.4125898577636113</v>
          </cell>
          <cell r="BT7">
            <v>0</v>
          </cell>
          <cell r="CA7">
            <v>0</v>
          </cell>
        </row>
        <row r="8">
          <cell r="I8">
            <v>89.58451876783657</v>
          </cell>
          <cell r="P8">
            <v>28.523490297794115</v>
          </cell>
          <cell r="W8">
            <v>5.5613983544938881</v>
          </cell>
          <cell r="AD8">
            <v>1.2352058798105245</v>
          </cell>
          <cell r="AK8">
            <v>29.149146004268228</v>
          </cell>
          <cell r="AR8">
            <v>-58.303837213948974</v>
          </cell>
          <cell r="AY8">
            <v>1.5596248862874549</v>
          </cell>
          <cell r="BF8">
            <v>-0.37988582930153503</v>
          </cell>
          <cell r="BM8">
            <v>2.9329085845715102</v>
          </cell>
          <cell r="BT8">
            <v>0</v>
          </cell>
          <cell r="CA8">
            <v>0</v>
          </cell>
        </row>
        <row r="9">
          <cell r="I9">
            <v>-118.39275612815726</v>
          </cell>
          <cell r="P9">
            <v>-19.476616035427313</v>
          </cell>
          <cell r="W9">
            <v>-1.4135278658136174</v>
          </cell>
          <cell r="AD9">
            <v>0</v>
          </cell>
          <cell r="AK9">
            <v>-38.084656143150873</v>
          </cell>
          <cell r="AR9">
            <v>208.45004421729365</v>
          </cell>
          <cell r="AY9">
            <v>-6.1858344362803832</v>
          </cell>
          <cell r="BF9">
            <v>0.38182369719301579</v>
          </cell>
          <cell r="BM9">
            <v>-3.3102704643254355</v>
          </cell>
          <cell r="BT9">
            <v>-5.4935444625606152E-3</v>
          </cell>
          <cell r="CA9">
            <v>0.32114025318858991</v>
          </cell>
        </row>
        <row r="10">
          <cell r="I10">
            <v>65.751185180847145</v>
          </cell>
          <cell r="P10">
            <v>-16.79057944026507</v>
          </cell>
          <cell r="W10">
            <v>4.596012856329291</v>
          </cell>
          <cell r="AD10">
            <v>-3.3912516165307958E-2</v>
          </cell>
          <cell r="AK10">
            <v>26.983400987871757</v>
          </cell>
          <cell r="AR10">
            <v>-76.065229736694334</v>
          </cell>
          <cell r="AY10">
            <v>12.002995166054514</v>
          </cell>
          <cell r="BF10">
            <v>-0.46764720416679068</v>
          </cell>
          <cell r="BM10">
            <v>-3.3691997621124012</v>
          </cell>
          <cell r="BT10">
            <v>0</v>
          </cell>
          <cell r="CA10">
            <v>-1.1396588393573055</v>
          </cell>
        </row>
        <row r="11">
          <cell r="I11">
            <v>141.63951561792305</v>
          </cell>
          <cell r="P11">
            <v>-18.555155908568153</v>
          </cell>
          <cell r="W11">
            <v>1.2268866073978242</v>
          </cell>
          <cell r="AD11">
            <v>0</v>
          </cell>
          <cell r="AK11">
            <v>25.23791556691549</v>
          </cell>
          <cell r="AR11">
            <v>-66.879644851552413</v>
          </cell>
          <cell r="AY11">
            <v>0.45342017608184182</v>
          </cell>
          <cell r="BF11">
            <v>-0.36099768021348044</v>
          </cell>
          <cell r="BM11">
            <v>2.425313326546068</v>
          </cell>
          <cell r="BT11">
            <v>1.656712011189251E-2</v>
          </cell>
          <cell r="CA11">
            <v>0.10482896326785165</v>
          </cell>
        </row>
        <row r="12">
          <cell r="I12">
            <v>8.8084191559337501</v>
          </cell>
          <cell r="P12">
            <v>-6.1284461151026193</v>
          </cell>
          <cell r="W12">
            <v>-1.466075945026112</v>
          </cell>
          <cell r="AD12">
            <v>-3.9862737489032407E-2</v>
          </cell>
          <cell r="AK12">
            <v>8.5042824388110088</v>
          </cell>
          <cell r="AR12">
            <v>6.0544998432027048</v>
          </cell>
          <cell r="AY12">
            <v>-0.75949299953872451</v>
          </cell>
          <cell r="BF12">
            <v>-0.12643525889071003</v>
          </cell>
          <cell r="BM12">
            <v>0.45601290004012374</v>
          </cell>
          <cell r="BT12">
            <v>0</v>
          </cell>
          <cell r="CA12">
            <v>0.10535502707566413</v>
          </cell>
        </row>
        <row r="13">
          <cell r="I13">
            <v>-127.04598246298886</v>
          </cell>
          <cell r="P13">
            <v>77.080675988542907</v>
          </cell>
          <cell r="W13">
            <v>-3.1726639130366654</v>
          </cell>
          <cell r="AD13">
            <v>0</v>
          </cell>
          <cell r="AK13">
            <v>-17.358197420254168</v>
          </cell>
          <cell r="AR13">
            <v>-148.65864304370268</v>
          </cell>
          <cell r="AY13">
            <v>-1.4869833482149153</v>
          </cell>
          <cell r="BF13">
            <v>0.12685713346553079</v>
          </cell>
          <cell r="BM13">
            <v>-0.99370070892552864</v>
          </cell>
          <cell r="BT13">
            <v>0</v>
          </cell>
          <cell r="CA13">
            <v>5.8190213428552524E-2</v>
          </cell>
        </row>
        <row r="14">
          <cell r="I14">
            <v>-35.793012955245636</v>
          </cell>
          <cell r="P14">
            <v>-6.5569015544258544</v>
          </cell>
          <cell r="W14">
            <v>-2.7447591561821914</v>
          </cell>
          <cell r="AD14">
            <v>-0.38731322505498283</v>
          </cell>
          <cell r="AK14">
            <v>-21.714380259058984</v>
          </cell>
          <cell r="AR14">
            <v>-95.92696387427722</v>
          </cell>
          <cell r="AY14">
            <v>-1.4348889335100814</v>
          </cell>
          <cell r="BF14">
            <v>0.16546277824901981</v>
          </cell>
          <cell r="BM14">
            <v>-1.7041217127166317</v>
          </cell>
          <cell r="BT14">
            <v>0</v>
          </cell>
          <cell r="CA14">
            <v>0</v>
          </cell>
        </row>
        <row r="15">
          <cell r="I15">
            <v>353.95159288928409</v>
          </cell>
          <cell r="P15">
            <v>-48.234956337359257</v>
          </cell>
          <cell r="W15">
            <v>-2.4056064970835909</v>
          </cell>
          <cell r="AD15">
            <v>-0.44555899894198242</v>
          </cell>
          <cell r="AK15">
            <v>-6.9910987569306977</v>
          </cell>
          <cell r="AR15">
            <v>-101.05595122317769</v>
          </cell>
          <cell r="AY15">
            <v>5.4191784080218364</v>
          </cell>
          <cell r="BF15">
            <v>-3.9683535126684211E-2</v>
          </cell>
          <cell r="BM15">
            <v>-9.843277251992788E-2</v>
          </cell>
          <cell r="BT15">
            <v>0</v>
          </cell>
          <cell r="CA15">
            <v>-7.9927882092336658E-2</v>
          </cell>
        </row>
        <row r="17">
          <cell r="J17">
            <v>-4.220055416226387E-10</v>
          </cell>
          <cell r="Q17">
            <v>0</v>
          </cell>
          <cell r="X17">
            <v>8.7538865045644343E-12</v>
          </cell>
          <cell r="AE17">
            <v>-1.9895196601282805E-13</v>
          </cell>
          <cell r="AL17">
            <v>1.9554136088117957E-11</v>
          </cell>
          <cell r="AS17">
            <v>2.0008883439004421E-10</v>
          </cell>
          <cell r="AZ17">
            <v>-7.503331289626658E-12</v>
          </cell>
          <cell r="BG17">
            <v>-7.2652994731470244E-13</v>
          </cell>
          <cell r="BN17">
            <v>-3.8831160509289475E-12</v>
          </cell>
          <cell r="BU17">
            <v>-8.8817841970012523E-15</v>
          </cell>
          <cell r="CB17">
            <v>0</v>
          </cell>
        </row>
      </sheetData>
      <sheetData sheetId="29">
        <row r="5">
          <cell r="I5">
            <v>34.829081665940826</v>
          </cell>
          <cell r="P5">
            <v>-2.8606765424281901</v>
          </cell>
          <cell r="W5">
            <v>0.61720906323744273</v>
          </cell>
          <cell r="AD5">
            <v>0</v>
          </cell>
          <cell r="AK5">
            <v>0.25294181961620188</v>
          </cell>
          <cell r="AR5">
            <v>28.184309082474932</v>
          </cell>
          <cell r="AY5">
            <v>0</v>
          </cell>
          <cell r="BF5">
            <v>0</v>
          </cell>
          <cell r="BM5">
            <v>-0.11422296433895783</v>
          </cell>
          <cell r="BT5">
            <v>0</v>
          </cell>
          <cell r="CA5">
            <v>0</v>
          </cell>
        </row>
        <row r="6">
          <cell r="I6">
            <v>52.689119234458268</v>
          </cell>
          <cell r="P6">
            <v>-11.018448621775503</v>
          </cell>
          <cell r="W6">
            <v>0.56405314290042552</v>
          </cell>
          <cell r="AD6">
            <v>0.10227557336517784</v>
          </cell>
          <cell r="AK6">
            <v>6.5374661882425418</v>
          </cell>
          <cell r="AR6">
            <v>11.583225473680683</v>
          </cell>
          <cell r="AY6">
            <v>0.6957404141877348</v>
          </cell>
          <cell r="BF6">
            <v>-4.2099226666867898E-2</v>
          </cell>
          <cell r="BM6">
            <v>0.46724922922931622</v>
          </cell>
          <cell r="BT6">
            <v>0</v>
          </cell>
          <cell r="CA6">
            <v>-2.4050860787075811E-2</v>
          </cell>
        </row>
        <row r="7">
          <cell r="I7">
            <v>29.037787602752616</v>
          </cell>
          <cell r="P7">
            <v>22.475663147571794</v>
          </cell>
          <cell r="W7">
            <v>1.3165300613334343</v>
          </cell>
          <cell r="AD7">
            <v>0.65613843754207424</v>
          </cell>
          <cell r="AK7">
            <v>0.36177955859631394</v>
          </cell>
          <cell r="AR7">
            <v>10.260260668387842</v>
          </cell>
          <cell r="AY7">
            <v>0.29037998284880912</v>
          </cell>
          <cell r="BF7">
            <v>-2.0626545718036581E-2</v>
          </cell>
          <cell r="BM7">
            <v>0.18835201187775788</v>
          </cell>
          <cell r="BT7">
            <v>0</v>
          </cell>
          <cell r="CA7">
            <v>0</v>
          </cell>
        </row>
        <row r="8">
          <cell r="I8">
            <v>-340.12405256722741</v>
          </cell>
          <cell r="P8">
            <v>-42.621253064532283</v>
          </cell>
          <cell r="W8">
            <v>-4.0658577305602766</v>
          </cell>
          <cell r="AD8">
            <v>-0.5713581752945085</v>
          </cell>
          <cell r="AK8">
            <v>-31.694480285384508</v>
          </cell>
          <cell r="AR8">
            <v>-24.319676607356044</v>
          </cell>
          <cell r="AY8">
            <v>-4.0257977065586736</v>
          </cell>
          <cell r="BF8">
            <v>0.29863097439263747</v>
          </cell>
          <cell r="BM8">
            <v>-2.4838924680038228</v>
          </cell>
          <cell r="BT8">
            <v>0</v>
          </cell>
          <cell r="CA8">
            <v>0</v>
          </cell>
        </row>
        <row r="9">
          <cell r="I9">
            <v>63.597928827574776</v>
          </cell>
          <cell r="P9">
            <v>3.7596244112094768</v>
          </cell>
          <cell r="W9">
            <v>0.15600710553995367</v>
          </cell>
          <cell r="AD9">
            <v>0</v>
          </cell>
          <cell r="AK9">
            <v>5.9889667847064798</v>
          </cell>
          <cell r="AR9">
            <v>-32.098074667801605</v>
          </cell>
          <cell r="AY9">
            <v>0.77946454885653516</v>
          </cell>
          <cell r="BF9">
            <v>-7.6876003036193144E-2</v>
          </cell>
          <cell r="BM9">
            <v>0.50613257922647104</v>
          </cell>
          <cell r="BT9">
            <v>4.187712986532117E-3</v>
          </cell>
          <cell r="CA9">
            <v>-1.1272422151664085E-2</v>
          </cell>
        </row>
        <row r="10">
          <cell r="I10">
            <v>-16.813868670400307</v>
          </cell>
          <cell r="P10">
            <v>-25.593086029467319</v>
          </cell>
          <cell r="W10">
            <v>0.43800969820412344</v>
          </cell>
          <cell r="AD10">
            <v>1.0493639004220451E-2</v>
          </cell>
          <cell r="AK10">
            <v>-1.3730170049344332</v>
          </cell>
          <cell r="AR10">
            <v>10.892570826456817</v>
          </cell>
          <cell r="AY10">
            <v>0.64625386875411794</v>
          </cell>
          <cell r="BF10">
            <v>-3.8375251141337358E-2</v>
          </cell>
          <cell r="BM10">
            <v>0.40671264588035722</v>
          </cell>
          <cell r="BT10">
            <v>0</v>
          </cell>
          <cell r="CA10">
            <v>-9.84594669345038E-3</v>
          </cell>
        </row>
        <row r="11">
          <cell r="I11">
            <v>45.990493203645293</v>
          </cell>
          <cell r="P11">
            <v>-11.93030743053427</v>
          </cell>
          <cell r="W11">
            <v>0.33735873043542769</v>
          </cell>
          <cell r="AD11">
            <v>0</v>
          </cell>
          <cell r="AK11">
            <v>4.9604609080459108</v>
          </cell>
          <cell r="AR11">
            <v>11.304375578778838</v>
          </cell>
          <cell r="AY11">
            <v>0.30238480659768285</v>
          </cell>
          <cell r="BF11">
            <v>-7.918865541797071E-2</v>
          </cell>
          <cell r="BM11">
            <v>0.36742286476413166</v>
          </cell>
          <cell r="BT11">
            <v>-1.2629067538241324E-2</v>
          </cell>
          <cell r="CA11">
            <v>-5.1080699895024818E-2</v>
          </cell>
        </row>
        <row r="12">
          <cell r="I12">
            <v>52.024544370473087</v>
          </cell>
          <cell r="P12">
            <v>-1.3561692599936066</v>
          </cell>
          <cell r="W12">
            <v>0.9651029209221601</v>
          </cell>
          <cell r="AD12">
            <v>2.1171670252327215E-2</v>
          </cell>
          <cell r="AK12">
            <v>5.4613298137119735</v>
          </cell>
          <cell r="AR12">
            <v>-1.7141195757075085</v>
          </cell>
          <cell r="AY12">
            <v>0.72998108128851136</v>
          </cell>
          <cell r="BF12">
            <v>-3.0479588926259953E-2</v>
          </cell>
          <cell r="BM12">
            <v>0.44087552824775705</v>
          </cell>
          <cell r="BT12">
            <v>0</v>
          </cell>
          <cell r="CA12">
            <v>-7.1061369004616869E-3</v>
          </cell>
        </row>
        <row r="13">
          <cell r="I13">
            <v>37.206060917759743</v>
          </cell>
          <cell r="P13">
            <v>46.770977099260648</v>
          </cell>
          <cell r="W13">
            <v>0.56336039985109598</v>
          </cell>
          <cell r="AD13">
            <v>0</v>
          </cell>
          <cell r="AK13">
            <v>4.287754345669212</v>
          </cell>
          <cell r="AR13">
            <v>8.9875534245341022</v>
          </cell>
          <cell r="AY13">
            <v>6.9485966525971452E-3</v>
          </cell>
          <cell r="BF13">
            <v>5.1821674252998133E-3</v>
          </cell>
          <cell r="BM13">
            <v>-7.5699089824712532E-2</v>
          </cell>
          <cell r="BT13">
            <v>0</v>
          </cell>
          <cell r="CA13">
            <v>-8.2358209916030285E-3</v>
          </cell>
        </row>
        <row r="14">
          <cell r="I14">
            <v>-21.209909105238214</v>
          </cell>
          <cell r="P14">
            <v>15.144181400231403</v>
          </cell>
          <cell r="W14">
            <v>0.57531133434860171</v>
          </cell>
          <cell r="AD14">
            <v>0.1217098144683213</v>
          </cell>
          <cell r="AK14">
            <v>0.82397765639783838</v>
          </cell>
          <cell r="AR14">
            <v>26.918341677522413</v>
          </cell>
          <cell r="AY14">
            <v>0.37789350657616716</v>
          </cell>
          <cell r="BF14">
            <v>4.6515213278631815E-3</v>
          </cell>
          <cell r="BM14">
            <v>0.33972140340645646</v>
          </cell>
          <cell r="BT14">
            <v>0</v>
          </cell>
          <cell r="CA14">
            <v>0</v>
          </cell>
        </row>
        <row r="15">
          <cell r="I15">
            <v>-423.65097652583563</v>
          </cell>
          <cell r="P15">
            <v>-63.989481005903045</v>
          </cell>
          <cell r="W15">
            <v>-6.3696607669506973</v>
          </cell>
          <cell r="AD15">
            <v>-0.6500296230830529</v>
          </cell>
          <cell r="AK15">
            <v>-41.788978414994467</v>
          </cell>
          <cell r="AR15">
            <v>-33.378282098744229</v>
          </cell>
          <cell r="AY15">
            <v>-5.1472545980822568</v>
          </cell>
          <cell r="BF15">
            <v>0.43849549814501904</v>
          </cell>
          <cell r="BM15">
            <v>-3.3813682777130758</v>
          </cell>
          <cell r="BT15">
            <v>0</v>
          </cell>
          <cell r="CA15">
            <v>0.24608365218323514</v>
          </cell>
        </row>
        <row r="17">
          <cell r="J17">
            <v>0</v>
          </cell>
          <cell r="Q17">
            <v>2.5465851649641991E-11</v>
          </cell>
          <cell r="X17">
            <v>2.9558577807620168E-12</v>
          </cell>
          <cell r="AE17">
            <v>2.2737367544323206E-13</v>
          </cell>
          <cell r="AL17">
            <v>4.0017766878008842E-11</v>
          </cell>
          <cell r="AZ17">
            <v>0</v>
          </cell>
          <cell r="BG17">
            <v>-4.8316906031686813E-13</v>
          </cell>
          <cell r="BN17">
            <v>-2.0463630789890885E-12</v>
          </cell>
          <cell r="BU17">
            <v>1.0658141036401503E-14</v>
          </cell>
          <cell r="CB17">
            <v>-2.2737367544323206E-13</v>
          </cell>
        </row>
      </sheetData>
      <sheetData sheetId="30">
        <row r="5">
          <cell r="J5">
            <v>-662.89771612027437</v>
          </cell>
        </row>
        <row r="6">
          <cell r="J6">
            <v>59.51463619505445</v>
          </cell>
        </row>
        <row r="7">
          <cell r="J7">
            <v>-35.175481583448402</v>
          </cell>
        </row>
        <row r="8">
          <cell r="J8">
            <v>3.2645082027318431</v>
          </cell>
        </row>
        <row r="9">
          <cell r="J9">
            <v>97.031600270738252</v>
          </cell>
        </row>
        <row r="10">
          <cell r="J10">
            <v>-47.830979925122477</v>
          </cell>
        </row>
        <row r="11">
          <cell r="J11">
            <v>-50.772822063059962</v>
          </cell>
        </row>
        <row r="12">
          <cell r="J12">
            <v>-95.574512216158084</v>
          </cell>
        </row>
        <row r="13">
          <cell r="J13">
            <v>405.10210501127693</v>
          </cell>
        </row>
        <row r="14">
          <cell r="J14">
            <v>335.74560514736544</v>
          </cell>
        </row>
        <row r="15">
          <cell r="J15">
            <v>-118.67291637974155</v>
          </cell>
        </row>
        <row r="17">
          <cell r="K17">
            <v>6.891787052154541E-7</v>
          </cell>
        </row>
      </sheetData>
      <sheetData sheetId="31" refreshError="1"/>
      <sheetData sheetId="32">
        <row r="5">
          <cell r="C5">
            <v>-70410.561243150005</v>
          </cell>
        </row>
        <row r="6">
          <cell r="C6">
            <v>-53508.58078176</v>
          </cell>
        </row>
        <row r="7">
          <cell r="C7">
            <v>72521.188922729998</v>
          </cell>
        </row>
        <row r="8">
          <cell r="C8">
            <v>103130.96280951001</v>
          </cell>
        </row>
        <row r="9">
          <cell r="C9">
            <v>-188618.90494386002</v>
          </cell>
        </row>
        <row r="10">
          <cell r="C10">
            <v>73398.087973260001</v>
          </cell>
        </row>
        <row r="11">
          <cell r="C11">
            <v>31419.130703170002</v>
          </cell>
        </row>
        <row r="12">
          <cell r="C12">
            <v>29345.239222889999</v>
          </cell>
        </row>
        <row r="13">
          <cell r="C13">
            <v>-107541.58571699999</v>
          </cell>
        </row>
        <row r="14">
          <cell r="C14">
            <v>24061.020510459999</v>
          </cell>
        </row>
        <row r="15">
          <cell r="C15">
            <v>86204.00254377001</v>
          </cell>
        </row>
      </sheetData>
      <sheetData sheetId="33" refreshError="1"/>
      <sheetData sheetId="34" refreshError="1"/>
      <sheetData sheetId="35">
        <row r="17">
          <cell r="E17">
            <v>1</v>
          </cell>
          <cell r="F17">
            <v>1</v>
          </cell>
          <cell r="G17">
            <v>1</v>
          </cell>
          <cell r="H17">
            <v>1</v>
          </cell>
        </row>
      </sheetData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13"/>
  <sheetViews>
    <sheetView showGridLines="0" tabSelected="1" workbookViewId="0">
      <selection activeCell="B5" sqref="B5"/>
    </sheetView>
  </sheetViews>
  <sheetFormatPr baseColWidth="10" defaultRowHeight="14.4" x14ac:dyDescent="0.3"/>
  <cols>
    <col min="1" max="1" width="19.88671875" customWidth="1"/>
    <col min="2" max="2" width="18.5546875" bestFit="1" customWidth="1"/>
  </cols>
  <sheetData>
    <row r="1" spans="1:9" x14ac:dyDescent="0.3">
      <c r="I1" s="108">
        <f>B5/VLOOKUP(B$5,Fylkeskommuner!$A$3:$B$26,1,TRUE)</f>
        <v>1</v>
      </c>
    </row>
    <row r="2" spans="1:9" ht="25.8" x14ac:dyDescent="0.5">
      <c r="A2" s="67" t="s">
        <v>134</v>
      </c>
    </row>
    <row r="3" spans="1:9" ht="25.8" x14ac:dyDescent="0.5">
      <c r="A3" s="67"/>
    </row>
    <row r="5" spans="1:9" ht="25.8" x14ac:dyDescent="0.5">
      <c r="A5" s="40" t="s">
        <v>1</v>
      </c>
      <c r="B5" s="87">
        <v>5000</v>
      </c>
      <c r="C5" s="119" t="str">
        <f>IF(B5=0,"",IF(I1=1,VLOOKUP(B5,Fylkeskommuner!$A$3:$B$26,2),"Kommunenr. er ikke i bruk"))</f>
        <v>TRØNDELAG</v>
      </c>
      <c r="D5" s="120"/>
      <c r="E5" s="120"/>
      <c r="F5" s="120"/>
      <c r="G5" s="120"/>
    </row>
    <row r="6" spans="1:9" ht="10.65" customHeight="1" x14ac:dyDescent="0.5">
      <c r="A6" s="40"/>
      <c r="B6" s="40"/>
      <c r="C6" s="40"/>
    </row>
    <row r="7" spans="1:9" ht="25.8" x14ac:dyDescent="0.5">
      <c r="A7" s="103"/>
      <c r="B7" s="104"/>
      <c r="C7" s="106"/>
      <c r="D7" s="105"/>
      <c r="E7" s="105"/>
      <c r="F7" s="105"/>
      <c r="G7" s="105"/>
    </row>
    <row r="8" spans="1:9" ht="18" x14ac:dyDescent="0.35">
      <c r="A8" s="105"/>
      <c r="B8" s="105"/>
      <c r="C8" s="106"/>
      <c r="D8" s="105"/>
      <c r="E8" s="105"/>
      <c r="F8" s="105"/>
      <c r="G8" s="105"/>
    </row>
    <row r="9" spans="1:9" ht="25.8" x14ac:dyDescent="0.5">
      <c r="A9" s="104"/>
      <c r="B9" s="115"/>
      <c r="C9" s="121"/>
      <c r="D9" s="122"/>
      <c r="E9" s="122"/>
      <c r="F9" s="122"/>
      <c r="G9" s="122"/>
    </row>
    <row r="10" spans="1:9" x14ac:dyDescent="0.3">
      <c r="A10" s="105"/>
      <c r="B10" s="105"/>
      <c r="C10" s="105"/>
      <c r="D10" s="105"/>
      <c r="E10" s="105"/>
      <c r="F10" s="105"/>
      <c r="G10" s="105"/>
    </row>
    <row r="11" spans="1:9" ht="25.8" x14ac:dyDescent="0.5">
      <c r="A11" s="104"/>
      <c r="B11" s="115"/>
      <c r="C11" s="121"/>
      <c r="D11" s="122"/>
      <c r="E11" s="122"/>
      <c r="F11" s="122"/>
      <c r="G11" s="122"/>
    </row>
    <row r="12" spans="1:9" x14ac:dyDescent="0.3">
      <c r="A12" s="105"/>
      <c r="B12" s="105"/>
      <c r="C12" s="105"/>
      <c r="D12" s="105"/>
      <c r="E12" s="105"/>
      <c r="F12" s="105"/>
      <c r="G12" s="105"/>
    </row>
    <row r="13" spans="1:9" ht="25.8" x14ac:dyDescent="0.5">
      <c r="A13" s="104"/>
      <c r="B13" s="115"/>
      <c r="C13" s="121"/>
      <c r="D13" s="122"/>
      <c r="E13" s="122"/>
      <c r="F13" s="122"/>
      <c r="G13" s="122"/>
    </row>
  </sheetData>
  <sheetProtection sheet="1" selectLockedCells="1"/>
  <mergeCells count="4">
    <mergeCell ref="C5:G5"/>
    <mergeCell ref="C9:G9"/>
    <mergeCell ref="C11:G11"/>
    <mergeCell ref="C13:G13"/>
  </mergeCells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1D2F-761A-4B73-A845-B72632B4D25F}">
  <dimension ref="A2:P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4" width="20.5546875" customWidth="1"/>
  </cols>
  <sheetData>
    <row r="2" spans="1:16" ht="104.25" customHeight="1" x14ac:dyDescent="0.3">
      <c r="A2" s="22" t="s">
        <v>2</v>
      </c>
      <c r="B2" s="22" t="s">
        <v>1</v>
      </c>
      <c r="C2" s="22" t="s">
        <v>21</v>
      </c>
      <c r="D2" s="22" t="s">
        <v>88</v>
      </c>
    </row>
    <row r="3" spans="1:16" x14ac:dyDescent="0.3">
      <c r="A3" s="107">
        <v>1</v>
      </c>
      <c r="B3" s="107">
        <f>+A3+1</f>
        <v>2</v>
      </c>
      <c r="C3" s="107">
        <f t="shared" ref="C3:D3" si="0">+B3+1</f>
        <v>3</v>
      </c>
      <c r="D3" s="107">
        <f t="shared" si="0"/>
        <v>4</v>
      </c>
    </row>
    <row r="5" spans="1:16" x14ac:dyDescent="0.3">
      <c r="A5" s="41">
        <v>300</v>
      </c>
      <c r="B5" s="42" t="s">
        <v>0</v>
      </c>
      <c r="C5" s="3">
        <f>(('2021 Nto driftsutg eks avskriv'!C5*1000/'2021 Nto driftsutg'!W5)-'2021 Korreksjoner'!AV5)/'2021 Nto driftsutg landet'!$C$19</f>
        <v>0.82670319181547747</v>
      </c>
      <c r="D5" s="1">
        <f>C5*'2021 Nto driftsutg landet'!$C$19-'2021 Nto driftsutg landet'!$C$19</f>
        <v>-2598.2643467288726</v>
      </c>
      <c r="E5" s="1"/>
      <c r="G5" s="5"/>
      <c r="H5" s="5"/>
      <c r="I5" s="5"/>
      <c r="J5" s="5"/>
      <c r="K5" s="5"/>
      <c r="L5" s="5"/>
      <c r="N5" s="5"/>
      <c r="P5" s="5"/>
    </row>
    <row r="6" spans="1:16" x14ac:dyDescent="0.3">
      <c r="A6" s="41">
        <v>1100</v>
      </c>
      <c r="B6" s="42" t="s">
        <v>139</v>
      </c>
      <c r="C6" s="3">
        <f>(('2021 Nto driftsutg eks avskriv'!C6*1000/'2021 Nto driftsutg'!W6)-'2021 Korreksjoner'!AV6)/'2021 Nto driftsutg landet'!$C$19</f>
        <v>0.94466558846667614</v>
      </c>
      <c r="D6" s="1">
        <f>C6*'2021 Nto driftsutg landet'!$C$19-'2021 Nto driftsutg landet'!$C$19</f>
        <v>-829.63691103399651</v>
      </c>
      <c r="G6" s="5"/>
      <c r="H6" s="5"/>
      <c r="I6" s="5"/>
      <c r="J6" s="5"/>
      <c r="K6" s="5"/>
      <c r="L6" s="5"/>
      <c r="N6" s="5"/>
    </row>
    <row r="7" spans="1:16" x14ac:dyDescent="0.3">
      <c r="A7" s="41">
        <v>1500</v>
      </c>
      <c r="B7" s="42" t="s">
        <v>140</v>
      </c>
      <c r="C7" s="3">
        <f>(('2021 Nto driftsutg eks avskriv'!C7*1000/'2021 Nto driftsutg'!W7)-'2021 Korreksjoner'!AV7)/'2021 Nto driftsutg landet'!$C$19</f>
        <v>1.0577923099792974</v>
      </c>
      <c r="D7" s="1">
        <f>C7*'2021 Nto driftsutg landet'!$C$19-'2021 Nto driftsutg landet'!$C$19</f>
        <v>866.48854129168467</v>
      </c>
      <c r="G7" s="5"/>
      <c r="H7" s="5"/>
      <c r="I7" s="5"/>
      <c r="J7" s="5"/>
      <c r="K7" s="5"/>
      <c r="L7" s="5"/>
      <c r="N7" s="5"/>
    </row>
    <row r="8" spans="1:16" x14ac:dyDescent="0.3">
      <c r="A8" s="41">
        <v>1800</v>
      </c>
      <c r="B8" s="42" t="s">
        <v>141</v>
      </c>
      <c r="C8" s="3">
        <f>(('2021 Nto driftsutg eks avskriv'!C8*1000/'2021 Nto driftsutg'!W8)-'2021 Korreksjoner'!AV8)/'2021 Nto driftsutg landet'!$C$19</f>
        <v>1.2281808635790703</v>
      </c>
      <c r="D8" s="1">
        <f>C8*'2021 Nto driftsutg landet'!$C$19-'2021 Nto driftsutg landet'!$C$19</f>
        <v>3421.1490024214654</v>
      </c>
      <c r="G8" s="5"/>
      <c r="H8" s="5"/>
      <c r="I8" s="5"/>
      <c r="J8" s="5"/>
      <c r="K8" s="5"/>
      <c r="L8" s="5"/>
      <c r="N8" s="5"/>
    </row>
    <row r="9" spans="1:16" x14ac:dyDescent="0.3">
      <c r="A9" s="41">
        <v>3000</v>
      </c>
      <c r="B9" s="42" t="s">
        <v>403</v>
      </c>
      <c r="C9" s="3">
        <f>(('2021 Nto driftsutg eks avskriv'!C9*1000/'2021 Nto driftsutg'!W9)-'2021 Korreksjoner'!AV9)/'2021 Nto driftsutg landet'!$C$19</f>
        <v>0.98649645145009357</v>
      </c>
      <c r="D9" s="1">
        <f>C9*'2021 Nto driftsutg landet'!$C$19-'2021 Nto driftsutg landet'!$C$19</f>
        <v>-202.46067494899035</v>
      </c>
      <c r="G9" s="5"/>
      <c r="H9" s="5"/>
      <c r="I9" s="5"/>
      <c r="J9" s="5"/>
      <c r="K9" s="5"/>
      <c r="L9" s="5"/>
      <c r="N9" s="5"/>
    </row>
    <row r="10" spans="1:16" x14ac:dyDescent="0.3">
      <c r="A10" s="41">
        <v>3400</v>
      </c>
      <c r="B10" s="42" t="s">
        <v>404</v>
      </c>
      <c r="C10" s="3">
        <f>(('2021 Nto driftsutg eks avskriv'!C10*1000/'2021 Nto driftsutg'!W10)-'2021 Korreksjoner'!AV10)/'2021 Nto driftsutg landet'!$C$19</f>
        <v>0.98568227754121618</v>
      </c>
      <c r="D10" s="1">
        <f>C10*'2021 Nto driftsutg landet'!$C$19-'2021 Nto driftsutg landet'!$C$19</f>
        <v>-214.66770323551646</v>
      </c>
      <c r="G10" s="5"/>
      <c r="H10" s="5"/>
      <c r="I10" s="5"/>
      <c r="J10" s="5"/>
      <c r="K10" s="5"/>
      <c r="L10" s="5"/>
      <c r="N10" s="5"/>
    </row>
    <row r="11" spans="1:16" x14ac:dyDescent="0.3">
      <c r="A11" s="41">
        <v>3800</v>
      </c>
      <c r="B11" s="42" t="s">
        <v>405</v>
      </c>
      <c r="C11" s="3">
        <f>(('2021 Nto driftsutg eks avskriv'!C11*1000/'2021 Nto driftsutg'!W11)-'2021 Korreksjoner'!AV11)/'2021 Nto driftsutg landet'!$C$19</f>
        <v>0.97509570731532258</v>
      </c>
      <c r="D11" s="1">
        <f>C11*'2021 Nto driftsutg landet'!$C$19-'2021 Nto driftsutg landet'!$C$19</f>
        <v>-373.39369628896202</v>
      </c>
      <c r="G11" s="5"/>
      <c r="H11" s="5"/>
      <c r="I11" s="5"/>
      <c r="J11" s="5"/>
      <c r="K11" s="5"/>
      <c r="L11" s="5"/>
      <c r="N11" s="5"/>
    </row>
    <row r="12" spans="1:16" x14ac:dyDescent="0.3">
      <c r="A12" s="41">
        <v>4200</v>
      </c>
      <c r="B12" s="42" t="s">
        <v>406</v>
      </c>
      <c r="C12" s="3">
        <f>(('2021 Nto driftsutg eks avskriv'!C12*1000/'2021 Nto driftsutg'!W12)-'2021 Korreksjoner'!AV12)/'2021 Nto driftsutg landet'!$C$19</f>
        <v>0.99649775172996313</v>
      </c>
      <c r="D12" s="1">
        <f>C12*'2021 Nto driftsutg landet'!$C$19-'2021 Nto driftsutg landet'!$C$19</f>
        <v>-52.509719646655867</v>
      </c>
      <c r="G12" s="5"/>
      <c r="H12" s="5"/>
      <c r="I12" s="5"/>
      <c r="J12" s="5"/>
      <c r="K12" s="5"/>
      <c r="L12" s="5"/>
      <c r="N12" s="5"/>
    </row>
    <row r="13" spans="1:16" x14ac:dyDescent="0.3">
      <c r="A13" s="41">
        <v>4600</v>
      </c>
      <c r="B13" s="42" t="s">
        <v>407</v>
      </c>
      <c r="C13" s="3">
        <f>(('2021 Nto driftsutg eks avskriv'!C13*1000/'2021 Nto driftsutg'!W13)-'2021 Korreksjoner'!AV13)/'2021 Nto driftsutg landet'!$C$19</f>
        <v>1.0704001605992597</v>
      </c>
      <c r="D13" s="1">
        <f>C13*'2021 Nto driftsutg landet'!$C$19-'2021 Nto driftsutg landet'!$C$19</f>
        <v>1055.5198864036556</v>
      </c>
      <c r="G13" s="5"/>
      <c r="H13" s="5"/>
      <c r="I13" s="5"/>
      <c r="J13" s="5"/>
      <c r="K13" s="5"/>
      <c r="L13" s="5"/>
      <c r="N13" s="5"/>
    </row>
    <row r="14" spans="1:16" x14ac:dyDescent="0.3">
      <c r="A14" s="41">
        <v>5000</v>
      </c>
      <c r="B14" s="42" t="s">
        <v>388</v>
      </c>
      <c r="C14" s="3">
        <f>(('2021 Nto driftsutg eks avskriv'!C14*1000/'2021 Nto driftsutg'!W14)-'2021 Korreksjoner'!AV14)/'2021 Nto driftsutg landet'!$C$19</f>
        <v>0.99550196845823791</v>
      </c>
      <c r="D14" s="1">
        <f>C14*'2021 Nto driftsutg landet'!$C$19-'2021 Nto driftsutg landet'!$C$19</f>
        <v>-67.43964362562474</v>
      </c>
      <c r="G14" s="5"/>
      <c r="H14" s="5"/>
      <c r="I14" s="5"/>
      <c r="J14" s="5"/>
      <c r="K14" s="5"/>
      <c r="L14" s="5"/>
      <c r="N14" s="5"/>
    </row>
    <row r="15" spans="1:16" x14ac:dyDescent="0.3">
      <c r="A15" s="41">
        <v>5400</v>
      </c>
      <c r="B15" s="42" t="s">
        <v>408</v>
      </c>
      <c r="C15" s="3">
        <f>(('2021 Nto driftsutg eks avskriv'!C15*1000/'2021 Nto driftsutg'!W15)-'2021 Korreksjoner'!AV15)/'2021 Nto driftsutg landet'!$C$19</f>
        <v>1.2825881633944662</v>
      </c>
      <c r="D15" s="1">
        <f>C15*'2021 Nto driftsutg landet'!$C$19-'2021 Nto driftsutg landet'!$C$19</f>
        <v>4236.8855921087379</v>
      </c>
      <c r="G15" s="5"/>
      <c r="H15" s="5"/>
      <c r="I15" s="5"/>
      <c r="J15" s="5"/>
      <c r="K15" s="5"/>
      <c r="L15" s="5"/>
      <c r="N15" s="5"/>
    </row>
    <row r="17" spans="2:4" x14ac:dyDescent="0.3">
      <c r="B17" s="1" t="s">
        <v>3</v>
      </c>
      <c r="C17" s="3">
        <f>(('2021 Nto driftsutg eks avskriv'!C17*1000/'2021 Nto driftsutg'!W17)-'2021 Korreksjoner'!AV17)/'2021 Nto driftsutg landet'!$C$19</f>
        <v>1.0000010461625322</v>
      </c>
      <c r="D17" s="98">
        <f>C17*'2021 Nto driftsutg landet'!$C$19-'2021 Nto driftsutg landet'!$C$19</f>
        <v>1.5685267586377449E-2</v>
      </c>
    </row>
  </sheetData>
  <sheetProtection algorithmName="SHA-512" hashValue="uFxmmWemLSPTf7ToShhwm2kcibrFdwizHxIkylyB7nRhTiMv73ZcqG5hfF+Sk33iq7KP5+0Dh60z3MQOpLqOjA==" saltValue="wHzgLl/qH+k6IeyHsWTEZ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36F0-E154-43FF-B0BB-75E3668748A8}">
  <dimension ref="A2:F25"/>
  <sheetViews>
    <sheetView workbookViewId="0"/>
  </sheetViews>
  <sheetFormatPr baseColWidth="10" defaultRowHeight="14.4" x14ac:dyDescent="0.3"/>
  <cols>
    <col min="1" max="3" width="40.5546875" customWidth="1"/>
    <col min="4" max="5" width="21" customWidth="1"/>
  </cols>
  <sheetData>
    <row r="2" spans="1:6" ht="27" x14ac:dyDescent="0.3">
      <c r="A2" s="22" t="s">
        <v>10</v>
      </c>
      <c r="B2" s="22" t="s">
        <v>114</v>
      </c>
      <c r="C2" s="22" t="s">
        <v>115</v>
      </c>
      <c r="D2" s="22" t="s">
        <v>72</v>
      </c>
      <c r="E2" s="22" t="s">
        <v>74</v>
      </c>
    </row>
    <row r="3" spans="1:6" x14ac:dyDescent="0.3">
      <c r="A3" s="111"/>
      <c r="B3" s="111"/>
      <c r="C3" s="111"/>
      <c r="D3" s="111"/>
      <c r="E3" s="111"/>
    </row>
    <row r="4" spans="1:6" x14ac:dyDescent="0.3">
      <c r="A4" s="107">
        <v>1</v>
      </c>
      <c r="B4" s="107">
        <f>+A4+1</f>
        <v>2</v>
      </c>
      <c r="C4" s="107">
        <f t="shared" ref="C4:E4" si="0">+B4+1</f>
        <v>3</v>
      </c>
      <c r="D4" s="107">
        <f t="shared" si="0"/>
        <v>4</v>
      </c>
      <c r="E4" s="107">
        <f t="shared" si="0"/>
        <v>5</v>
      </c>
    </row>
    <row r="5" spans="1:6" x14ac:dyDescent="0.3">
      <c r="A5" s="112" t="s">
        <v>30</v>
      </c>
      <c r="B5" s="112"/>
      <c r="C5" s="112"/>
      <c r="D5" s="44"/>
      <c r="E5" s="5"/>
    </row>
    <row r="6" spans="1:6" x14ac:dyDescent="0.3">
      <c r="A6" t="s">
        <v>171</v>
      </c>
      <c r="B6" s="53">
        <f>+'2021 Bto driftsutg eks avskriv'!D$17*1000/'2021 Nto driftsutg'!W$17</f>
        <v>7290.9183470401204</v>
      </c>
      <c r="C6" s="53">
        <f>+'2021 Nto driftsutg eks avskriv'!D$17*1000/'2021 Nto driftsutg'!$W$17</f>
        <v>6149.8019650766173</v>
      </c>
      <c r="D6" s="44">
        <f>+'2021 Lønnsgr arbavg tjeneste'!D$17*1000/(B6*'2021 Nto driftsutg'!$W$17)</f>
        <v>0.61853793640683663</v>
      </c>
      <c r="E6" s="44">
        <f>+'2021 Arbavg tjeneste'!D$17/'2021 Lønnsgr arbavg tjeneste'!D$17</f>
        <v>0.12564880215488397</v>
      </c>
    </row>
    <row r="7" spans="1:6" x14ac:dyDescent="0.3">
      <c r="A7" t="s">
        <v>172</v>
      </c>
      <c r="B7" s="53">
        <f>+'2021 Bto driftsutg eks avskriv'!E$17*1000/'2021 Nto driftsutg'!W$17</f>
        <v>1807.7907003651544</v>
      </c>
      <c r="C7" s="53">
        <f>+'2021 Nto driftsutg eks avskriv'!E$17*1000/'2021 Nto driftsutg'!$W$17</f>
        <v>1649.3516543020182</v>
      </c>
      <c r="D7" s="44">
        <f>+'2021 Lønnsgr arbavg tjeneste'!E$17*1000/(B7*'2021 Nto driftsutg'!$W$17)</f>
        <v>8.5066524367896384E-2</v>
      </c>
      <c r="E7" s="44">
        <f>+'2021 Arbavg tjeneste'!E$17/'2021 Lønnsgr arbavg tjeneste'!E$17</f>
        <v>0.19733335259405854</v>
      </c>
    </row>
    <row r="8" spans="1:6" x14ac:dyDescent="0.3">
      <c r="A8" t="s">
        <v>275</v>
      </c>
      <c r="B8" s="53">
        <f>+'2021 Bto driftsutg eks avskriv'!F$17*1000/'2021 Nto driftsutg'!W$17</f>
        <v>3333.4826655806141</v>
      </c>
      <c r="C8" s="53">
        <f>+'2021 Nto driftsutg eks avskriv'!F$17*1000/'2021 Nto driftsutg'!$W$17</f>
        <v>2513.2689415151362</v>
      </c>
      <c r="D8" s="44">
        <f>+'2021 Lønnsgr arbavg tjeneste'!F$17*1000/(B8*'2021 Nto driftsutg'!$W$17)</f>
        <v>1.6624136649915671E-2</v>
      </c>
      <c r="E8" s="44">
        <f>+'2021 Arbavg tjeneste'!F$17/'2021 Lønnsgr arbavg tjeneste'!F$17</f>
        <v>0.12867255277285042</v>
      </c>
    </row>
    <row r="9" spans="1:6" x14ac:dyDescent="0.3">
      <c r="A9" t="s">
        <v>276</v>
      </c>
      <c r="B9" s="53">
        <f>+'2021 Bto driftsutg eks avskriv'!G$17*1000/'2021 Nto driftsutg'!W$17</f>
        <v>1044.3540840364137</v>
      </c>
      <c r="C9" s="53">
        <f>+'2021 Nto driftsutg eks avskriv'!G$17*1000/'2021 Nto driftsutg'!$W$17</f>
        <v>810.19544320669399</v>
      </c>
      <c r="D9" s="44">
        <f>+'2021 Lønnsgr arbavg tjeneste'!G$17*1000/(B9*'2021 Nto driftsutg'!$W$17)</f>
        <v>6.6493920500129569E-3</v>
      </c>
      <c r="E9" s="44">
        <f>+'2021 Arbavg tjeneste'!G$17/'2021 Lønnsgr arbavg tjeneste'!G$17</f>
        <v>0.11420345489443379</v>
      </c>
    </row>
    <row r="10" spans="1:6" x14ac:dyDescent="0.3">
      <c r="A10" t="s">
        <v>173</v>
      </c>
      <c r="B10" s="53">
        <f>+'2021 Bto driftsutg eks avskriv'!H$17*1000/'2021 Nto driftsutg'!W$17</f>
        <v>677.02100678937211</v>
      </c>
      <c r="C10" s="53">
        <f>+'2021 Nto driftsutg eks avskriv'!H$17*1000/'2021 Nto driftsutg'!$W$17</f>
        <v>502.17898580572307</v>
      </c>
      <c r="D10" s="44">
        <f>+'2021 Lønnsgr arbavg tjeneste'!H$17*1000/(B10*'2021 Nto driftsutg'!$W$17)</f>
        <v>0.6401975965430996</v>
      </c>
      <c r="E10" s="44">
        <f>+'2021 Arbavg tjeneste'!H$17/'2021 Lønnsgr arbavg tjeneste'!H$17</f>
        <v>0.11599377781042823</v>
      </c>
    </row>
    <row r="11" spans="1:6" x14ac:dyDescent="0.3">
      <c r="A11" s="112"/>
      <c r="B11" s="53"/>
      <c r="C11" s="53"/>
      <c r="D11" s="7"/>
      <c r="E11" s="44"/>
    </row>
    <row r="12" spans="1:6" x14ac:dyDescent="0.3">
      <c r="A12" s="112" t="s">
        <v>73</v>
      </c>
      <c r="B12" s="53"/>
      <c r="C12" s="53"/>
      <c r="D12" s="44"/>
      <c r="E12" s="44"/>
    </row>
    <row r="13" spans="1:6" x14ac:dyDescent="0.3">
      <c r="A13" t="s">
        <v>4</v>
      </c>
      <c r="B13" s="53">
        <f>+'2021 Bto driftsutg eks avskriv'!K$17*1000/'2021 Nto driftsutg'!W$17</f>
        <v>828.3419029679784</v>
      </c>
      <c r="C13" s="53">
        <f>+'2021 Nto driftsutg eks avskriv'!K$17*1000/'2021 Nto driftsutg'!$W$17</f>
        <v>764.95388132714402</v>
      </c>
      <c r="D13" s="44">
        <f>+'2021 Lønnsgr arbavg tjeneste'!K$17*1000/(B13*'2021 Nto driftsutg'!$W$17)</f>
        <v>0.56162552815272482</v>
      </c>
      <c r="E13" s="44">
        <f>+'2021 Arbavg tjeneste'!K$17/'2021 Lønnsgr arbavg tjeneste'!K$17</f>
        <v>9.5700959719477632E-2</v>
      </c>
    </row>
    <row r="14" spans="1:6" x14ac:dyDescent="0.3">
      <c r="A14" t="s">
        <v>174</v>
      </c>
      <c r="B14" s="53">
        <f>+'2021 Bto driftsutg eks avskriv'!L$17*1000/'2021 Nto driftsutg'!W$17</f>
        <v>447.65611621998119</v>
      </c>
      <c r="C14" s="53">
        <f>+'2021 Nto driftsutg eks avskriv'!L$17*1000/'2021 Nto driftsutg'!$W$17</f>
        <v>202.80571843775022</v>
      </c>
      <c r="D14" s="44">
        <f>+'2021 Lønnsgr arbavg tjeneste'!L$17*1000/(B14*'2021 Nto driftsutg'!$W$17)</f>
        <v>0.25666209018427233</v>
      </c>
      <c r="E14" s="44">
        <f>+'2021 Arbavg tjeneste'!L$17/'2021 Lønnsgr arbavg tjeneste'!L$17</f>
        <v>0.12668814952066382</v>
      </c>
    </row>
    <row r="15" spans="1:6" x14ac:dyDescent="0.3">
      <c r="A15" t="s">
        <v>36</v>
      </c>
      <c r="B15" s="53">
        <f>+'2021 Bto driftsutg eks avskriv'!M$17*1000/'2021 Nto driftsutg'!W$17</f>
        <v>471.2905360688286</v>
      </c>
      <c r="C15" s="53">
        <f>+'2021 Nto driftsutg eks avskriv'!M$17*1000/'2021 Nto driftsutg'!$W$17</f>
        <v>63.379135755045752</v>
      </c>
      <c r="D15" s="44">
        <f>+'2021 Lønnsgr arbavg tjeneste'!M$17*1000/(B15*'2021 Nto driftsutg'!$W$17)</f>
        <v>8.9319431902142685E-2</v>
      </c>
      <c r="E15" s="44">
        <f>+'2021 Arbavg tjeneste'!M$17/'2021 Lønnsgr arbavg tjeneste'!M$17</f>
        <v>0.12288031241204615</v>
      </c>
      <c r="F15" s="44"/>
    </row>
    <row r="16" spans="1:6" x14ac:dyDescent="0.3">
      <c r="A16" t="s">
        <v>175</v>
      </c>
      <c r="B16" s="53">
        <f>+'2021 Bto driftsutg eks avskriv'!N$17*1000/'2021 Nto driftsutg'!W$17</f>
        <v>734.27628625510818</v>
      </c>
      <c r="C16" s="53">
        <f>+'2021 Nto driftsutg eks avskriv'!N$17*1000/'2021 Nto driftsutg'!$W$17</f>
        <v>340.20761501899818</v>
      </c>
      <c r="D16" s="44">
        <f>+'2021 Lønnsgr arbavg tjeneste'!N$17*1000/(B16*'2021 Nto driftsutg'!$W$17)</f>
        <v>8.5798521189825019E-2</v>
      </c>
      <c r="E16" s="44">
        <f>+'2021 Arbavg tjeneste'!N$17/'2021 Lønnsgr arbavg tjeneste'!N$17</f>
        <v>0.11600756947995088</v>
      </c>
      <c r="F16" s="44"/>
    </row>
    <row r="17" spans="1:6" x14ac:dyDescent="0.3">
      <c r="A17" t="s">
        <v>37</v>
      </c>
      <c r="B17" s="53">
        <f>+'2021 Bto driftsutg eks avskriv'!O$17*1000/'2021 Nto driftsutg'!W$17</f>
        <v>3.8407390095014184</v>
      </c>
      <c r="C17" s="53">
        <f>+'2021 Nto driftsutg eks avskriv'!O$17*1000/'2021 Nto driftsutg'!$W$17</f>
        <v>-0.21196540058221064</v>
      </c>
      <c r="D17" s="44">
        <f>+'2021 Lønnsgr arbavg tjeneste'!O$17*1000/(B17*'2021 Nto driftsutg'!$W$17)</f>
        <v>8.0348966115582982E-2</v>
      </c>
      <c r="E17" s="44">
        <f>+'2021 Arbavg tjeneste'!O$17/'2021 Lønnsgr arbavg tjeneste'!O$17</f>
        <v>0.10617876424715057</v>
      </c>
      <c r="F17" s="44"/>
    </row>
    <row r="18" spans="1:6" x14ac:dyDescent="0.3">
      <c r="A18" t="s">
        <v>38</v>
      </c>
      <c r="B18" s="53">
        <f>+'2021 Bto driftsutg eks avskriv'!P$17*1000/'2021 Nto driftsutg'!W$17</f>
        <v>49.312963674313771</v>
      </c>
      <c r="C18" s="53">
        <f>+'2021 Nto driftsutg eks avskriv'!P$17*1000/'2021 Nto driftsutg'!$W$17</f>
        <v>0.38412943773632058</v>
      </c>
      <c r="D18" s="44">
        <f>+'2021 Lønnsgr arbavg tjeneste'!P$17*1000/(B18*'2021 Nto driftsutg'!$W$17)</f>
        <v>0.20457241534649748</v>
      </c>
      <c r="E18" s="44">
        <f>+'2021 Arbavg tjeneste'!P$17/'2021 Lønnsgr arbavg tjeneste'!P$17</f>
        <v>9.103754541784416E-2</v>
      </c>
      <c r="F18" s="44"/>
    </row>
    <row r="19" spans="1:6" x14ac:dyDescent="0.3">
      <c r="A19" s="112"/>
      <c r="B19" s="112"/>
      <c r="C19" s="53"/>
      <c r="D19" s="44"/>
      <c r="E19" s="7"/>
    </row>
    <row r="20" spans="1:6" x14ac:dyDescent="0.3">
      <c r="A20" s="112" t="s">
        <v>26</v>
      </c>
      <c r="B20" s="53"/>
      <c r="C20" s="53"/>
      <c r="D20" s="44"/>
      <c r="E20" s="44">
        <f>+'2021 Arbavg tjeneste'!R$17/'2021 Lønnsgr arbavg tjeneste'!R$17</f>
        <v>9.2570484733039943E-2</v>
      </c>
    </row>
    <row r="21" spans="1:6" x14ac:dyDescent="0.3">
      <c r="A21" s="112"/>
      <c r="B21" s="112"/>
      <c r="C21" s="53"/>
      <c r="D21" s="44"/>
      <c r="E21" s="7"/>
    </row>
    <row r="22" spans="1:6" x14ac:dyDescent="0.3">
      <c r="A22" s="112" t="s">
        <v>75</v>
      </c>
      <c r="B22" s="112"/>
      <c r="C22" s="53"/>
      <c r="D22" s="44">
        <f>+'2021 Lønnsgr arbavg tjeneste'!C$17/'2021 Bto driftsutg eks avskriv'!C17</f>
        <v>0.34490613882280047</v>
      </c>
      <c r="E22" s="44">
        <f>+'2021 Arbavg tjeneste'!C$17/'2021 Lønnsgr arbavg tjeneste'!C$17</f>
        <v>0.12517193017304185</v>
      </c>
    </row>
    <row r="23" spans="1:6" x14ac:dyDescent="0.3">
      <c r="A23" s="112"/>
      <c r="B23" s="112"/>
      <c r="C23" s="112"/>
      <c r="D23" s="44"/>
      <c r="E23" s="7"/>
    </row>
    <row r="24" spans="1:6" x14ac:dyDescent="0.3">
      <c r="A24" s="112"/>
      <c r="B24" s="7"/>
      <c r="C24" s="7"/>
      <c r="D24" s="44"/>
      <c r="E24" s="44"/>
    </row>
    <row r="25" spans="1:6" x14ac:dyDescent="0.3">
      <c r="A25" s="112"/>
      <c r="B25" s="112"/>
      <c r="C25" s="112"/>
      <c r="D25" s="7"/>
      <c r="E25" s="7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F6B2-0DBB-4E69-9E5C-4012D60B799D}">
  <dimension ref="A2:H24"/>
  <sheetViews>
    <sheetView workbookViewId="0"/>
  </sheetViews>
  <sheetFormatPr baseColWidth="10" defaultRowHeight="14.4" x14ac:dyDescent="0.3"/>
  <cols>
    <col min="1" max="3" width="40.5546875" customWidth="1"/>
    <col min="4" max="5" width="21" customWidth="1"/>
    <col min="8" max="8" width="11.5546875" style="86"/>
  </cols>
  <sheetData>
    <row r="2" spans="1:7" x14ac:dyDescent="0.3">
      <c r="A2" s="22" t="s">
        <v>10</v>
      </c>
      <c r="B2" s="22" t="s">
        <v>114</v>
      </c>
      <c r="C2" s="22" t="s">
        <v>115</v>
      </c>
      <c r="D2" s="22" t="s">
        <v>72</v>
      </c>
      <c r="E2" s="22" t="s">
        <v>97</v>
      </c>
    </row>
    <row r="3" spans="1:7" x14ac:dyDescent="0.3">
      <c r="A3" s="111"/>
      <c r="B3" s="111"/>
      <c r="C3" s="111"/>
      <c r="D3" s="111"/>
      <c r="E3" s="111"/>
    </row>
    <row r="4" spans="1:7" x14ac:dyDescent="0.3">
      <c r="A4" s="107">
        <v>1</v>
      </c>
      <c r="B4" s="107">
        <f>+A4+1</f>
        <v>2</v>
      </c>
      <c r="C4" s="107">
        <f t="shared" ref="C4" si="0">+B4+1</f>
        <v>3</v>
      </c>
      <c r="D4" s="107">
        <f>+A4+1</f>
        <v>2</v>
      </c>
      <c r="E4" s="107">
        <f>+D4+1</f>
        <v>3</v>
      </c>
    </row>
    <row r="5" spans="1:7" x14ac:dyDescent="0.3">
      <c r="A5" s="112" t="s">
        <v>30</v>
      </c>
      <c r="B5" s="112"/>
      <c r="C5" s="112"/>
      <c r="D5" s="44"/>
      <c r="E5" s="5"/>
    </row>
    <row r="6" spans="1:7" x14ac:dyDescent="0.3">
      <c r="A6" t="s">
        <v>171</v>
      </c>
      <c r="B6" s="53">
        <f>+'2021 Bto driftsutg eks avskriv'!D$17*1000/'2021 Nto driftsutg'!W$17</f>
        <v>7290.9183470401204</v>
      </c>
      <c r="C6" s="53">
        <f>+'2021 Nto driftsutg eks avskriv'!D$17*1000/'2021 Nto driftsutg'!$W$17</f>
        <v>6149.8019650766173</v>
      </c>
      <c r="D6" s="44">
        <f>+'2021 Lønnsgr pensjon tjeneste'!D$17*1000/(B6*'2021 Nto driftsutg'!$W$17)</f>
        <v>0.55490328434464886</v>
      </c>
      <c r="E6" s="44">
        <f>+'2021 Pensjon tjeneste'!D$17/'2021 Lønnsgr pensjon tjeneste'!D$17</f>
        <v>0.11467701463930151</v>
      </c>
      <c r="G6" s="53"/>
    </row>
    <row r="7" spans="1:7" x14ac:dyDescent="0.3">
      <c r="A7" t="s">
        <v>172</v>
      </c>
      <c r="B7" s="53">
        <f>+'2021 Bto driftsutg eks avskriv'!E$17*1000/'2021 Nto driftsutg'!W$17</f>
        <v>1807.7907003651544</v>
      </c>
      <c r="C7" s="53">
        <f>+'2021 Nto driftsutg eks avskriv'!E$17*1000/'2021 Nto driftsutg'!$W$17</f>
        <v>1649.3516543020182</v>
      </c>
      <c r="D7" s="44">
        <f>+'2021 Lønnsgr pensjon tjeneste'!E$17*1000/(B7*'2021 Nto driftsutg'!$W$17)</f>
        <v>6.5058063858109208E-2</v>
      </c>
      <c r="E7" s="44">
        <f>+'2021 Pensjon tjeneste'!E$17/'2021 Lønnsgr pensjon tjeneste'!E$17</f>
        <v>0.30754774002228813</v>
      </c>
      <c r="G7" s="53"/>
    </row>
    <row r="8" spans="1:7" x14ac:dyDescent="0.3">
      <c r="A8" t="s">
        <v>275</v>
      </c>
      <c r="B8" s="53">
        <f>+'2021 Bto driftsutg eks avskriv'!F$17*1000/'2021 Nto driftsutg'!W$17</f>
        <v>3333.4826655806141</v>
      </c>
      <c r="C8" s="53">
        <f>+'2021 Nto driftsutg eks avskriv'!F$17*1000/'2021 Nto driftsutg'!$W$17</f>
        <v>2513.2689415151362</v>
      </c>
      <c r="D8" s="44">
        <f>+'2021 Lønnsgr pensjon tjeneste'!F$17*1000/(B8*'2021 Nto driftsutg'!$W$17)</f>
        <v>1.3766397195740075E-2</v>
      </c>
      <c r="E8" s="44">
        <f>+'2021 Pensjon tjeneste'!F$17/'2021 Lønnsgr pensjon tjeneste'!F$17</f>
        <v>0.2075880430836258</v>
      </c>
      <c r="G8" s="53"/>
    </row>
    <row r="9" spans="1:7" x14ac:dyDescent="0.3">
      <c r="A9" t="s">
        <v>276</v>
      </c>
      <c r="B9" s="53">
        <f>+'2021 Bto driftsutg eks avskriv'!G$17*1000/'2021 Nto driftsutg'!W$17</f>
        <v>1044.3540840364137</v>
      </c>
      <c r="C9" s="53">
        <f>+'2021 Nto driftsutg eks avskriv'!G$17*1000/'2021 Nto driftsutg'!$W$17</f>
        <v>810.19544320669399</v>
      </c>
      <c r="D9" s="44">
        <f>+'2021 Lønnsgr pensjon tjeneste'!G$17*1000/(B9*'2021 Nto driftsutg'!$W$17)</f>
        <v>5.6937812443609024E-3</v>
      </c>
      <c r="E9" s="44">
        <f>+'2021 Pensjon tjeneste'!G$17/'2021 Lønnsgr pensjon tjeneste'!G$17</f>
        <v>0.16783412720650043</v>
      </c>
      <c r="G9" s="53"/>
    </row>
    <row r="10" spans="1:7" x14ac:dyDescent="0.3">
      <c r="A10" t="s">
        <v>173</v>
      </c>
      <c r="B10" s="53">
        <f>+'2021 Bto driftsutg eks avskriv'!H$17*1000/'2021 Nto driftsutg'!W$17</f>
        <v>677.02100678937211</v>
      </c>
      <c r="C10" s="53">
        <f>+'2021 Nto driftsutg eks avskriv'!H$17*1000/'2021 Nto driftsutg'!$W$17</f>
        <v>502.17898580572307</v>
      </c>
      <c r="D10" s="44">
        <f>+'2021 Lønnsgr pensjon tjeneste'!H$17*1000/(B10*'2021 Nto driftsutg'!$W$17)</f>
        <v>0.52903231451603416</v>
      </c>
      <c r="E10" s="44">
        <f>+'2021 Pensjon tjeneste'!H$17/'2021 Lønnsgr pensjon tjeneste'!H$17</f>
        <v>0.21012947409225999</v>
      </c>
      <c r="G10" s="53"/>
    </row>
    <row r="11" spans="1:7" x14ac:dyDescent="0.3">
      <c r="A11" s="112"/>
      <c r="B11" s="53"/>
      <c r="C11" s="53"/>
      <c r="D11" s="7"/>
      <c r="E11" s="44"/>
      <c r="G11" s="53"/>
    </row>
    <row r="12" spans="1:7" x14ac:dyDescent="0.3">
      <c r="A12" s="112" t="s">
        <v>73</v>
      </c>
      <c r="B12" s="53"/>
      <c r="C12" s="53"/>
      <c r="D12" s="44"/>
      <c r="E12" s="44"/>
      <c r="G12" s="53"/>
    </row>
    <row r="13" spans="1:7" x14ac:dyDescent="0.3">
      <c r="A13" t="s">
        <v>4</v>
      </c>
      <c r="B13" s="53">
        <f>+'2021 Bto driftsutg eks avskriv'!K$17*1000/'2021 Nto driftsutg'!W$17</f>
        <v>828.3419029679784</v>
      </c>
      <c r="C13" s="53">
        <f>+'2021 Nto driftsutg eks avskriv'!K$17*1000/'2021 Nto driftsutg'!$W$17</f>
        <v>764.95388132714402</v>
      </c>
      <c r="D13" s="44">
        <f>+'2021 Lønnsgr pensjon tjeneste'!K$17*1000/(B13*'2021 Nto driftsutg'!$W$17)</f>
        <v>0.41705795298664139</v>
      </c>
      <c r="E13" s="44">
        <f>+'2021 Pensjon tjeneste'!K$17/'2021 Lønnsgr pensjon tjeneste'!K$17</f>
        <v>0.34663665836079627</v>
      </c>
      <c r="G13" s="53"/>
    </row>
    <row r="14" spans="1:7" x14ac:dyDescent="0.3">
      <c r="A14" t="s">
        <v>174</v>
      </c>
      <c r="B14" s="53">
        <f>+'2021 Bto driftsutg eks avskriv'!L$17*1000/'2021 Nto driftsutg'!W$17</f>
        <v>447.65611621998119</v>
      </c>
      <c r="C14" s="53">
        <f>+'2021 Nto driftsutg eks avskriv'!L$17*1000/'2021 Nto driftsutg'!$W$17</f>
        <v>202.80571843775022</v>
      </c>
      <c r="D14" s="44">
        <f>+'2021 Lønnsgr pensjon tjeneste'!L$17*1000/(B14*'2021 Nto driftsutg'!$W$17)</f>
        <v>0.21408757071492374</v>
      </c>
      <c r="E14" s="44">
        <f>+'2021 Pensjon tjeneste'!L$17/'2021 Lønnsgr pensjon tjeneste'!L$17</f>
        <v>0.19886497533310926</v>
      </c>
      <c r="G14" s="53"/>
    </row>
    <row r="15" spans="1:7" x14ac:dyDescent="0.3">
      <c r="A15" t="s">
        <v>36</v>
      </c>
      <c r="B15" s="53">
        <f>+'2021 Bto driftsutg eks avskriv'!M$17*1000/'2021 Nto driftsutg'!W$17</f>
        <v>471.2905360688286</v>
      </c>
      <c r="C15" s="53">
        <f>+'2021 Nto driftsutg eks avskriv'!M$17*1000/'2021 Nto driftsutg'!$W$17</f>
        <v>63.379135755045752</v>
      </c>
      <c r="D15" s="44">
        <f>+'2021 Lønnsgr pensjon tjeneste'!M$17*1000/(B15*'2021 Nto driftsutg'!$W$17)</f>
        <v>7.5568311932969576E-2</v>
      </c>
      <c r="E15" s="44">
        <f>+'2021 Pensjon tjeneste'!M$17/'2021 Lønnsgr pensjon tjeneste'!M$17</f>
        <v>0.18196939454424485</v>
      </c>
      <c r="G15" s="53"/>
    </row>
    <row r="16" spans="1:7" x14ac:dyDescent="0.3">
      <c r="A16" t="s">
        <v>175</v>
      </c>
      <c r="B16" s="53">
        <f>+'2021 Bto driftsutg eks avskriv'!N$17*1000/'2021 Nto driftsutg'!W$17</f>
        <v>734.27628625510818</v>
      </c>
      <c r="C16" s="53">
        <f>+'2021 Nto driftsutg eks avskriv'!N$17*1000/'2021 Nto driftsutg'!$W$17</f>
        <v>340.20761501899818</v>
      </c>
      <c r="D16" s="44">
        <f>+'2021 Lønnsgr pensjon tjeneste'!N$17*1000/(B16*'2021 Nto driftsutg'!$W$17)</f>
        <v>7.2708923284201019E-2</v>
      </c>
      <c r="E16" s="44">
        <f>+'2021 Pensjon tjeneste'!N$17/'2021 Lønnsgr pensjon tjeneste'!N$17</f>
        <v>0.18002739298531528</v>
      </c>
      <c r="G16" s="53"/>
    </row>
    <row r="17" spans="1:7" x14ac:dyDescent="0.3">
      <c r="A17" t="s">
        <v>37</v>
      </c>
      <c r="B17" s="53">
        <f>+'2021 Bto driftsutg eks avskriv'!O$17*1000/'2021 Nto driftsutg'!W$17</f>
        <v>3.8407390095014184</v>
      </c>
      <c r="C17" s="53">
        <f>+'2021 Nto driftsutg eks avskriv'!O$17*1000/'2021 Nto driftsutg'!$W$17</f>
        <v>-0.21196540058221064</v>
      </c>
      <c r="D17" s="44">
        <f>+'2021 Lønnsgr pensjon tjeneste'!O$17*1000/(B17*'2021 Nto driftsutg'!$W$17)</f>
        <v>6.8925627801609865E-2</v>
      </c>
      <c r="E17" s="44">
        <f>+'2021 Pensjon tjeneste'!O$17/'2021 Lønnsgr pensjon tjeneste'!O$17</f>
        <v>0.16573426573426572</v>
      </c>
      <c r="G17" s="53"/>
    </row>
    <row r="18" spans="1:7" x14ac:dyDescent="0.3">
      <c r="A18" t="s">
        <v>38</v>
      </c>
      <c r="B18" s="53">
        <f>+'2021 Bto driftsutg eks avskriv'!P$17*1000/'2021 Nto driftsutg'!W$17</f>
        <v>49.312963674313771</v>
      </c>
      <c r="C18" s="53">
        <f>+'2021 Nto driftsutg eks avskriv'!P$17*1000/'2021 Nto driftsutg'!$W$17</f>
        <v>0.38412943773632058</v>
      </c>
      <c r="D18" s="44">
        <f>+'2021 Lønnsgr pensjon tjeneste'!P$17*1000/(B18*'2021 Nto driftsutg'!$W$17)</f>
        <v>0.16815451610481266</v>
      </c>
      <c r="E18" s="44">
        <f>+'2021 Pensjon tjeneste'!P$17/'2021 Lønnsgr pensjon tjeneste'!P$17</f>
        <v>0.21657401826178196</v>
      </c>
      <c r="G18" s="53"/>
    </row>
    <row r="19" spans="1:7" x14ac:dyDescent="0.3">
      <c r="A19" s="112"/>
      <c r="B19" s="112"/>
      <c r="C19" s="112"/>
      <c r="D19" s="44"/>
      <c r="E19" s="7"/>
    </row>
    <row r="20" spans="1:7" x14ac:dyDescent="0.3">
      <c r="A20" s="112"/>
      <c r="B20" s="112"/>
      <c r="C20" s="112"/>
      <c r="D20" s="44"/>
      <c r="E20" s="7"/>
    </row>
    <row r="21" spans="1:7" x14ac:dyDescent="0.3">
      <c r="A21" s="112" t="s">
        <v>75</v>
      </c>
      <c r="B21" s="112"/>
      <c r="C21" s="112"/>
      <c r="D21" s="44">
        <f>+'2021 Lønnsgr pensjon tjeneste'!C$17/('2021 Bto driftsutg eks avskriv'!C17-'2021 Bto driftsutg eks avskriv'!J17)</f>
        <v>0.30954827858540995</v>
      </c>
      <c r="E21" s="44">
        <f>+'2021 Pensjon tjeneste'!C$17/'2021 Lønnsgr pensjon tjeneste'!C$17</f>
        <v>0.11422405706460624</v>
      </c>
      <c r="G21" s="5"/>
    </row>
    <row r="22" spans="1:7" x14ac:dyDescent="0.3">
      <c r="A22" s="112"/>
      <c r="B22" s="112"/>
      <c r="C22" s="112"/>
      <c r="D22" s="44"/>
      <c r="E22" s="7"/>
    </row>
    <row r="23" spans="1:7" x14ac:dyDescent="0.3">
      <c r="A23" s="112"/>
      <c r="B23" s="7"/>
      <c r="C23" s="7"/>
      <c r="D23" s="7"/>
      <c r="E23" s="7"/>
    </row>
    <row r="24" spans="1:7" x14ac:dyDescent="0.3">
      <c r="A24" s="112"/>
      <c r="B24" s="112"/>
      <c r="C24" s="112"/>
      <c r="D24" s="7"/>
      <c r="E24" s="7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8D07-C945-461C-858D-2B15FAE6D3D3}">
  <sheetPr>
    <tabColor rgb="FF92D050"/>
  </sheetPr>
  <dimension ref="A1:R20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  <col min="6" max="6" width="13.109375" customWidth="1"/>
    <col min="7" max="7" width="12.88671875" customWidth="1"/>
    <col min="9" max="9" width="12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58</v>
      </c>
      <c r="D2" s="22" t="s">
        <v>191</v>
      </c>
      <c r="E2" s="22" t="s">
        <v>192</v>
      </c>
      <c r="F2" s="22" t="s">
        <v>289</v>
      </c>
      <c r="G2" s="22" t="s">
        <v>290</v>
      </c>
      <c r="H2" s="22" t="s">
        <v>193</v>
      </c>
      <c r="I2" s="11" t="s">
        <v>70</v>
      </c>
      <c r="J2" s="22" t="s">
        <v>60</v>
      </c>
      <c r="K2" s="22" t="s">
        <v>194</v>
      </c>
      <c r="L2" s="22" t="s">
        <v>195</v>
      </c>
      <c r="M2" s="22" t="s">
        <v>61</v>
      </c>
      <c r="N2" s="22" t="s">
        <v>196</v>
      </c>
      <c r="O2" s="22" t="s">
        <v>62</v>
      </c>
      <c r="P2" s="22" t="s">
        <v>63</v>
      </c>
      <c r="Q2" s="22" t="s">
        <v>197</v>
      </c>
      <c r="R2" s="22" t="s">
        <v>59</v>
      </c>
    </row>
    <row r="3" spans="1:18" x14ac:dyDescent="0.3">
      <c r="A3" s="107">
        <v>1</v>
      </c>
      <c r="B3" s="107">
        <v>2</v>
      </c>
      <c r="C3" s="107">
        <v>3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0">
        <f>+H3+1</f>
        <v>10</v>
      </c>
      <c r="J3" s="107">
        <f>+I3+1</f>
        <v>11</v>
      </c>
      <c r="K3" s="107">
        <f t="shared" ref="K3:R3" si="0">+J3+1</f>
        <v>12</v>
      </c>
      <c r="L3" s="107">
        <f t="shared" si="0"/>
        <v>13</v>
      </c>
      <c r="M3" s="107">
        <f t="shared" si="0"/>
        <v>14</v>
      </c>
      <c r="N3" s="107">
        <f t="shared" si="0"/>
        <v>15</v>
      </c>
      <c r="O3" s="107">
        <f t="shared" si="0"/>
        <v>16</v>
      </c>
      <c r="P3" s="107">
        <f t="shared" si="0"/>
        <v>17</v>
      </c>
      <c r="Q3" s="107">
        <f t="shared" si="0"/>
        <v>18</v>
      </c>
      <c r="R3" s="107">
        <f t="shared" si="0"/>
        <v>19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2086461.2409620245</v>
      </c>
      <c r="D5" s="5">
        <v>2093745</v>
      </c>
      <c r="E5" s="5">
        <v>0</v>
      </c>
      <c r="F5" s="5">
        <v>25410</v>
      </c>
      <c r="G5" s="5">
        <v>0</v>
      </c>
      <c r="H5" s="5">
        <v>162511</v>
      </c>
      <c r="I5" s="9">
        <f t="shared" ref="I5:I15" si="2">SUM(J5:Q5)</f>
        <v>89996</v>
      </c>
      <c r="J5" s="5"/>
      <c r="K5" s="5">
        <v>85526</v>
      </c>
      <c r="L5" s="5">
        <v>0</v>
      </c>
      <c r="M5" s="5">
        <v>0</v>
      </c>
      <c r="N5" s="5">
        <v>4470</v>
      </c>
      <c r="O5" s="5">
        <v>0</v>
      </c>
      <c r="P5" s="5">
        <v>0</v>
      </c>
      <c r="Q5" s="5"/>
      <c r="R5" s="118">
        <v>-285200.75903797551</v>
      </c>
    </row>
    <row r="6" spans="1:18" x14ac:dyDescent="0.3">
      <c r="A6" s="41">
        <v>1100</v>
      </c>
      <c r="B6" s="42" t="s">
        <v>139</v>
      </c>
      <c r="C6" s="5">
        <f t="shared" si="1"/>
        <v>2704484</v>
      </c>
      <c r="D6" s="5">
        <v>2237871</v>
      </c>
      <c r="E6" s="5">
        <v>72747</v>
      </c>
      <c r="F6" s="5">
        <v>5377</v>
      </c>
      <c r="G6" s="5">
        <v>133</v>
      </c>
      <c r="H6" s="5">
        <v>241789</v>
      </c>
      <c r="I6" s="9">
        <f t="shared" si="2"/>
        <v>201438</v>
      </c>
      <c r="J6" s="5"/>
      <c r="K6" s="5">
        <v>112548</v>
      </c>
      <c r="L6" s="5">
        <v>52691</v>
      </c>
      <c r="M6" s="5">
        <v>14485</v>
      </c>
      <c r="N6" s="5">
        <v>14459</v>
      </c>
      <c r="O6" s="5">
        <v>0</v>
      </c>
      <c r="P6" s="5">
        <v>7255</v>
      </c>
      <c r="Q6" s="5"/>
      <c r="R6" s="5">
        <v>-54871</v>
      </c>
    </row>
    <row r="7" spans="1:18" x14ac:dyDescent="0.3">
      <c r="A7" s="41">
        <v>1500</v>
      </c>
      <c r="B7" s="42" t="s">
        <v>140</v>
      </c>
      <c r="C7" s="5">
        <f t="shared" si="1"/>
        <v>1600915</v>
      </c>
      <c r="D7" s="5">
        <v>1267271</v>
      </c>
      <c r="E7" s="5">
        <v>51981</v>
      </c>
      <c r="F7" s="5">
        <v>18201</v>
      </c>
      <c r="G7" s="5">
        <v>13845</v>
      </c>
      <c r="H7" s="5">
        <v>116337</v>
      </c>
      <c r="I7" s="9">
        <f t="shared" si="2"/>
        <v>192884</v>
      </c>
      <c r="J7" s="5"/>
      <c r="K7" s="5">
        <v>120787</v>
      </c>
      <c r="L7" s="5">
        <v>40744</v>
      </c>
      <c r="M7" s="5">
        <v>15770</v>
      </c>
      <c r="N7" s="5">
        <v>15581</v>
      </c>
      <c r="O7" s="5">
        <v>0</v>
      </c>
      <c r="P7" s="5">
        <v>2</v>
      </c>
      <c r="Q7" s="5"/>
      <c r="R7" s="5">
        <v>-59604</v>
      </c>
    </row>
    <row r="8" spans="1:18" x14ac:dyDescent="0.3">
      <c r="A8" s="41">
        <v>1800</v>
      </c>
      <c r="B8" s="42" t="s">
        <v>141</v>
      </c>
      <c r="C8" s="5">
        <f t="shared" si="1"/>
        <v>1965086</v>
      </c>
      <c r="D8" s="5">
        <v>1480899</v>
      </c>
      <c r="E8" s="5">
        <v>53749</v>
      </c>
      <c r="F8" s="5">
        <v>10584</v>
      </c>
      <c r="G8" s="5">
        <v>9276</v>
      </c>
      <c r="H8" s="5">
        <v>193188</v>
      </c>
      <c r="I8" s="9">
        <f t="shared" si="2"/>
        <v>271731</v>
      </c>
      <c r="J8" s="5"/>
      <c r="K8" s="5">
        <v>161225</v>
      </c>
      <c r="L8" s="5">
        <v>49591</v>
      </c>
      <c r="M8" s="5">
        <v>24460</v>
      </c>
      <c r="N8" s="5">
        <v>36411</v>
      </c>
      <c r="O8" s="5">
        <v>44</v>
      </c>
      <c r="P8" s="5">
        <v>0</v>
      </c>
      <c r="Q8" s="5"/>
      <c r="R8" s="5">
        <v>-54341</v>
      </c>
    </row>
    <row r="9" spans="1:18" x14ac:dyDescent="0.3">
      <c r="A9" s="41">
        <v>3000</v>
      </c>
      <c r="B9" s="42" t="s">
        <v>403</v>
      </c>
      <c r="C9" s="5">
        <f t="shared" si="1"/>
        <v>6816474</v>
      </c>
      <c r="D9" s="5">
        <v>5522595</v>
      </c>
      <c r="E9" s="5">
        <v>141737</v>
      </c>
      <c r="F9" s="5">
        <v>41988</v>
      </c>
      <c r="G9" s="5">
        <v>0</v>
      </c>
      <c r="H9" s="5">
        <v>369653</v>
      </c>
      <c r="I9" s="9">
        <f t="shared" si="2"/>
        <v>895008</v>
      </c>
      <c r="J9" s="5"/>
      <c r="K9" s="5">
        <v>685484</v>
      </c>
      <c r="L9" s="5">
        <v>116708</v>
      </c>
      <c r="M9" s="5">
        <v>26416</v>
      </c>
      <c r="N9" s="5">
        <v>63858</v>
      </c>
      <c r="O9" s="5">
        <v>0</v>
      </c>
      <c r="P9" s="5">
        <v>2542</v>
      </c>
      <c r="Q9" s="5"/>
      <c r="R9" s="5">
        <v>-154507</v>
      </c>
    </row>
    <row r="10" spans="1:18" x14ac:dyDescent="0.3">
      <c r="A10" s="41">
        <v>3400</v>
      </c>
      <c r="B10" s="42" t="s">
        <v>404</v>
      </c>
      <c r="C10" s="5">
        <f t="shared" si="1"/>
        <v>2488613</v>
      </c>
      <c r="D10" s="5">
        <v>1883124</v>
      </c>
      <c r="E10" s="5">
        <v>104376</v>
      </c>
      <c r="F10" s="5">
        <v>38503</v>
      </c>
      <c r="G10" s="5">
        <v>7528</v>
      </c>
      <c r="H10" s="5">
        <v>173256</v>
      </c>
      <c r="I10" s="9">
        <f t="shared" si="2"/>
        <v>316901</v>
      </c>
      <c r="J10" s="5"/>
      <c r="K10" s="5">
        <v>205231</v>
      </c>
      <c r="L10" s="5">
        <v>55890</v>
      </c>
      <c r="M10" s="5">
        <v>25139</v>
      </c>
      <c r="N10" s="5">
        <v>30641</v>
      </c>
      <c r="O10" s="5">
        <v>0</v>
      </c>
      <c r="P10" s="5">
        <v>0</v>
      </c>
      <c r="Q10" s="5"/>
      <c r="R10" s="5">
        <v>-35075</v>
      </c>
    </row>
    <row r="11" spans="1:18" x14ac:dyDescent="0.3">
      <c r="A11" s="41">
        <v>3800</v>
      </c>
      <c r="B11" s="42" t="s">
        <v>405</v>
      </c>
      <c r="C11" s="5">
        <f t="shared" si="1"/>
        <v>2612467</v>
      </c>
      <c r="D11" s="5">
        <v>1966104</v>
      </c>
      <c r="E11" s="5">
        <v>146714</v>
      </c>
      <c r="F11" s="5">
        <v>26666</v>
      </c>
      <c r="G11" s="5">
        <v>0</v>
      </c>
      <c r="H11" s="5">
        <v>176978</v>
      </c>
      <c r="I11" s="9">
        <f t="shared" si="2"/>
        <v>346333</v>
      </c>
      <c r="J11" s="5"/>
      <c r="K11" s="5">
        <v>215327</v>
      </c>
      <c r="L11" s="5">
        <v>75323</v>
      </c>
      <c r="M11" s="5">
        <v>23872</v>
      </c>
      <c r="N11" s="5">
        <v>29795</v>
      </c>
      <c r="O11" s="5">
        <v>1623</v>
      </c>
      <c r="P11" s="5">
        <v>393</v>
      </c>
      <c r="Q11" s="5"/>
      <c r="R11" s="5">
        <v>-50328</v>
      </c>
    </row>
    <row r="12" spans="1:18" x14ac:dyDescent="0.3">
      <c r="A12" s="41">
        <v>4200</v>
      </c>
      <c r="B12" s="42" t="s">
        <v>406</v>
      </c>
      <c r="C12" s="5">
        <f t="shared" si="1"/>
        <v>1958971</v>
      </c>
      <c r="D12" s="5">
        <v>1568330</v>
      </c>
      <c r="E12" s="5">
        <v>56639</v>
      </c>
      <c r="F12" s="5">
        <v>1797</v>
      </c>
      <c r="G12" s="5">
        <v>630</v>
      </c>
      <c r="H12" s="5">
        <v>127895</v>
      </c>
      <c r="I12" s="9">
        <f t="shared" si="2"/>
        <v>276416</v>
      </c>
      <c r="J12" s="5"/>
      <c r="K12" s="5">
        <v>187336</v>
      </c>
      <c r="L12" s="5">
        <v>72040</v>
      </c>
      <c r="M12" s="5">
        <v>1135</v>
      </c>
      <c r="N12" s="5">
        <v>15861</v>
      </c>
      <c r="O12" s="5">
        <v>0</v>
      </c>
      <c r="P12" s="5">
        <v>44</v>
      </c>
      <c r="Q12" s="5"/>
      <c r="R12" s="5">
        <v>-72736</v>
      </c>
    </row>
    <row r="13" spans="1:18" x14ac:dyDescent="0.3">
      <c r="A13" s="41">
        <v>4600</v>
      </c>
      <c r="B13" s="42" t="s">
        <v>407</v>
      </c>
      <c r="C13" s="5">
        <f t="shared" si="1"/>
        <v>3571970</v>
      </c>
      <c r="D13" s="5">
        <v>2706466</v>
      </c>
      <c r="E13" s="5">
        <v>65671</v>
      </c>
      <c r="F13" s="5">
        <v>72043</v>
      </c>
      <c r="G13" s="5">
        <v>0</v>
      </c>
      <c r="H13" s="5">
        <v>267152</v>
      </c>
      <c r="I13" s="9">
        <f t="shared" si="2"/>
        <v>412450</v>
      </c>
      <c r="J13" s="5"/>
      <c r="K13" s="5">
        <v>278055</v>
      </c>
      <c r="L13" s="5">
        <v>45078</v>
      </c>
      <c r="M13" s="5">
        <v>50729</v>
      </c>
      <c r="N13" s="5">
        <v>37626</v>
      </c>
      <c r="O13" s="5">
        <v>0</v>
      </c>
      <c r="P13" s="5">
        <v>962</v>
      </c>
      <c r="Q13" s="5"/>
      <c r="R13" s="5">
        <v>48188</v>
      </c>
    </row>
    <row r="14" spans="1:18" x14ac:dyDescent="0.3">
      <c r="A14" s="41">
        <v>5000</v>
      </c>
      <c r="B14" s="42" t="s">
        <v>388</v>
      </c>
      <c r="C14" s="5">
        <f t="shared" si="1"/>
        <v>2837050</v>
      </c>
      <c r="D14" s="5">
        <v>2190420</v>
      </c>
      <c r="E14" s="5">
        <v>78085</v>
      </c>
      <c r="F14" s="5">
        <v>18251</v>
      </c>
      <c r="G14" s="5">
        <v>3761</v>
      </c>
      <c r="H14" s="5">
        <v>260529</v>
      </c>
      <c r="I14" s="9">
        <f t="shared" si="2"/>
        <v>356438</v>
      </c>
      <c r="J14" s="5"/>
      <c r="K14" s="5">
        <v>228167</v>
      </c>
      <c r="L14" s="5">
        <v>61356</v>
      </c>
      <c r="M14" s="5">
        <v>23282</v>
      </c>
      <c r="N14" s="5">
        <v>43633</v>
      </c>
      <c r="O14" s="5">
        <v>0</v>
      </c>
      <c r="P14" s="5">
        <v>0</v>
      </c>
      <c r="Q14" s="5"/>
      <c r="R14" s="5">
        <v>-70434</v>
      </c>
    </row>
    <row r="15" spans="1:18" x14ac:dyDescent="0.3">
      <c r="A15" s="41">
        <v>5400</v>
      </c>
      <c r="B15" s="42" t="s">
        <v>408</v>
      </c>
      <c r="C15" s="5">
        <f t="shared" si="1"/>
        <v>2127488</v>
      </c>
      <c r="D15" s="5">
        <v>1443837</v>
      </c>
      <c r="E15" s="5">
        <v>59007</v>
      </c>
      <c r="F15" s="5">
        <v>40529</v>
      </c>
      <c r="G15" s="5">
        <v>2339</v>
      </c>
      <c r="H15" s="5">
        <v>252010</v>
      </c>
      <c r="I15" s="9">
        <f t="shared" si="2"/>
        <v>397948</v>
      </c>
      <c r="J15" s="5"/>
      <c r="K15" s="5">
        <v>233340</v>
      </c>
      <c r="L15" s="5">
        <v>51229</v>
      </c>
      <c r="M15" s="5">
        <v>22104</v>
      </c>
      <c r="N15" s="5">
        <v>47979</v>
      </c>
      <c r="O15" s="5">
        <v>0</v>
      </c>
      <c r="P15" s="5">
        <v>43296</v>
      </c>
      <c r="Q15" s="5"/>
      <c r="R15" s="5">
        <v>-68182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3">SUM(C5:C16)</f>
        <v>30769979.240962025</v>
      </c>
      <c r="D17" s="5">
        <f t="shared" si="3"/>
        <v>24360662</v>
      </c>
      <c r="E17" s="5">
        <f t="shared" si="3"/>
        <v>830706</v>
      </c>
      <c r="F17" s="5">
        <f t="shared" si="3"/>
        <v>299349</v>
      </c>
      <c r="G17" s="5">
        <f t="shared" si="3"/>
        <v>37512</v>
      </c>
      <c r="H17" s="5">
        <f t="shared" si="3"/>
        <v>2341298</v>
      </c>
      <c r="I17" s="15">
        <f t="shared" si="3"/>
        <v>3757543</v>
      </c>
      <c r="J17" s="5">
        <f t="shared" si="3"/>
        <v>0</v>
      </c>
      <c r="K17" s="5">
        <f t="shared" si="3"/>
        <v>2513026</v>
      </c>
      <c r="L17" s="5">
        <f t="shared" si="3"/>
        <v>620650</v>
      </c>
      <c r="M17" s="5">
        <f t="shared" si="3"/>
        <v>227392</v>
      </c>
      <c r="N17" s="5">
        <f t="shared" si="3"/>
        <v>340314</v>
      </c>
      <c r="O17" s="5">
        <f t="shared" si="3"/>
        <v>1667</v>
      </c>
      <c r="P17" s="5">
        <f t="shared" si="3"/>
        <v>54494</v>
      </c>
      <c r="Q17" s="5">
        <f t="shared" si="3"/>
        <v>0</v>
      </c>
      <c r="R17" s="5">
        <f t="shared" si="3"/>
        <v>-857090.75903797545</v>
      </c>
    </row>
    <row r="18" spans="2:18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2F72-5FE5-4CF9-A112-45A36792BEC7}">
  <sheetPr>
    <tabColor rgb="FF92D050"/>
  </sheetPr>
  <dimension ref="A1:R20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106.2" x14ac:dyDescent="0.3">
      <c r="A2" s="22" t="s">
        <v>2</v>
      </c>
      <c r="B2" s="22" t="s">
        <v>1</v>
      </c>
      <c r="C2" s="22" t="s">
        <v>64</v>
      </c>
      <c r="D2" s="22" t="s">
        <v>198</v>
      </c>
      <c r="E2" s="22" t="s">
        <v>199</v>
      </c>
      <c r="F2" s="22" t="s">
        <v>291</v>
      </c>
      <c r="G2" s="22" t="s">
        <v>292</v>
      </c>
      <c r="H2" s="22" t="s">
        <v>200</v>
      </c>
      <c r="I2" s="11" t="s">
        <v>71</v>
      </c>
      <c r="J2" s="22" t="s">
        <v>66</v>
      </c>
      <c r="K2" s="22" t="s">
        <v>201</v>
      </c>
      <c r="L2" s="22" t="s">
        <v>202</v>
      </c>
      <c r="M2" s="22" t="s">
        <v>67</v>
      </c>
      <c r="N2" s="22" t="s">
        <v>203</v>
      </c>
      <c r="O2" s="22" t="s">
        <v>68</v>
      </c>
      <c r="P2" s="22" t="s">
        <v>69</v>
      </c>
      <c r="Q2" s="22" t="s">
        <v>204</v>
      </c>
      <c r="R2" s="22" t="s">
        <v>65</v>
      </c>
    </row>
    <row r="3" spans="1:18" x14ac:dyDescent="0.3">
      <c r="A3" s="107">
        <v>1</v>
      </c>
      <c r="B3" s="107">
        <v>2</v>
      </c>
      <c r="C3" s="107">
        <f>+B3+1</f>
        <v>3</v>
      </c>
      <c r="D3" s="107">
        <f t="shared" ref="D3:H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>+I3+1</f>
        <v>10</v>
      </c>
      <c r="K3" s="107">
        <f t="shared" ref="K3:R3" si="1">+J3+1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2">SUM(D5:I5)+R5</f>
        <v>278985.69297564548</v>
      </c>
      <c r="D5" s="5">
        <v>288343</v>
      </c>
      <c r="E5" s="5">
        <v>0</v>
      </c>
      <c r="F5" s="5">
        <v>3511</v>
      </c>
      <c r="G5" s="5">
        <v>0</v>
      </c>
      <c r="H5" s="5">
        <v>21162</v>
      </c>
      <c r="I5" s="9">
        <f t="shared" ref="I5:I15" si="3">SUM(J5:Q5)</f>
        <v>6183</v>
      </c>
      <c r="J5" s="5"/>
      <c r="K5" s="5">
        <v>5612</v>
      </c>
      <c r="L5" s="5">
        <v>0</v>
      </c>
      <c r="M5" s="5">
        <v>0</v>
      </c>
      <c r="N5" s="5">
        <v>571</v>
      </c>
      <c r="O5" s="5">
        <v>0</v>
      </c>
      <c r="P5" s="5">
        <v>0</v>
      </c>
      <c r="Q5" s="5"/>
      <c r="R5" s="118">
        <v>-40213.307024354523</v>
      </c>
    </row>
    <row r="6" spans="1:18" x14ac:dyDescent="0.3">
      <c r="A6" s="41">
        <v>1100</v>
      </c>
      <c r="B6" s="42" t="s">
        <v>139</v>
      </c>
      <c r="C6" s="5">
        <f t="shared" si="2"/>
        <v>378860</v>
      </c>
      <c r="D6" s="5">
        <v>313515</v>
      </c>
      <c r="E6" s="5">
        <v>10247</v>
      </c>
      <c r="F6" s="5">
        <v>751</v>
      </c>
      <c r="G6" s="5">
        <v>19</v>
      </c>
      <c r="H6" s="5">
        <v>33554</v>
      </c>
      <c r="I6" s="9">
        <f t="shared" si="3"/>
        <v>28512</v>
      </c>
      <c r="J6" s="5"/>
      <c r="K6" s="5">
        <v>16007</v>
      </c>
      <c r="L6" s="5">
        <v>7416</v>
      </c>
      <c r="M6" s="5">
        <v>2035</v>
      </c>
      <c r="N6" s="5">
        <v>2030</v>
      </c>
      <c r="O6" s="5">
        <v>0</v>
      </c>
      <c r="P6" s="5">
        <v>1024</v>
      </c>
      <c r="Q6" s="5"/>
      <c r="R6" s="5">
        <v>-7738</v>
      </c>
    </row>
    <row r="7" spans="1:18" x14ac:dyDescent="0.3">
      <c r="A7" s="41">
        <v>1500</v>
      </c>
      <c r="B7" s="42" t="s">
        <v>140</v>
      </c>
      <c r="C7" s="5">
        <f t="shared" si="2"/>
        <v>227687</v>
      </c>
      <c r="D7" s="5">
        <v>171009</v>
      </c>
      <c r="E7" s="5">
        <v>15915</v>
      </c>
      <c r="F7" s="5">
        <v>2531</v>
      </c>
      <c r="G7" s="5">
        <v>1967</v>
      </c>
      <c r="H7" s="5">
        <v>14750</v>
      </c>
      <c r="I7" s="9">
        <f t="shared" si="3"/>
        <v>26935</v>
      </c>
      <c r="J7" s="5"/>
      <c r="K7" s="5">
        <v>17073</v>
      </c>
      <c r="L7" s="5">
        <v>5595</v>
      </c>
      <c r="M7" s="5">
        <v>2170</v>
      </c>
      <c r="N7" s="5">
        <v>2098</v>
      </c>
      <c r="O7" s="5">
        <v>0</v>
      </c>
      <c r="P7" s="5">
        <v>-1</v>
      </c>
      <c r="Q7" s="5"/>
      <c r="R7" s="5">
        <v>-5420</v>
      </c>
    </row>
    <row r="8" spans="1:18" x14ac:dyDescent="0.3">
      <c r="A8" s="41">
        <v>1800</v>
      </c>
      <c r="B8" s="42" t="s">
        <v>141</v>
      </c>
      <c r="C8" s="5">
        <f t="shared" si="2"/>
        <v>121256</v>
      </c>
      <c r="D8" s="5">
        <v>85421</v>
      </c>
      <c r="E8" s="5">
        <v>5473</v>
      </c>
      <c r="F8" s="5">
        <v>832</v>
      </c>
      <c r="G8" s="5">
        <v>689</v>
      </c>
      <c r="H8" s="5">
        <v>10879</v>
      </c>
      <c r="I8" s="9">
        <f t="shared" si="3"/>
        <v>20225</v>
      </c>
      <c r="J8" s="5"/>
      <c r="K8" s="5">
        <v>12566</v>
      </c>
      <c r="L8" s="5">
        <v>3607</v>
      </c>
      <c r="M8" s="5">
        <v>1797</v>
      </c>
      <c r="N8" s="5">
        <v>2251</v>
      </c>
      <c r="O8" s="5">
        <v>4</v>
      </c>
      <c r="P8" s="5">
        <v>0</v>
      </c>
      <c r="Q8" s="5"/>
      <c r="R8" s="5">
        <v>-2263</v>
      </c>
    </row>
    <row r="9" spans="1:18" x14ac:dyDescent="0.3">
      <c r="A9" s="41">
        <v>3000</v>
      </c>
      <c r="B9" s="42" t="s">
        <v>403</v>
      </c>
      <c r="C9" s="5">
        <f t="shared" si="2"/>
        <v>922366</v>
      </c>
      <c r="D9" s="5">
        <v>777543</v>
      </c>
      <c r="E9" s="5">
        <v>36591</v>
      </c>
      <c r="F9" s="5">
        <v>5695</v>
      </c>
      <c r="G9" s="5">
        <v>0</v>
      </c>
      <c r="H9" s="5">
        <v>51696</v>
      </c>
      <c r="I9" s="9">
        <f t="shared" si="3"/>
        <v>55893</v>
      </c>
      <c r="J9" s="5"/>
      <c r="K9" s="5">
        <v>26317</v>
      </c>
      <c r="L9" s="5">
        <v>16400</v>
      </c>
      <c r="M9" s="5">
        <v>3843</v>
      </c>
      <c r="N9" s="5">
        <v>8976</v>
      </c>
      <c r="O9" s="5">
        <v>0</v>
      </c>
      <c r="P9" s="5">
        <v>357</v>
      </c>
      <c r="Q9" s="5"/>
      <c r="R9" s="5">
        <v>-5052</v>
      </c>
    </row>
    <row r="10" spans="1:18" x14ac:dyDescent="0.3">
      <c r="A10" s="41">
        <v>3400</v>
      </c>
      <c r="B10" s="42" t="s">
        <v>404</v>
      </c>
      <c r="C10" s="5">
        <f t="shared" si="2"/>
        <v>313841</v>
      </c>
      <c r="D10" s="5">
        <v>234146</v>
      </c>
      <c r="E10" s="5">
        <v>12632</v>
      </c>
      <c r="F10" s="5">
        <v>5436</v>
      </c>
      <c r="G10" s="5">
        <v>1060</v>
      </c>
      <c r="H10" s="5">
        <v>20826</v>
      </c>
      <c r="I10" s="9">
        <f t="shared" si="3"/>
        <v>44687</v>
      </c>
      <c r="J10" s="5"/>
      <c r="K10" s="5">
        <v>28925</v>
      </c>
      <c r="L10" s="5">
        <v>7896</v>
      </c>
      <c r="M10" s="5">
        <v>3531</v>
      </c>
      <c r="N10" s="5">
        <v>4335</v>
      </c>
      <c r="O10" s="5">
        <v>0</v>
      </c>
      <c r="P10" s="5">
        <v>0</v>
      </c>
      <c r="Q10" s="5"/>
      <c r="R10" s="5">
        <v>-4946</v>
      </c>
    </row>
    <row r="11" spans="1:18" x14ac:dyDescent="0.3">
      <c r="A11" s="41">
        <v>3800</v>
      </c>
      <c r="B11" s="42" t="s">
        <v>405</v>
      </c>
      <c r="C11" s="5">
        <f t="shared" si="2"/>
        <v>363652</v>
      </c>
      <c r="D11" s="5">
        <v>273262</v>
      </c>
      <c r="E11" s="5">
        <v>20798</v>
      </c>
      <c r="F11" s="5">
        <v>4262</v>
      </c>
      <c r="G11" s="5">
        <v>0</v>
      </c>
      <c r="H11" s="5">
        <v>24486</v>
      </c>
      <c r="I11" s="9">
        <f t="shared" si="3"/>
        <v>47939</v>
      </c>
      <c r="J11" s="5"/>
      <c r="K11" s="5">
        <v>29560</v>
      </c>
      <c r="L11" s="5">
        <v>10519</v>
      </c>
      <c r="M11" s="5">
        <v>3381</v>
      </c>
      <c r="N11" s="5">
        <v>4246</v>
      </c>
      <c r="O11" s="5">
        <v>173</v>
      </c>
      <c r="P11" s="5">
        <v>60</v>
      </c>
      <c r="Q11" s="5"/>
      <c r="R11" s="5">
        <v>-7095</v>
      </c>
    </row>
    <row r="12" spans="1:18" x14ac:dyDescent="0.3">
      <c r="A12" s="41">
        <v>4200</v>
      </c>
      <c r="B12" s="42" t="s">
        <v>406</v>
      </c>
      <c r="C12" s="5">
        <f t="shared" si="2"/>
        <v>277206</v>
      </c>
      <c r="D12" s="5">
        <v>218511</v>
      </c>
      <c r="E12" s="5">
        <v>11733</v>
      </c>
      <c r="F12" s="5">
        <v>254</v>
      </c>
      <c r="G12" s="5">
        <v>89</v>
      </c>
      <c r="H12" s="5">
        <v>17604</v>
      </c>
      <c r="I12" s="9">
        <f t="shared" si="3"/>
        <v>35852</v>
      </c>
      <c r="J12" s="5"/>
      <c r="K12" s="5">
        <v>23246</v>
      </c>
      <c r="L12" s="5">
        <v>10184</v>
      </c>
      <c r="M12" s="5">
        <v>161</v>
      </c>
      <c r="N12" s="5">
        <v>2255</v>
      </c>
      <c r="O12" s="5">
        <v>0</v>
      </c>
      <c r="P12" s="5">
        <v>6</v>
      </c>
      <c r="Q12" s="5"/>
      <c r="R12" s="5">
        <v>-6837</v>
      </c>
    </row>
    <row r="13" spans="1:18" x14ac:dyDescent="0.3">
      <c r="A13" s="41">
        <v>4600</v>
      </c>
      <c r="B13" s="42" t="s">
        <v>407</v>
      </c>
      <c r="C13" s="5">
        <f t="shared" si="2"/>
        <v>505221</v>
      </c>
      <c r="D13" s="5">
        <v>366343</v>
      </c>
      <c r="E13" s="5">
        <v>28123</v>
      </c>
      <c r="F13" s="5">
        <v>10264</v>
      </c>
      <c r="G13" s="5">
        <v>0</v>
      </c>
      <c r="H13" s="5">
        <v>36217</v>
      </c>
      <c r="I13" s="9">
        <f t="shared" si="3"/>
        <v>57231</v>
      </c>
      <c r="J13" s="5"/>
      <c r="K13" s="5">
        <v>39042</v>
      </c>
      <c r="L13" s="5">
        <v>6173</v>
      </c>
      <c r="M13" s="5">
        <v>6905</v>
      </c>
      <c r="N13" s="5">
        <v>4975</v>
      </c>
      <c r="O13" s="5">
        <v>0</v>
      </c>
      <c r="P13" s="5">
        <v>136</v>
      </c>
      <c r="Q13" s="5"/>
      <c r="R13" s="5">
        <v>7043</v>
      </c>
    </row>
    <row r="14" spans="1:18" x14ac:dyDescent="0.3">
      <c r="A14" s="41">
        <v>5000</v>
      </c>
      <c r="B14" s="42" t="s">
        <v>388</v>
      </c>
      <c r="C14" s="5">
        <f t="shared" si="2"/>
        <v>372187</v>
      </c>
      <c r="D14" s="5">
        <v>274287</v>
      </c>
      <c r="E14" s="5">
        <v>19767</v>
      </c>
      <c r="F14" s="5">
        <v>2539</v>
      </c>
      <c r="G14" s="5">
        <v>390</v>
      </c>
      <c r="H14" s="5">
        <v>31124</v>
      </c>
      <c r="I14" s="9">
        <f t="shared" si="3"/>
        <v>47548</v>
      </c>
      <c r="J14" s="5"/>
      <c r="K14" s="5">
        <v>30150</v>
      </c>
      <c r="L14" s="5">
        <v>8470</v>
      </c>
      <c r="M14" s="5">
        <v>2911</v>
      </c>
      <c r="N14" s="5">
        <v>6017</v>
      </c>
      <c r="O14" s="5">
        <v>0</v>
      </c>
      <c r="P14" s="5">
        <v>0</v>
      </c>
      <c r="Q14" s="5"/>
      <c r="R14" s="5">
        <v>-3468</v>
      </c>
    </row>
    <row r="15" spans="1:18" x14ac:dyDescent="0.3">
      <c r="A15" s="41">
        <v>5400</v>
      </c>
      <c r="B15" s="42" t="s">
        <v>408</v>
      </c>
      <c r="C15" s="5">
        <f t="shared" si="2"/>
        <v>90276</v>
      </c>
      <c r="D15" s="5">
        <v>58508</v>
      </c>
      <c r="E15" s="5">
        <v>2647</v>
      </c>
      <c r="F15" s="5">
        <v>2443</v>
      </c>
      <c r="G15" s="5">
        <v>70</v>
      </c>
      <c r="H15" s="5">
        <v>9278</v>
      </c>
      <c r="I15" s="9">
        <f t="shared" si="3"/>
        <v>20682</v>
      </c>
      <c r="J15" s="5"/>
      <c r="K15" s="5">
        <v>12001</v>
      </c>
      <c r="L15" s="5">
        <v>2369</v>
      </c>
      <c r="M15" s="5">
        <v>1208</v>
      </c>
      <c r="N15" s="5">
        <v>1725</v>
      </c>
      <c r="O15" s="5">
        <v>0</v>
      </c>
      <c r="P15" s="5">
        <v>3379</v>
      </c>
      <c r="Q15" s="5"/>
      <c r="R15" s="5">
        <v>-3352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4">SUM(C5:C16)</f>
        <v>3851537.6929756454</v>
      </c>
      <c r="D17" s="5">
        <f t="shared" si="4"/>
        <v>3060888</v>
      </c>
      <c r="E17" s="5">
        <f t="shared" si="4"/>
        <v>163926</v>
      </c>
      <c r="F17" s="5">
        <f t="shared" si="4"/>
        <v>38518</v>
      </c>
      <c r="G17" s="5">
        <f t="shared" si="4"/>
        <v>4284</v>
      </c>
      <c r="H17" s="5">
        <f t="shared" si="4"/>
        <v>271576</v>
      </c>
      <c r="I17" s="15">
        <f t="shared" si="4"/>
        <v>391687</v>
      </c>
      <c r="J17" s="5">
        <f t="shared" si="4"/>
        <v>0</v>
      </c>
      <c r="K17" s="5">
        <f t="shared" si="4"/>
        <v>240499</v>
      </c>
      <c r="L17" s="5">
        <f t="shared" si="4"/>
        <v>78629</v>
      </c>
      <c r="M17" s="5">
        <f t="shared" si="4"/>
        <v>27942</v>
      </c>
      <c r="N17" s="5">
        <f t="shared" si="4"/>
        <v>39479</v>
      </c>
      <c r="O17" s="5">
        <f t="shared" si="4"/>
        <v>177</v>
      </c>
      <c r="P17" s="5">
        <f t="shared" si="4"/>
        <v>4961</v>
      </c>
      <c r="Q17" s="5">
        <f t="shared" si="4"/>
        <v>0</v>
      </c>
      <c r="R17" s="5">
        <f t="shared" si="4"/>
        <v>-79341.307024354523</v>
      </c>
    </row>
    <row r="18" spans="2:18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1D57-DEC1-4518-853E-5DC1BDB34445}">
  <sheetPr>
    <tabColor rgb="FF92D050"/>
  </sheetPr>
  <dimension ref="A1:R20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  <col min="9" max="9" width="12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58</v>
      </c>
      <c r="D2" s="22" t="s">
        <v>191</v>
      </c>
      <c r="E2" s="22" t="s">
        <v>192</v>
      </c>
      <c r="F2" s="22" t="s">
        <v>289</v>
      </c>
      <c r="G2" s="22" t="s">
        <v>290</v>
      </c>
      <c r="H2" s="22" t="s">
        <v>193</v>
      </c>
      <c r="I2" s="11" t="s">
        <v>70</v>
      </c>
      <c r="J2" s="22" t="s">
        <v>60</v>
      </c>
      <c r="K2" s="22" t="s">
        <v>194</v>
      </c>
      <c r="L2" s="22" t="s">
        <v>195</v>
      </c>
      <c r="M2" s="22" t="s">
        <v>61</v>
      </c>
      <c r="N2" s="22" t="s">
        <v>196</v>
      </c>
      <c r="O2" s="22" t="s">
        <v>62</v>
      </c>
      <c r="P2" s="22" t="s">
        <v>63</v>
      </c>
      <c r="Q2" s="22" t="s">
        <v>197</v>
      </c>
      <c r="R2" s="22" t="s">
        <v>59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2085177</v>
      </c>
      <c r="D5" s="5">
        <v>1862282</v>
      </c>
      <c r="E5" s="5">
        <v>0</v>
      </c>
      <c r="F5" s="5">
        <v>20496</v>
      </c>
      <c r="G5" s="5">
        <v>0</v>
      </c>
      <c r="H5" s="5">
        <v>121918</v>
      </c>
      <c r="I5" s="9">
        <f t="shared" ref="I5:I15" si="2">SUM(J5:Q5)</f>
        <v>80481</v>
      </c>
      <c r="J5" s="5"/>
      <c r="K5" s="5">
        <v>77089</v>
      </c>
      <c r="L5" s="5">
        <v>0</v>
      </c>
      <c r="M5" s="5">
        <v>0</v>
      </c>
      <c r="N5" s="5">
        <v>3392</v>
      </c>
      <c r="O5" s="5">
        <v>0</v>
      </c>
      <c r="P5" s="5">
        <v>0</v>
      </c>
      <c r="Q5" s="5"/>
      <c r="R5" s="5">
        <v>0</v>
      </c>
    </row>
    <row r="6" spans="1:18" x14ac:dyDescent="0.3">
      <c r="A6" s="41">
        <v>1100</v>
      </c>
      <c r="B6" s="42" t="s">
        <v>139</v>
      </c>
      <c r="C6" s="5">
        <f t="shared" si="1"/>
        <v>2436733</v>
      </c>
      <c r="D6" s="5">
        <v>2001940</v>
      </c>
      <c r="E6" s="5">
        <v>61301</v>
      </c>
      <c r="F6" s="5">
        <v>4391</v>
      </c>
      <c r="G6" s="5">
        <v>111</v>
      </c>
      <c r="H6" s="5">
        <v>199879</v>
      </c>
      <c r="I6" s="9">
        <f t="shared" si="2"/>
        <v>169111</v>
      </c>
      <c r="J6" s="5"/>
      <c r="K6" s="5">
        <v>95111</v>
      </c>
      <c r="L6" s="5">
        <v>43837</v>
      </c>
      <c r="M6" s="5">
        <v>11982</v>
      </c>
      <c r="N6" s="5">
        <v>12128</v>
      </c>
      <c r="O6" s="5">
        <v>0</v>
      </c>
      <c r="P6" s="5">
        <v>6053</v>
      </c>
      <c r="Q6" s="5"/>
      <c r="R6" s="5">
        <v>0</v>
      </c>
    </row>
    <row r="7" spans="1:18" x14ac:dyDescent="0.3">
      <c r="A7" s="41">
        <v>1500</v>
      </c>
      <c r="B7" s="42" t="s">
        <v>140</v>
      </c>
      <c r="C7" s="5">
        <f t="shared" si="1"/>
        <v>1442506</v>
      </c>
      <c r="D7" s="5">
        <v>1134608</v>
      </c>
      <c r="E7" s="5">
        <v>32964</v>
      </c>
      <c r="F7" s="5">
        <v>14767</v>
      </c>
      <c r="G7" s="5">
        <v>11983</v>
      </c>
      <c r="H7" s="5">
        <v>93057</v>
      </c>
      <c r="I7" s="9">
        <f t="shared" si="2"/>
        <v>155127</v>
      </c>
      <c r="J7" s="5"/>
      <c r="K7" s="5">
        <v>95885</v>
      </c>
      <c r="L7" s="5">
        <v>33509</v>
      </c>
      <c r="M7" s="5">
        <v>12997</v>
      </c>
      <c r="N7" s="5">
        <v>12734</v>
      </c>
      <c r="O7" s="5">
        <v>0</v>
      </c>
      <c r="P7" s="5">
        <v>2</v>
      </c>
      <c r="Q7" s="5"/>
      <c r="R7" s="5">
        <v>0</v>
      </c>
    </row>
    <row r="8" spans="1:18" x14ac:dyDescent="0.3">
      <c r="A8" s="41">
        <v>1800</v>
      </c>
      <c r="B8" s="42" t="s">
        <v>141</v>
      </c>
      <c r="C8" s="5">
        <f t="shared" si="1"/>
        <v>1736893</v>
      </c>
      <c r="D8" s="5">
        <v>1311379</v>
      </c>
      <c r="E8" s="5">
        <v>37949</v>
      </c>
      <c r="F8" s="5">
        <v>8429</v>
      </c>
      <c r="G8" s="5">
        <v>7411</v>
      </c>
      <c r="H8" s="5">
        <v>153243</v>
      </c>
      <c r="I8" s="9">
        <f t="shared" si="2"/>
        <v>218482</v>
      </c>
      <c r="J8" s="5"/>
      <c r="K8" s="5">
        <v>129785</v>
      </c>
      <c r="L8" s="5">
        <v>39701</v>
      </c>
      <c r="M8" s="5">
        <v>19634</v>
      </c>
      <c r="N8" s="5">
        <v>29318</v>
      </c>
      <c r="O8" s="5">
        <v>44</v>
      </c>
      <c r="P8" s="5">
        <v>0</v>
      </c>
      <c r="Q8" s="5"/>
      <c r="R8" s="5">
        <v>0</v>
      </c>
    </row>
    <row r="9" spans="1:18" x14ac:dyDescent="0.3">
      <c r="A9" s="41">
        <v>3000</v>
      </c>
      <c r="B9" s="42" t="s">
        <v>403</v>
      </c>
      <c r="C9" s="5">
        <f t="shared" si="1"/>
        <v>6046364</v>
      </c>
      <c r="D9" s="5">
        <v>4992248</v>
      </c>
      <c r="E9" s="5">
        <v>111084</v>
      </c>
      <c r="F9" s="5">
        <v>35056</v>
      </c>
      <c r="G9" s="5">
        <v>0</v>
      </c>
      <c r="H9" s="5">
        <v>322976</v>
      </c>
      <c r="I9" s="9">
        <f t="shared" si="2"/>
        <v>585000</v>
      </c>
      <c r="J9" s="5"/>
      <c r="K9" s="5">
        <v>400744</v>
      </c>
      <c r="L9" s="5">
        <v>102739</v>
      </c>
      <c r="M9" s="5">
        <v>23097</v>
      </c>
      <c r="N9" s="5">
        <v>56162</v>
      </c>
      <c r="O9" s="5">
        <v>0</v>
      </c>
      <c r="P9" s="5">
        <v>2258</v>
      </c>
      <c r="Q9" s="5"/>
      <c r="R9" s="5">
        <v>0</v>
      </c>
    </row>
    <row r="10" spans="1:18" x14ac:dyDescent="0.3">
      <c r="A10" s="41">
        <v>3400</v>
      </c>
      <c r="B10" s="42" t="s">
        <v>404</v>
      </c>
      <c r="C10" s="5">
        <f t="shared" si="1"/>
        <v>2188462</v>
      </c>
      <c r="D10" s="5">
        <v>1677480</v>
      </c>
      <c r="E10" s="5">
        <v>80666</v>
      </c>
      <c r="F10" s="5">
        <v>30256</v>
      </c>
      <c r="G10" s="5">
        <v>6848</v>
      </c>
      <c r="H10" s="5">
        <v>137380</v>
      </c>
      <c r="I10" s="9">
        <f t="shared" si="2"/>
        <v>255832</v>
      </c>
      <c r="J10" s="5"/>
      <c r="K10" s="5">
        <v>165682</v>
      </c>
      <c r="L10" s="5">
        <v>42692</v>
      </c>
      <c r="M10" s="5">
        <v>19835</v>
      </c>
      <c r="N10" s="5">
        <v>27623</v>
      </c>
      <c r="O10" s="5">
        <v>0</v>
      </c>
      <c r="P10" s="5">
        <v>0</v>
      </c>
      <c r="Q10" s="5"/>
      <c r="R10" s="5">
        <v>0</v>
      </c>
    </row>
    <row r="11" spans="1:18" x14ac:dyDescent="0.3">
      <c r="A11" s="41">
        <v>3800</v>
      </c>
      <c r="B11" s="42" t="s">
        <v>405</v>
      </c>
      <c r="C11" s="5">
        <f t="shared" si="1"/>
        <v>2318622</v>
      </c>
      <c r="D11" s="5">
        <v>1752635</v>
      </c>
      <c r="E11" s="5">
        <v>120291</v>
      </c>
      <c r="F11" s="5">
        <v>21527</v>
      </c>
      <c r="G11" s="5">
        <v>0</v>
      </c>
      <c r="H11" s="5">
        <v>140752</v>
      </c>
      <c r="I11" s="9">
        <f t="shared" si="2"/>
        <v>283417</v>
      </c>
      <c r="J11" s="5"/>
      <c r="K11" s="5">
        <v>176403</v>
      </c>
      <c r="L11" s="5">
        <v>61633</v>
      </c>
      <c r="M11" s="5">
        <v>19799</v>
      </c>
      <c r="N11" s="5">
        <v>23860</v>
      </c>
      <c r="O11" s="5">
        <v>1386</v>
      </c>
      <c r="P11" s="5">
        <v>336</v>
      </c>
      <c r="Q11" s="5"/>
      <c r="R11" s="5">
        <v>0</v>
      </c>
    </row>
    <row r="12" spans="1:18" x14ac:dyDescent="0.3">
      <c r="A12" s="41">
        <v>4200</v>
      </c>
      <c r="B12" s="42" t="s">
        <v>406</v>
      </c>
      <c r="C12" s="5">
        <f t="shared" si="1"/>
        <v>1770617</v>
      </c>
      <c r="D12" s="5">
        <v>1409499</v>
      </c>
      <c r="E12" s="5">
        <v>42848</v>
      </c>
      <c r="F12" s="5">
        <v>1490</v>
      </c>
      <c r="G12" s="5">
        <v>523</v>
      </c>
      <c r="H12" s="5">
        <v>104409</v>
      </c>
      <c r="I12" s="9">
        <f t="shared" si="2"/>
        <v>211621</v>
      </c>
      <c r="J12" s="5"/>
      <c r="K12" s="5">
        <v>137974</v>
      </c>
      <c r="L12" s="5">
        <v>59499</v>
      </c>
      <c r="M12" s="5">
        <v>933</v>
      </c>
      <c r="N12" s="5">
        <v>13171</v>
      </c>
      <c r="O12" s="5">
        <v>0</v>
      </c>
      <c r="P12" s="5">
        <v>44</v>
      </c>
      <c r="Q12" s="5"/>
      <c r="R12" s="5">
        <v>227</v>
      </c>
    </row>
    <row r="13" spans="1:18" x14ac:dyDescent="0.3">
      <c r="A13" s="41">
        <v>4600</v>
      </c>
      <c r="B13" s="42" t="s">
        <v>407</v>
      </c>
      <c r="C13" s="5">
        <f t="shared" si="1"/>
        <v>3205400</v>
      </c>
      <c r="D13" s="5">
        <v>2462323</v>
      </c>
      <c r="E13" s="5">
        <v>47796</v>
      </c>
      <c r="F13" s="5">
        <v>65747</v>
      </c>
      <c r="G13" s="5">
        <v>0</v>
      </c>
      <c r="H13" s="5">
        <v>241380</v>
      </c>
      <c r="I13" s="9">
        <f t="shared" si="2"/>
        <v>388154</v>
      </c>
      <c r="J13" s="5"/>
      <c r="K13" s="5">
        <v>265403</v>
      </c>
      <c r="L13" s="5">
        <v>41286</v>
      </c>
      <c r="M13" s="5">
        <v>46310</v>
      </c>
      <c r="N13" s="5">
        <v>34282</v>
      </c>
      <c r="O13" s="5">
        <v>0</v>
      </c>
      <c r="P13" s="5">
        <v>873</v>
      </c>
      <c r="Q13" s="5"/>
      <c r="R13" s="5">
        <v>0</v>
      </c>
    </row>
    <row r="14" spans="1:18" x14ac:dyDescent="0.3">
      <c r="A14" s="41">
        <v>5000</v>
      </c>
      <c r="B14" s="42" t="s">
        <v>388</v>
      </c>
      <c r="C14" s="5">
        <f t="shared" si="1"/>
        <v>2497757</v>
      </c>
      <c r="D14" s="5">
        <v>1959277</v>
      </c>
      <c r="E14" s="5">
        <v>54039</v>
      </c>
      <c r="F14" s="5">
        <v>14946</v>
      </c>
      <c r="G14" s="5">
        <v>3264</v>
      </c>
      <c r="H14" s="5">
        <v>215414</v>
      </c>
      <c r="I14" s="9">
        <f t="shared" si="2"/>
        <v>250817</v>
      </c>
      <c r="J14" s="5"/>
      <c r="K14" s="5">
        <v>144177</v>
      </c>
      <c r="L14" s="5">
        <v>50326</v>
      </c>
      <c r="M14" s="5">
        <v>19718</v>
      </c>
      <c r="N14" s="5">
        <v>36596</v>
      </c>
      <c r="O14" s="5">
        <v>0</v>
      </c>
      <c r="P14" s="5">
        <v>0</v>
      </c>
      <c r="Q14" s="5"/>
      <c r="R14" s="5">
        <v>0</v>
      </c>
    </row>
    <row r="15" spans="1:18" x14ac:dyDescent="0.3">
      <c r="A15" s="41">
        <v>5400</v>
      </c>
      <c r="B15" s="42" t="s">
        <v>408</v>
      </c>
      <c r="C15" s="5">
        <f t="shared" si="1"/>
        <v>1887081</v>
      </c>
      <c r="D15" s="5">
        <v>1290787</v>
      </c>
      <c r="E15" s="5">
        <v>46378</v>
      </c>
      <c r="F15" s="5">
        <v>30785</v>
      </c>
      <c r="G15" s="5">
        <v>1981</v>
      </c>
      <c r="H15" s="5">
        <v>204342</v>
      </c>
      <c r="I15" s="9">
        <f t="shared" si="2"/>
        <v>312808</v>
      </c>
      <c r="J15" s="5"/>
      <c r="K15" s="5">
        <v>177897</v>
      </c>
      <c r="L15" s="5">
        <v>42476</v>
      </c>
      <c r="M15" s="5">
        <v>18079</v>
      </c>
      <c r="N15" s="5">
        <v>39129</v>
      </c>
      <c r="O15" s="5">
        <v>0</v>
      </c>
      <c r="P15" s="5">
        <v>35227</v>
      </c>
      <c r="Q15" s="5"/>
      <c r="R15" s="5">
        <v>0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3">SUM(C5:C16)</f>
        <v>27615612</v>
      </c>
      <c r="D17" s="5">
        <f t="shared" si="3"/>
        <v>21854458</v>
      </c>
      <c r="E17" s="5">
        <f t="shared" si="3"/>
        <v>635316</v>
      </c>
      <c r="F17" s="5">
        <f t="shared" si="3"/>
        <v>247890</v>
      </c>
      <c r="G17" s="5">
        <f t="shared" si="3"/>
        <v>32121</v>
      </c>
      <c r="H17" s="5">
        <f t="shared" si="3"/>
        <v>1934750</v>
      </c>
      <c r="I17" s="15">
        <f t="shared" si="3"/>
        <v>2910850</v>
      </c>
      <c r="J17" s="5">
        <f t="shared" si="3"/>
        <v>0</v>
      </c>
      <c r="K17" s="5">
        <f t="shared" si="3"/>
        <v>1866150</v>
      </c>
      <c r="L17" s="5">
        <f t="shared" si="3"/>
        <v>517698</v>
      </c>
      <c r="M17" s="5">
        <f t="shared" si="3"/>
        <v>192384</v>
      </c>
      <c r="N17" s="5">
        <f t="shared" si="3"/>
        <v>288395</v>
      </c>
      <c r="O17" s="5">
        <f t="shared" si="3"/>
        <v>1430</v>
      </c>
      <c r="P17" s="5">
        <f t="shared" si="3"/>
        <v>44793</v>
      </c>
      <c r="Q17" s="5">
        <f t="shared" si="3"/>
        <v>0</v>
      </c>
      <c r="R17" s="5">
        <f t="shared" si="3"/>
        <v>227</v>
      </c>
    </row>
    <row r="18" spans="2:18" x14ac:dyDescent="0.3">
      <c r="B18" s="43"/>
      <c r="C18" s="5">
        <f>+C17*1000/'2021 Nto driftsutg'!$V$17</f>
        <v>5112.2744627972952</v>
      </c>
      <c r="D18" s="5">
        <f>+D17*1000/'2021 Nto driftsutg'!$V$17</f>
        <v>4045.7545366612208</v>
      </c>
      <c r="E18" s="5">
        <f>+E17*1000/'2021 Nto driftsutg'!$V$17</f>
        <v>117.61136282645217</v>
      </c>
      <c r="F18" s="5">
        <f>+F17*1000/'2021 Nto driftsutg'!$V$17</f>
        <v>45.890046419497118</v>
      </c>
      <c r="G18" s="5">
        <f>+G17*1000/'2021 Nto driftsutg'!$V$17</f>
        <v>5.9463236961582426</v>
      </c>
      <c r="H18" s="5">
        <f>+H17*1000/'2021 Nto driftsutg'!$V$17</f>
        <v>358.16599019775725</v>
      </c>
      <c r="I18" s="5">
        <f>+I17*1000/'2021 Nto driftsutg'!$V$17</f>
        <v>538.86418016133439</v>
      </c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>
        <f>SUM(D18:H18)</f>
        <v>4573.3682598010855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C500-5813-4FBF-9685-50A31CEA2F8F}">
  <sheetPr>
    <tabColor rgb="FF92D050"/>
  </sheetPr>
  <dimension ref="A1:S20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91</v>
      </c>
      <c r="D2" s="22" t="s">
        <v>205</v>
      </c>
      <c r="E2" s="22" t="s">
        <v>206</v>
      </c>
      <c r="F2" s="22" t="s">
        <v>293</v>
      </c>
      <c r="G2" s="22" t="s">
        <v>294</v>
      </c>
      <c r="H2" s="22" t="s">
        <v>207</v>
      </c>
      <c r="I2" s="11" t="s">
        <v>92</v>
      </c>
      <c r="J2" s="22" t="s">
        <v>93</v>
      </c>
      <c r="K2" s="22" t="s">
        <v>208</v>
      </c>
      <c r="L2" s="22" t="s">
        <v>209</v>
      </c>
      <c r="M2" s="22" t="s">
        <v>94</v>
      </c>
      <c r="N2" s="22" t="s">
        <v>210</v>
      </c>
      <c r="O2" s="22" t="s">
        <v>95</v>
      </c>
      <c r="P2" s="22" t="s">
        <v>96</v>
      </c>
      <c r="Q2" s="22" t="s">
        <v>211</v>
      </c>
      <c r="R2" s="22" t="s">
        <v>105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>SUM(D5:I5)+R5</f>
        <v>1284.2409620244871</v>
      </c>
      <c r="D5" s="5">
        <v>231463</v>
      </c>
      <c r="E5" s="5">
        <v>0</v>
      </c>
      <c r="F5" s="5">
        <v>4914</v>
      </c>
      <c r="G5" s="5">
        <v>0</v>
      </c>
      <c r="H5" s="5">
        <v>40593</v>
      </c>
      <c r="I5" s="9">
        <f t="shared" ref="I5:I15" si="1">SUM(J5:Q5)</f>
        <v>9515</v>
      </c>
      <c r="J5" s="5"/>
      <c r="K5" s="5">
        <v>8437</v>
      </c>
      <c r="L5" s="5">
        <v>0</v>
      </c>
      <c r="M5" s="5">
        <v>0</v>
      </c>
      <c r="N5" s="5">
        <v>1078</v>
      </c>
      <c r="O5" s="5">
        <v>0</v>
      </c>
      <c r="P5" s="5">
        <v>0</v>
      </c>
      <c r="Q5" s="5"/>
      <c r="R5" s="118">
        <v>-285200.75903797551</v>
      </c>
    </row>
    <row r="6" spans="1:18" x14ac:dyDescent="0.3">
      <c r="A6" s="41">
        <v>1100</v>
      </c>
      <c r="B6" s="42" t="s">
        <v>139</v>
      </c>
      <c r="C6" s="5">
        <f t="shared" ref="C6:C15" si="2">SUM(D6:I6)+R6</f>
        <v>267751</v>
      </c>
      <c r="D6" s="5">
        <v>235931</v>
      </c>
      <c r="E6" s="5">
        <v>11446</v>
      </c>
      <c r="F6" s="5">
        <v>986</v>
      </c>
      <c r="G6" s="5">
        <v>22</v>
      </c>
      <c r="H6" s="5">
        <v>41910</v>
      </c>
      <c r="I6" s="9">
        <f t="shared" si="1"/>
        <v>32327</v>
      </c>
      <c r="J6" s="5"/>
      <c r="K6" s="5">
        <v>17437</v>
      </c>
      <c r="L6" s="5">
        <v>8854</v>
      </c>
      <c r="M6" s="5">
        <v>2503</v>
      </c>
      <c r="N6" s="5">
        <v>2331</v>
      </c>
      <c r="O6" s="5">
        <v>0</v>
      </c>
      <c r="P6" s="5">
        <v>1202</v>
      </c>
      <c r="Q6" s="5"/>
      <c r="R6" s="5">
        <v>-54871</v>
      </c>
    </row>
    <row r="7" spans="1:18" x14ac:dyDescent="0.3">
      <c r="A7" s="41">
        <v>1500</v>
      </c>
      <c r="B7" s="42" t="s">
        <v>140</v>
      </c>
      <c r="C7" s="5">
        <f t="shared" si="2"/>
        <v>158409</v>
      </c>
      <c r="D7" s="5">
        <v>132663</v>
      </c>
      <c r="E7" s="5">
        <v>19017</v>
      </c>
      <c r="F7" s="5">
        <v>3434</v>
      </c>
      <c r="G7" s="5">
        <v>1862</v>
      </c>
      <c r="H7" s="5">
        <v>23280</v>
      </c>
      <c r="I7" s="9">
        <f t="shared" si="1"/>
        <v>37757</v>
      </c>
      <c r="J7" s="5"/>
      <c r="K7" s="5">
        <v>24902</v>
      </c>
      <c r="L7" s="5">
        <v>7235</v>
      </c>
      <c r="M7" s="5">
        <v>2773</v>
      </c>
      <c r="N7" s="5">
        <v>2847</v>
      </c>
      <c r="O7" s="5">
        <v>0</v>
      </c>
      <c r="P7" s="5">
        <v>0</v>
      </c>
      <c r="Q7" s="5"/>
      <c r="R7" s="5">
        <v>-59604</v>
      </c>
    </row>
    <row r="8" spans="1:18" x14ac:dyDescent="0.3">
      <c r="A8" s="41">
        <v>1800</v>
      </c>
      <c r="B8" s="42" t="s">
        <v>141</v>
      </c>
      <c r="C8" s="5">
        <f t="shared" si="2"/>
        <v>228193</v>
      </c>
      <c r="D8" s="5">
        <v>169520</v>
      </c>
      <c r="E8" s="5">
        <v>15800</v>
      </c>
      <c r="F8" s="5">
        <v>2155</v>
      </c>
      <c r="G8" s="5">
        <v>1865</v>
      </c>
      <c r="H8" s="5">
        <v>39945</v>
      </c>
      <c r="I8" s="9">
        <f t="shared" si="1"/>
        <v>53249</v>
      </c>
      <c r="J8" s="5"/>
      <c r="K8" s="5">
        <v>31440</v>
      </c>
      <c r="L8" s="5">
        <v>9890</v>
      </c>
      <c r="M8" s="5">
        <v>4826</v>
      </c>
      <c r="N8" s="5">
        <v>7093</v>
      </c>
      <c r="O8" s="5">
        <v>0</v>
      </c>
      <c r="P8" s="5">
        <v>0</v>
      </c>
      <c r="Q8" s="5"/>
      <c r="R8" s="5">
        <v>-54341</v>
      </c>
    </row>
    <row r="9" spans="1:18" x14ac:dyDescent="0.3">
      <c r="A9" s="41">
        <v>3000</v>
      </c>
      <c r="B9" s="42" t="s">
        <v>403</v>
      </c>
      <c r="C9" s="5">
        <f t="shared" si="2"/>
        <v>770110</v>
      </c>
      <c r="D9" s="5">
        <v>530347</v>
      </c>
      <c r="E9" s="5">
        <v>30653</v>
      </c>
      <c r="F9" s="5">
        <v>6932</v>
      </c>
      <c r="G9" s="5">
        <v>0</v>
      </c>
      <c r="H9" s="5">
        <v>46677</v>
      </c>
      <c r="I9" s="9">
        <f t="shared" si="1"/>
        <v>310008</v>
      </c>
      <c r="J9" s="5"/>
      <c r="K9" s="5">
        <v>284740</v>
      </c>
      <c r="L9" s="5">
        <v>13969</v>
      </c>
      <c r="M9" s="5">
        <v>3319</v>
      </c>
      <c r="N9" s="5">
        <v>7696</v>
      </c>
      <c r="O9" s="5">
        <v>0</v>
      </c>
      <c r="P9" s="5">
        <v>284</v>
      </c>
      <c r="Q9" s="5"/>
      <c r="R9" s="5">
        <v>-154507</v>
      </c>
    </row>
    <row r="10" spans="1:18" x14ac:dyDescent="0.3">
      <c r="A10" s="41">
        <v>3400</v>
      </c>
      <c r="B10" s="42" t="s">
        <v>404</v>
      </c>
      <c r="C10" s="5">
        <f t="shared" si="2"/>
        <v>300151</v>
      </c>
      <c r="D10" s="5">
        <v>205644</v>
      </c>
      <c r="E10" s="5">
        <v>23710</v>
      </c>
      <c r="F10" s="5">
        <v>8247</v>
      </c>
      <c r="G10" s="5">
        <v>680</v>
      </c>
      <c r="H10" s="5">
        <v>35876</v>
      </c>
      <c r="I10" s="9">
        <f t="shared" si="1"/>
        <v>61069</v>
      </c>
      <c r="J10" s="5"/>
      <c r="K10" s="5">
        <v>39549</v>
      </c>
      <c r="L10" s="5">
        <v>13198</v>
      </c>
      <c r="M10" s="5">
        <v>5304</v>
      </c>
      <c r="N10" s="5">
        <v>3018</v>
      </c>
      <c r="O10" s="5">
        <v>0</v>
      </c>
      <c r="P10" s="5">
        <v>0</v>
      </c>
      <c r="Q10" s="5"/>
      <c r="R10" s="5">
        <v>-35075</v>
      </c>
    </row>
    <row r="11" spans="1:18" x14ac:dyDescent="0.3">
      <c r="A11" s="41">
        <v>3800</v>
      </c>
      <c r="B11" s="42" t="s">
        <v>405</v>
      </c>
      <c r="C11" s="5">
        <f t="shared" si="2"/>
        <v>293845</v>
      </c>
      <c r="D11" s="5">
        <v>213469</v>
      </c>
      <c r="E11" s="5">
        <v>26423</v>
      </c>
      <c r="F11" s="5">
        <v>5139</v>
      </c>
      <c r="G11" s="5">
        <v>0</v>
      </c>
      <c r="H11" s="5">
        <v>36226</v>
      </c>
      <c r="I11" s="9">
        <f t="shared" si="1"/>
        <v>62916</v>
      </c>
      <c r="J11" s="5"/>
      <c r="K11" s="5">
        <v>38924</v>
      </c>
      <c r="L11" s="5">
        <v>13690</v>
      </c>
      <c r="M11" s="5">
        <v>4073</v>
      </c>
      <c r="N11" s="5">
        <v>5935</v>
      </c>
      <c r="O11" s="5">
        <v>237</v>
      </c>
      <c r="P11" s="5">
        <v>57</v>
      </c>
      <c r="Q11" s="5"/>
      <c r="R11" s="5">
        <v>-50328</v>
      </c>
    </row>
    <row r="12" spans="1:18" x14ac:dyDescent="0.3">
      <c r="A12" s="41">
        <v>4200</v>
      </c>
      <c r="B12" s="42" t="s">
        <v>406</v>
      </c>
      <c r="C12" s="5">
        <f t="shared" si="2"/>
        <v>188354</v>
      </c>
      <c r="D12" s="5">
        <v>158831</v>
      </c>
      <c r="E12" s="5">
        <v>13791</v>
      </c>
      <c r="F12" s="5">
        <v>307</v>
      </c>
      <c r="G12" s="5">
        <v>107</v>
      </c>
      <c r="H12" s="5">
        <v>23486</v>
      </c>
      <c r="I12" s="9">
        <f t="shared" si="1"/>
        <v>64795</v>
      </c>
      <c r="J12" s="5"/>
      <c r="K12" s="5">
        <v>49362</v>
      </c>
      <c r="L12" s="5">
        <v>12541</v>
      </c>
      <c r="M12" s="5">
        <v>202</v>
      </c>
      <c r="N12" s="5">
        <v>2690</v>
      </c>
      <c r="O12" s="5">
        <v>0</v>
      </c>
      <c r="P12" s="5">
        <v>0</v>
      </c>
      <c r="Q12" s="5"/>
      <c r="R12" s="5">
        <v>-72963</v>
      </c>
    </row>
    <row r="13" spans="1:18" x14ac:dyDescent="0.3">
      <c r="A13" s="41">
        <v>4600</v>
      </c>
      <c r="B13" s="42" t="s">
        <v>407</v>
      </c>
      <c r="C13" s="5">
        <f t="shared" si="2"/>
        <v>366570</v>
      </c>
      <c r="D13" s="5">
        <v>244143</v>
      </c>
      <c r="E13" s="5">
        <v>17875</v>
      </c>
      <c r="F13" s="5">
        <v>6296</v>
      </c>
      <c r="G13" s="5">
        <v>0</v>
      </c>
      <c r="H13" s="5">
        <v>25772</v>
      </c>
      <c r="I13" s="9">
        <f t="shared" si="1"/>
        <v>24296</v>
      </c>
      <c r="J13" s="5"/>
      <c r="K13" s="5">
        <v>12652</v>
      </c>
      <c r="L13" s="5">
        <v>3792</v>
      </c>
      <c r="M13" s="5">
        <v>4419</v>
      </c>
      <c r="N13" s="5">
        <v>3344</v>
      </c>
      <c r="O13" s="5">
        <v>0</v>
      </c>
      <c r="P13" s="5">
        <v>89</v>
      </c>
      <c r="Q13" s="5"/>
      <c r="R13" s="5">
        <v>48188</v>
      </c>
    </row>
    <row r="14" spans="1:18" x14ac:dyDescent="0.3">
      <c r="A14" s="41">
        <v>5000</v>
      </c>
      <c r="B14" s="42" t="s">
        <v>388</v>
      </c>
      <c r="C14" s="5">
        <f t="shared" si="2"/>
        <v>339293</v>
      </c>
      <c r="D14" s="5">
        <v>231143</v>
      </c>
      <c r="E14" s="5">
        <v>24046</v>
      </c>
      <c r="F14" s="5">
        <v>3305</v>
      </c>
      <c r="G14" s="5">
        <v>497</v>
      </c>
      <c r="H14" s="5">
        <v>45115</v>
      </c>
      <c r="I14" s="9">
        <f t="shared" si="1"/>
        <v>105621</v>
      </c>
      <c r="J14" s="5"/>
      <c r="K14" s="5">
        <v>83990</v>
      </c>
      <c r="L14" s="5">
        <v>11030</v>
      </c>
      <c r="M14" s="5">
        <v>3564</v>
      </c>
      <c r="N14" s="5">
        <v>7037</v>
      </c>
      <c r="O14" s="5">
        <v>0</v>
      </c>
      <c r="P14" s="5">
        <v>0</v>
      </c>
      <c r="Q14" s="5"/>
      <c r="R14" s="5">
        <v>-70434</v>
      </c>
    </row>
    <row r="15" spans="1:18" x14ac:dyDescent="0.3">
      <c r="A15" s="41">
        <v>5400</v>
      </c>
      <c r="B15" s="42" t="s">
        <v>408</v>
      </c>
      <c r="C15" s="5">
        <f t="shared" si="2"/>
        <v>240407</v>
      </c>
      <c r="D15" s="5">
        <v>153050</v>
      </c>
      <c r="E15" s="5">
        <v>12629</v>
      </c>
      <c r="F15" s="5">
        <v>9744</v>
      </c>
      <c r="G15" s="5">
        <v>358</v>
      </c>
      <c r="H15" s="5">
        <v>47668</v>
      </c>
      <c r="I15" s="9">
        <f t="shared" si="1"/>
        <v>85140</v>
      </c>
      <c r="J15" s="5"/>
      <c r="K15" s="5">
        <v>55443</v>
      </c>
      <c r="L15" s="5">
        <v>8753</v>
      </c>
      <c r="M15" s="5">
        <v>4025</v>
      </c>
      <c r="N15" s="5">
        <v>8850</v>
      </c>
      <c r="O15" s="5">
        <v>0</v>
      </c>
      <c r="P15" s="5">
        <v>8069</v>
      </c>
      <c r="Q15" s="5"/>
      <c r="R15" s="5">
        <v>-68182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</row>
    <row r="17" spans="2:19" x14ac:dyDescent="0.3">
      <c r="B17" s="42" t="s">
        <v>3</v>
      </c>
      <c r="C17" s="5">
        <f t="shared" ref="C17:R17" si="3">SUM(C5:C16)</f>
        <v>3154367.2409620248</v>
      </c>
      <c r="D17" s="5">
        <f t="shared" si="3"/>
        <v>2506204</v>
      </c>
      <c r="E17" s="5">
        <f t="shared" si="3"/>
        <v>195390</v>
      </c>
      <c r="F17" s="5">
        <f t="shared" si="3"/>
        <v>51459</v>
      </c>
      <c r="G17" s="5">
        <f t="shared" si="3"/>
        <v>5391</v>
      </c>
      <c r="H17" s="5">
        <f t="shared" si="3"/>
        <v>406548</v>
      </c>
      <c r="I17" s="15">
        <f t="shared" si="3"/>
        <v>846693</v>
      </c>
      <c r="J17" s="5">
        <f t="shared" si="3"/>
        <v>0</v>
      </c>
      <c r="K17" s="5">
        <f t="shared" si="3"/>
        <v>646876</v>
      </c>
      <c r="L17" s="5">
        <f t="shared" si="3"/>
        <v>102952</v>
      </c>
      <c r="M17" s="5">
        <f t="shared" si="3"/>
        <v>35008</v>
      </c>
      <c r="N17" s="5">
        <f t="shared" si="3"/>
        <v>51919</v>
      </c>
      <c r="O17" s="5">
        <f t="shared" si="3"/>
        <v>237</v>
      </c>
      <c r="P17" s="5">
        <f t="shared" si="3"/>
        <v>9701</v>
      </c>
      <c r="Q17" s="5">
        <f t="shared" si="3"/>
        <v>0</v>
      </c>
      <c r="R17" s="5">
        <f t="shared" si="3"/>
        <v>-857317.75903797545</v>
      </c>
      <c r="S17" s="113"/>
    </row>
    <row r="18" spans="2:19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9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9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EC26-26A8-4CCB-85A6-F8404D2F09DB}">
  <dimension ref="A2:AE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109375" customWidth="1"/>
    <col min="2" max="2" width="17.88671875" bestFit="1" customWidth="1"/>
    <col min="3" max="3" width="12" customWidth="1"/>
    <col min="4" max="9" width="17.88671875" customWidth="1"/>
    <col min="10" max="10" width="14.44140625" customWidth="1"/>
    <col min="11" max="11" width="14.109375" customWidth="1"/>
    <col min="12" max="12" width="15.44140625" customWidth="1"/>
    <col min="13" max="13" width="14.44140625" customWidth="1"/>
    <col min="14" max="14" width="12.44140625" customWidth="1"/>
    <col min="15" max="15" width="15.44140625" customWidth="1"/>
    <col min="16" max="16" width="14.44140625" customWidth="1"/>
    <col min="17" max="17" width="13.44140625" customWidth="1"/>
    <col min="18" max="21" width="15.44140625" customWidth="1"/>
    <col min="22" max="22" width="14.44140625" customWidth="1"/>
    <col min="23" max="23" width="13.44140625" customWidth="1"/>
    <col min="24" max="24" width="15.44140625" customWidth="1"/>
    <col min="26" max="30" width="13.5546875" customWidth="1"/>
  </cols>
  <sheetData>
    <row r="2" spans="1:30" ht="40.200000000000003" x14ac:dyDescent="0.3">
      <c r="A2" s="22" t="s">
        <v>2</v>
      </c>
      <c r="B2" s="22" t="s">
        <v>1</v>
      </c>
      <c r="C2" s="22" t="s">
        <v>411</v>
      </c>
      <c r="D2" s="22" t="s">
        <v>212</v>
      </c>
      <c r="E2" s="22" t="s">
        <v>213</v>
      </c>
      <c r="F2" s="22" t="s">
        <v>297</v>
      </c>
      <c r="G2" s="22" t="s">
        <v>298</v>
      </c>
      <c r="H2" s="22" t="s">
        <v>214</v>
      </c>
      <c r="I2" s="22" t="s">
        <v>131</v>
      </c>
      <c r="J2" s="22" t="s">
        <v>215</v>
      </c>
      <c r="K2" s="22" t="s">
        <v>216</v>
      </c>
      <c r="L2" s="22" t="s">
        <v>217</v>
      </c>
      <c r="M2" s="22" t="s">
        <v>218</v>
      </c>
      <c r="N2" s="22" t="s">
        <v>219</v>
      </c>
      <c r="O2" s="22" t="s">
        <v>220</v>
      </c>
      <c r="P2" s="22" t="s">
        <v>299</v>
      </c>
      <c r="Q2" s="22" t="s">
        <v>300</v>
      </c>
      <c r="R2" s="22" t="s">
        <v>301</v>
      </c>
      <c r="S2" s="22" t="s">
        <v>315</v>
      </c>
      <c r="T2" s="22" t="s">
        <v>316</v>
      </c>
      <c r="U2" s="22" t="s">
        <v>317</v>
      </c>
      <c r="V2" s="22" t="s">
        <v>221</v>
      </c>
      <c r="W2" s="22" t="s">
        <v>222</v>
      </c>
      <c r="X2" s="22" t="s">
        <v>223</v>
      </c>
      <c r="Y2" s="22"/>
      <c r="Z2" s="22" t="s">
        <v>224</v>
      </c>
      <c r="AA2" s="22" t="s">
        <v>225</v>
      </c>
      <c r="AB2" s="22" t="s">
        <v>302</v>
      </c>
      <c r="AC2" s="22" t="s">
        <v>303</v>
      </c>
      <c r="AD2" s="22" t="s">
        <v>226</v>
      </c>
    </row>
    <row r="3" spans="1:30" x14ac:dyDescent="0.3">
      <c r="A3" s="107">
        <v>1</v>
      </c>
      <c r="B3" s="107">
        <f>+A3+1</f>
        <v>2</v>
      </c>
      <c r="C3" s="107">
        <f t="shared" ref="C3:AD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</row>
    <row r="5" spans="1:30" x14ac:dyDescent="0.3">
      <c r="A5" s="41">
        <v>300</v>
      </c>
      <c r="B5" s="42" t="s">
        <v>0</v>
      </c>
      <c r="C5" s="42">
        <f>+'2021 Nto driftsutg'!W5</f>
        <v>696108</v>
      </c>
      <c r="D5" s="3">
        <f>+'2021 Grunnlag korreksjoner'!D5</f>
        <v>0.69992741783000001</v>
      </c>
      <c r="E5" s="3">
        <f>+'2021 Grunnlag korreksjoner'!E5</f>
        <v>0.27329987798200006</v>
      </c>
      <c r="F5" s="3">
        <f>+'2021 Grunnlag korreksjoner'!F5</f>
        <v>1.7366784255119998</v>
      </c>
      <c r="G5" s="3">
        <f>+'2021 Grunnlag korreksjoner'!G5</f>
        <v>1.3162570200000001E-3</v>
      </c>
      <c r="H5" s="3">
        <f>+'2021 Grunnlag korreksjoner'!H5</f>
        <v>0.8621454616980001</v>
      </c>
      <c r="I5" s="2">
        <v>0.74498489999999995</v>
      </c>
      <c r="J5" s="5">
        <f>(D5-1)*'2021 Nto driftsutg landet'!$C$5*C5</f>
        <v>-1284588622.8154912</v>
      </c>
      <c r="K5" s="5">
        <f>+J5-$J$17*C5/$C$17</f>
        <v>-1284588622.4099431</v>
      </c>
      <c r="L5" s="5">
        <f t="shared" ref="L5:L15" si="1">+K5/C5</f>
        <v>-1845.386954912087</v>
      </c>
      <c r="M5" s="5">
        <f>(E5-1)*'2021 Nto driftsutg landet'!$C$6*$C5</f>
        <v>-834343944.78580987</v>
      </c>
      <c r="N5" s="5">
        <f t="shared" ref="N5:N15" si="2">+M5-$M$17*$C5/$C$17</f>
        <v>-834343944.86580467</v>
      </c>
      <c r="O5" s="5">
        <f>+N5/$C5</f>
        <v>-1198.5840485467838</v>
      </c>
      <c r="P5" s="5">
        <f>(F5-1)*'2021 Nto driftsutg landet'!$C$7*$C5</f>
        <v>1288823779.5483384</v>
      </c>
      <c r="Q5" s="5">
        <f t="shared" ref="Q5:Q15" si="3">+P5-$P$17*$C5/$C$17</f>
        <v>1288823777.3536971</v>
      </c>
      <c r="R5" s="5">
        <f>+Q5/$C5</f>
        <v>1851.4710035708497</v>
      </c>
      <c r="S5" s="5">
        <f>(G5-1)*'2021 Nto driftsutg landet'!$C$8*$C5</f>
        <v>-563241182.29975164</v>
      </c>
      <c r="T5" s="5">
        <f t="shared" ref="T5:T15" si="4">+S5-$S$17*$C5/$C$17</f>
        <v>-563241181.77655303</v>
      </c>
      <c r="U5" s="5">
        <f>+T5/$C5</f>
        <v>-809.12901701539568</v>
      </c>
      <c r="V5" s="5">
        <f>(H5-1)*'2021 Nto driftsutg landet'!$C$9*$C5</f>
        <v>-48189922.540758491</v>
      </c>
      <c r="W5" s="5">
        <f t="shared" ref="W5:W15" si="5">+V5-$V$17*$C5/$C$17</f>
        <v>-48189922.781694114</v>
      </c>
      <c r="X5" s="5">
        <f>+W5/$C5</f>
        <v>-69.227652579332684</v>
      </c>
      <c r="Z5" s="2">
        <f>1+L5/'2021 Nto driftsutg landet'!$C$5</f>
        <v>0.69992741792473367</v>
      </c>
      <c r="AA5" s="2">
        <f>1+O5/'2021 Nto driftsutg landet'!$C$6</f>
        <v>0.27329987791232591</v>
      </c>
      <c r="AB5" s="2">
        <f>1+R5/'2021 Nto driftsutg landet'!$C$7</f>
        <v>1.7366784242575655</v>
      </c>
      <c r="AC5" s="2">
        <f>1+U5/'2021 Nto driftsutg landet'!$C$8</f>
        <v>1.3162579476841962E-3</v>
      </c>
      <c r="AD5" s="2">
        <f>1+X5/'2021 Nto driftsutg landet'!$C$9</f>
        <v>0.86214546100876743</v>
      </c>
    </row>
    <row r="6" spans="1:30" x14ac:dyDescent="0.3">
      <c r="A6" s="41">
        <v>1100</v>
      </c>
      <c r="B6" s="42" t="s">
        <v>139</v>
      </c>
      <c r="C6" s="42">
        <f>+'2021 Nto driftsutg'!W6</f>
        <v>484091</v>
      </c>
      <c r="D6" s="3">
        <f>+'2021 Grunnlag korreksjoner'!D6</f>
        <v>1.067319466676</v>
      </c>
      <c r="E6" s="3">
        <f>+'2021 Grunnlag korreksjoner'!E6</f>
        <v>0.81816777181600009</v>
      </c>
      <c r="F6" s="3">
        <f>+'2021 Grunnlag korreksjoner'!F6</f>
        <v>1.0249622935999998</v>
      </c>
      <c r="G6" s="3">
        <f>+'2021 Grunnlag korreksjoner'!G6</f>
        <v>0.84093635050800009</v>
      </c>
      <c r="H6" s="3">
        <f>+'2021 Grunnlag korreksjoner'!H6</f>
        <v>1.0806156121719999</v>
      </c>
      <c r="I6" s="2">
        <v>0.99578449000000002</v>
      </c>
      <c r="J6" s="5">
        <f>(D6-1)*'2021 Nto driftsutg landet'!$C$5*C6</f>
        <v>200414346.13710478</v>
      </c>
      <c r="K6" s="5">
        <f t="shared" ref="K6:K15" si="6">+J6-$J$17*C6/$C$17</f>
        <v>200414346.41913313</v>
      </c>
      <c r="L6" s="5">
        <f t="shared" si="1"/>
        <v>414.00138903456815</v>
      </c>
      <c r="M6" s="5">
        <f>(E6-1)*'2021 Nto driftsutg landet'!$C$6*$C6</f>
        <v>-145181449.97963873</v>
      </c>
      <c r="N6" s="5">
        <f t="shared" si="2"/>
        <v>-145181450.03526911</v>
      </c>
      <c r="O6" s="5">
        <f t="shared" ref="O6:O15" si="7">+N6/$C6</f>
        <v>-299.9052864756195</v>
      </c>
      <c r="P6" s="5">
        <f>(F6-1)*'2021 Nto driftsutg landet'!$C$7*$C6</f>
        <v>30370396.354615454</v>
      </c>
      <c r="Q6" s="5">
        <f t="shared" si="3"/>
        <v>30370394.828406654</v>
      </c>
      <c r="R6" s="5">
        <f t="shared" ref="R6:R15" si="8">+Q6/$C6</f>
        <v>62.736954061130355</v>
      </c>
      <c r="S6" s="5">
        <f>(G6-1)*'2021 Nto driftsutg landet'!$C$8*$C6</f>
        <v>-62386087.105754472</v>
      </c>
      <c r="T6" s="5">
        <f t="shared" si="4"/>
        <v>-62386086.741909035</v>
      </c>
      <c r="U6" s="5">
        <f t="shared" ref="U6:U15" si="9">+T6/$C6</f>
        <v>-128.87264324663965</v>
      </c>
      <c r="V6" s="5">
        <f>(H6-1)*'2021 Nto driftsutg landet'!$C$9*$C6</f>
        <v>19597681.713989738</v>
      </c>
      <c r="W6" s="5">
        <f t="shared" si="5"/>
        <v>19597681.546437047</v>
      </c>
      <c r="X6" s="5">
        <f t="shared" ref="X6:X15" si="10">+W6/$C6</f>
        <v>40.483466014524225</v>
      </c>
      <c r="Z6" s="2">
        <f>1+L6/'2021 Nto driftsutg landet'!$C$5</f>
        <v>1.0673194667707337</v>
      </c>
      <c r="AA6" s="2">
        <f>1+O6/'2021 Nto driftsutg landet'!$C$6</f>
        <v>0.81816777174632593</v>
      </c>
      <c r="AB6" s="2">
        <f>1+R6/'2021 Nto driftsutg landet'!$C$7</f>
        <v>1.0249622923455652</v>
      </c>
      <c r="AC6" s="2">
        <f>1+U6/'2021 Nto driftsutg landet'!$C$8</f>
        <v>0.84093635143568424</v>
      </c>
      <c r="AD6" s="2">
        <f>1+X6/'2021 Nto driftsutg landet'!$C$9</f>
        <v>1.0806156114827672</v>
      </c>
    </row>
    <row r="7" spans="1:30" x14ac:dyDescent="0.3">
      <c r="A7" s="41">
        <v>1500</v>
      </c>
      <c r="B7" s="42" t="s">
        <v>140</v>
      </c>
      <c r="C7" s="42">
        <f>+'2021 Nto driftsutg'!W7</f>
        <v>265297</v>
      </c>
      <c r="D7" s="3">
        <f>+'2021 Grunnlag korreksjoner'!D7</f>
        <v>1.115228965022</v>
      </c>
      <c r="E7" s="3">
        <f>+'2021 Grunnlag korreksjoner'!E7</f>
        <v>1.4589049309419999</v>
      </c>
      <c r="F7" s="3">
        <f>+'2021 Grunnlag korreksjoner'!F7</f>
        <v>0.99652723767999996</v>
      </c>
      <c r="G7" s="3">
        <f>+'2021 Grunnlag korreksjoner'!G7</f>
        <v>3.1024151350700002</v>
      </c>
      <c r="H7" s="3">
        <f>+'2021 Grunnlag korreksjoner'!H7</f>
        <v>1.0303618790409999</v>
      </c>
      <c r="I7" s="2">
        <v>1.2980132799999999</v>
      </c>
      <c r="J7" s="5">
        <f>(D7-1)*'2021 Nto driftsutg landet'!$C$5*C7</f>
        <v>187998823.30311191</v>
      </c>
      <c r="K7" s="5">
        <f t="shared" si="6"/>
        <v>187998823.45767227</v>
      </c>
      <c r="L7" s="5">
        <f t="shared" si="1"/>
        <v>708.63531610863402</v>
      </c>
      <c r="M7" s="5">
        <f>(E7-1)*'2021 Nto driftsutg landet'!$C$6*$C7</f>
        <v>200802133.85466728</v>
      </c>
      <c r="N7" s="5">
        <f t="shared" si="2"/>
        <v>200802133.8241801</v>
      </c>
      <c r="O7" s="5">
        <f t="shared" si="7"/>
        <v>756.89560690162386</v>
      </c>
      <c r="P7" s="5">
        <f>(F7-1)*'2021 Nto driftsutg landet'!$C$7*$C7</f>
        <v>-2315508.4169788384</v>
      </c>
      <c r="Q7" s="5">
        <f t="shared" si="3"/>
        <v>-2315509.2533889683</v>
      </c>
      <c r="R7" s="5">
        <f t="shared" si="8"/>
        <v>-8.7279888328513646</v>
      </c>
      <c r="S7" s="5">
        <f>(G7-1)*'2021 Nto driftsutg landet'!$C$8*$C7</f>
        <v>451898198.02022487</v>
      </c>
      <c r="T7" s="5">
        <f t="shared" si="4"/>
        <v>451898198.21962357</v>
      </c>
      <c r="U7" s="5">
        <f t="shared" si="9"/>
        <v>1703.3671629141058</v>
      </c>
      <c r="V7" s="5">
        <f>(H7-1)*'2021 Nto driftsutg landet'!$C$9*$C7</f>
        <v>4045009.2583451341</v>
      </c>
      <c r="W7" s="5">
        <f t="shared" si="5"/>
        <v>4045009.1665210221</v>
      </c>
      <c r="X7" s="5">
        <f t="shared" si="10"/>
        <v>15.247097277847175</v>
      </c>
      <c r="Z7" s="2">
        <f>1+L7/'2021 Nto driftsutg landet'!$C$5</f>
        <v>1.1152289651167338</v>
      </c>
      <c r="AA7" s="2">
        <f>1+O7/'2021 Nto driftsutg landet'!$C$6</f>
        <v>1.4589049308723259</v>
      </c>
      <c r="AB7" s="2">
        <f>1+R7/'2021 Nto driftsutg landet'!$C$7</f>
        <v>0.99652723642556551</v>
      </c>
      <c r="AC7" s="2">
        <f>1+U7/'2021 Nto driftsutg landet'!$C$8</f>
        <v>3.1024151359976844</v>
      </c>
      <c r="AD7" s="2">
        <f>1+X7/'2021 Nto driftsutg landet'!$C$9</f>
        <v>1.0303618783517672</v>
      </c>
    </row>
    <row r="8" spans="1:30" x14ac:dyDescent="0.3">
      <c r="A8" s="41">
        <v>1800</v>
      </c>
      <c r="B8" s="42" t="s">
        <v>141</v>
      </c>
      <c r="C8" s="42">
        <f>+'2021 Nto driftsutg'!W8</f>
        <v>240496</v>
      </c>
      <c r="D8" s="3">
        <f>+'2021 Grunnlag korreksjoner'!D8</f>
        <v>1.0985606159099996</v>
      </c>
      <c r="E8" s="3">
        <f>+'2021 Grunnlag korreksjoner'!E8</f>
        <v>1.740798889156</v>
      </c>
      <c r="F8" s="3">
        <f>+'2021 Grunnlag korreksjoner'!F8</f>
        <v>1.0164832532719998</v>
      </c>
      <c r="G8" s="3">
        <f>+'2021 Grunnlag korreksjoner'!G8</f>
        <v>5.5170510257599998</v>
      </c>
      <c r="H8" s="3">
        <f>+'2021 Grunnlag korreksjoner'!H8</f>
        <v>0.98545390553199996</v>
      </c>
      <c r="I8" s="2">
        <v>1.5138306100000001</v>
      </c>
      <c r="J8" s="5">
        <f>(D8-1)*'2021 Nto driftsutg landet'!$C$5*C8</f>
        <v>145771424.27821824</v>
      </c>
      <c r="K8" s="5">
        <f t="shared" si="6"/>
        <v>145771424.41832969</v>
      </c>
      <c r="L8" s="5">
        <f t="shared" si="1"/>
        <v>606.12826998507126</v>
      </c>
      <c r="M8" s="5">
        <f>(E8-1)*'2021 Nto driftsutg landet'!$C$6*$C8</f>
        <v>293847121.18546498</v>
      </c>
      <c r="N8" s="5">
        <f t="shared" si="2"/>
        <v>293847121.15782785</v>
      </c>
      <c r="O8" s="5">
        <f t="shared" si="7"/>
        <v>1221.8378732196288</v>
      </c>
      <c r="P8" s="5">
        <f>(F8-1)*'2021 Nto driftsutg landet'!$C$7*$C8</f>
        <v>9962991.3577325959</v>
      </c>
      <c r="Q8" s="5">
        <f t="shared" si="3"/>
        <v>9962990.5995133519</v>
      </c>
      <c r="R8" s="5">
        <f t="shared" si="8"/>
        <v>41.426845350913744</v>
      </c>
      <c r="S8" s="5">
        <f>(G8-1)*'2021 Nto driftsutg landet'!$C$8*$C8</f>
        <v>880141806.17496026</v>
      </c>
      <c r="T8" s="5">
        <f t="shared" si="4"/>
        <v>880141806.35571837</v>
      </c>
      <c r="U8" s="5">
        <f t="shared" si="9"/>
        <v>3659.6941585544805</v>
      </c>
      <c r="V8" s="5">
        <f>(H8-1)*'2021 Nto driftsutg landet'!$C$9*$C8</f>
        <v>-1756761.4646816973</v>
      </c>
      <c r="W8" s="5">
        <f t="shared" si="5"/>
        <v>-1756761.5479217328</v>
      </c>
      <c r="X8" s="5">
        <f t="shared" si="10"/>
        <v>-7.3047433134926685</v>
      </c>
      <c r="Z8" s="2">
        <f>1+L8/'2021 Nto driftsutg landet'!$C$5</f>
        <v>1.0985606160047334</v>
      </c>
      <c r="AA8" s="2">
        <f>1+O8/'2021 Nto driftsutg landet'!$C$6</f>
        <v>1.7407988890863257</v>
      </c>
      <c r="AB8" s="2">
        <f>1+R8/'2021 Nto driftsutg landet'!$C$7</f>
        <v>1.0164832520175653</v>
      </c>
      <c r="AC8" s="2">
        <f>1+U8/'2021 Nto driftsutg landet'!$C$8</f>
        <v>5.5170510266876844</v>
      </c>
      <c r="AD8" s="2">
        <f>1+X8/'2021 Nto driftsutg landet'!$C$9</f>
        <v>0.98545390484276729</v>
      </c>
    </row>
    <row r="9" spans="1:30" x14ac:dyDescent="0.3">
      <c r="A9" s="41">
        <v>3000</v>
      </c>
      <c r="B9" s="42" t="s">
        <v>403</v>
      </c>
      <c r="C9" s="42">
        <f>+'2021 Nto driftsutg'!W9</f>
        <v>1260731</v>
      </c>
      <c r="D9" s="3">
        <f>+'2021 Grunnlag korreksjoner'!D9</f>
        <v>1.0213270273399999</v>
      </c>
      <c r="E9" s="3">
        <f>+'2021 Grunnlag korreksjoner'!E9</f>
        <v>0.647410470214</v>
      </c>
      <c r="F9" s="3">
        <f>+'2021 Grunnlag korreksjoner'!F9</f>
        <v>0.67128453190399995</v>
      </c>
      <c r="G9" s="3">
        <f>+'2021 Grunnlag korreksjoner'!G9</f>
        <v>6.3826614545999999E-2</v>
      </c>
      <c r="H9" s="3">
        <f>+'2021 Grunnlag korreksjoner'!H9</f>
        <v>1.037185946318</v>
      </c>
      <c r="I9" s="2">
        <v>0.82361872999999997</v>
      </c>
      <c r="J9" s="5">
        <f>(D9-1)*'2021 Nto driftsutg landet'!$C$5*C9</f>
        <v>165353689.01550084</v>
      </c>
      <c r="K9" s="5">
        <f t="shared" si="6"/>
        <v>165353689.74999475</v>
      </c>
      <c r="L9" s="5">
        <f t="shared" si="1"/>
        <v>131.1569952273679</v>
      </c>
      <c r="M9" s="5">
        <f>(E9-1)*'2021 Nto driftsutg landet'!$C$6*$C9</f>
        <v>-733170705.29987943</v>
      </c>
      <c r="N9" s="5">
        <f t="shared" si="2"/>
        <v>-733170705.44475913</v>
      </c>
      <c r="O9" s="5">
        <f t="shared" si="7"/>
        <v>-581.54412435702704</v>
      </c>
      <c r="P9" s="5">
        <f>(F9-1)*'2021 Nto driftsutg landet'!$C$7*$C9</f>
        <v>-1041553390.3924874</v>
      </c>
      <c r="Q9" s="5">
        <f t="shared" si="3"/>
        <v>-1041553394.3672334</v>
      </c>
      <c r="R9" s="5">
        <f t="shared" si="8"/>
        <v>-826.15037971401784</v>
      </c>
      <c r="S9" s="5">
        <f>(G9-1)*'2021 Nto driftsutg landet'!$C$8*$C9</f>
        <v>-956243549.16563225</v>
      </c>
      <c r="T9" s="5">
        <f t="shared" si="4"/>
        <v>-956243548.2180599</v>
      </c>
      <c r="U9" s="5">
        <f t="shared" si="9"/>
        <v>-758.48341019460929</v>
      </c>
      <c r="V9" s="5">
        <f>(H9-1)*'2021 Nto driftsutg landet'!$C$9*$C9</f>
        <v>23542891.712921906</v>
      </c>
      <c r="W9" s="5">
        <f t="shared" si="5"/>
        <v>23542891.276560001</v>
      </c>
      <c r="X9" s="5">
        <f t="shared" si="10"/>
        <v>18.674000462081128</v>
      </c>
      <c r="Z9" s="2">
        <f>1+L9/'2021 Nto driftsutg landet'!$C$5</f>
        <v>1.0213270274347337</v>
      </c>
      <c r="AA9" s="2">
        <f>1+O9/'2021 Nto driftsutg landet'!$C$6</f>
        <v>0.64741047014432584</v>
      </c>
      <c r="AB9" s="2">
        <f>1+R9/'2021 Nto driftsutg landet'!$C$7</f>
        <v>0.67128453064956539</v>
      </c>
      <c r="AC9" s="2">
        <f>1+U9/'2021 Nto driftsutg landet'!$C$8</f>
        <v>6.3826615473684067E-2</v>
      </c>
      <c r="AD9" s="2">
        <f>1+X9/'2021 Nto driftsutg landet'!$C$9</f>
        <v>1.0371859456287673</v>
      </c>
    </row>
    <row r="10" spans="1:30" x14ac:dyDescent="0.3">
      <c r="A10" s="41">
        <v>3400</v>
      </c>
      <c r="B10" s="42" t="s">
        <v>404</v>
      </c>
      <c r="C10" s="42">
        <f>+'2021 Nto driftsutg'!W10</f>
        <v>370701</v>
      </c>
      <c r="D10" s="3">
        <f>+'2021 Grunnlag korreksjoner'!D10</f>
        <v>1.0261357862519997</v>
      </c>
      <c r="E10" s="3">
        <f>+'2021 Grunnlag korreksjoner'!E10</f>
        <v>1.5201988443160002</v>
      </c>
      <c r="F10" s="3">
        <f>+'2021 Grunnlag korreksjoner'!F10</f>
        <v>1.009729337976</v>
      </c>
      <c r="G10" s="3">
        <f>+'2021 Grunnlag korreksjoner'!G10</f>
        <v>3.8547033684000004E-2</v>
      </c>
      <c r="H10" s="3">
        <f>+'2021 Grunnlag korreksjoner'!H10</f>
        <v>0.96374535311999998</v>
      </c>
      <c r="I10" s="2">
        <v>1.05007359</v>
      </c>
      <c r="J10" s="5">
        <f>(D10-1)*'2021 Nto driftsutg landet'!$C$5*C10</f>
        <v>59582738.237672694</v>
      </c>
      <c r="K10" s="5">
        <f t="shared" si="6"/>
        <v>59582738.453640752</v>
      </c>
      <c r="L10" s="5">
        <f t="shared" si="1"/>
        <v>160.72991023396418</v>
      </c>
      <c r="M10" s="5">
        <f>(E10-1)*'2021 Nto driftsutg landet'!$C$6*$C10</f>
        <v>318058056.61021084</v>
      </c>
      <c r="N10" s="5">
        <f t="shared" si="2"/>
        <v>318058056.56761092</v>
      </c>
      <c r="O10" s="5">
        <f t="shared" si="7"/>
        <v>857.99082432367572</v>
      </c>
      <c r="P10" s="5">
        <f>(F10-1)*'2021 Nto driftsutg landet'!$C$7*$C10</f>
        <v>9064545.0564488005</v>
      </c>
      <c r="Q10" s="5">
        <f t="shared" si="3"/>
        <v>9064543.88772819</v>
      </c>
      <c r="R10" s="5">
        <f t="shared" si="8"/>
        <v>24.452439803853213</v>
      </c>
      <c r="S10" s="5">
        <f>(G10-1)*'2021 Nto driftsutg landet'!$C$8*$C10</f>
        <v>-288763034.83503836</v>
      </c>
      <c r="T10" s="5">
        <f t="shared" si="4"/>
        <v>-288763034.55641747</v>
      </c>
      <c r="U10" s="5">
        <f t="shared" si="9"/>
        <v>-778.96481141517688</v>
      </c>
      <c r="V10" s="5">
        <f>(H10-1)*'2021 Nto driftsutg landet'!$C$9*$C10</f>
        <v>-6749101.6979313819</v>
      </c>
      <c r="W10" s="5">
        <f t="shared" si="5"/>
        <v>-6749101.8262377335</v>
      </c>
      <c r="X10" s="5">
        <f t="shared" si="10"/>
        <v>-18.206322147061197</v>
      </c>
      <c r="Z10" s="2">
        <f>1+L10/'2021 Nto driftsutg landet'!$C$5</f>
        <v>1.0261357863467335</v>
      </c>
      <c r="AA10" s="2">
        <f>1+O10/'2021 Nto driftsutg landet'!$C$6</f>
        <v>1.5201988442463259</v>
      </c>
      <c r="AB10" s="2">
        <f>1+R10/'2021 Nto driftsutg landet'!$C$7</f>
        <v>1.0097293367215654</v>
      </c>
      <c r="AC10" s="2">
        <f>1+U10/'2021 Nto driftsutg landet'!$C$8</f>
        <v>3.8547034611684072E-2</v>
      </c>
      <c r="AD10" s="2">
        <f>1+X10/'2021 Nto driftsutg landet'!$C$9</f>
        <v>0.96374535243076731</v>
      </c>
    </row>
    <row r="11" spans="1:30" x14ac:dyDescent="0.3">
      <c r="A11" s="41">
        <v>3800</v>
      </c>
      <c r="B11" s="42" t="s">
        <v>405</v>
      </c>
      <c r="C11" s="42">
        <f>+'2021 Nto driftsutg'!W11</f>
        <v>423144</v>
      </c>
      <c r="D11" s="3">
        <f>+'2021 Grunnlag korreksjoner'!D11</f>
        <v>1.0188882733159998</v>
      </c>
      <c r="E11" s="3">
        <f>+'2021 Grunnlag korreksjoner'!E11</f>
        <v>0.96541871701000015</v>
      </c>
      <c r="F11" s="3">
        <f>+'2021 Grunnlag korreksjoner'!F11</f>
        <v>0.72761217902399999</v>
      </c>
      <c r="G11" s="3">
        <f>+'2021 Grunnlag korreksjoner'!G11</f>
        <v>0.16001458453400003</v>
      </c>
      <c r="H11" s="3">
        <f>+'2021 Grunnlag korreksjoner'!H11</f>
        <v>0.99862059254700009</v>
      </c>
      <c r="I11" s="2">
        <v>0.89976524000000002</v>
      </c>
      <c r="J11" s="5">
        <f>(D11-1)*'2021 Nto driftsutg landet'!$C$5*C11</f>
        <v>49152043.286646977</v>
      </c>
      <c r="K11" s="5">
        <f t="shared" si="6"/>
        <v>49152043.533167996</v>
      </c>
      <c r="L11" s="5">
        <f t="shared" si="1"/>
        <v>116.15914093823378</v>
      </c>
      <c r="M11" s="5">
        <f>(E11-1)*'2021 Nto driftsutg landet'!$C$6*$C11</f>
        <v>-24134735.822316449</v>
      </c>
      <c r="N11" s="5">
        <f t="shared" si="2"/>
        <v>-24134735.870942965</v>
      </c>
      <c r="O11" s="5">
        <f t="shared" si="7"/>
        <v>-57.036696422359682</v>
      </c>
      <c r="P11" s="5">
        <f>(F11-1)*'2021 Nto driftsutg landet'!$C$7*$C11</f>
        <v>-289677548.83849645</v>
      </c>
      <c r="Q11" s="5">
        <f t="shared" si="3"/>
        <v>-289677550.17255574</v>
      </c>
      <c r="R11" s="5">
        <f t="shared" si="8"/>
        <v>-684.58385365869719</v>
      </c>
      <c r="S11" s="5">
        <f>(G11-1)*'2021 Nto driftsutg landet'!$C$8*$C11</f>
        <v>-287971646.1148383</v>
      </c>
      <c r="T11" s="5">
        <f t="shared" si="4"/>
        <v>-287971645.79680097</v>
      </c>
      <c r="U11" s="5">
        <f t="shared" si="9"/>
        <v>-680.55235521902944</v>
      </c>
      <c r="V11" s="5">
        <f>(H11-1)*'2021 Nto driftsutg landet'!$C$9*$C11</f>
        <v>-293115.84148537868</v>
      </c>
      <c r="W11" s="5">
        <f t="shared" si="5"/>
        <v>-293115.98794320569</v>
      </c>
      <c r="X11" s="5">
        <f t="shared" si="10"/>
        <v>-0.69270978187852295</v>
      </c>
      <c r="Z11" s="2">
        <f>1+L11/'2021 Nto driftsutg landet'!$C$5</f>
        <v>1.0188882734107336</v>
      </c>
      <c r="AA11" s="2">
        <f>1+O11/'2021 Nto driftsutg landet'!$C$6</f>
        <v>0.96541871694032599</v>
      </c>
      <c r="AB11" s="2">
        <f>1+R11/'2021 Nto driftsutg landet'!$C$7</f>
        <v>0.72761217776956544</v>
      </c>
      <c r="AC11" s="2">
        <f>1+U11/'2021 Nto driftsutg landet'!$C$8</f>
        <v>0.16001458546168412</v>
      </c>
      <c r="AD11" s="2">
        <f>1+X11/'2021 Nto driftsutg landet'!$C$9</f>
        <v>0.99862059185776741</v>
      </c>
    </row>
    <row r="12" spans="1:30" x14ac:dyDescent="0.3">
      <c r="A12" s="41">
        <v>4200</v>
      </c>
      <c r="B12" s="42" t="s">
        <v>406</v>
      </c>
      <c r="C12" s="42">
        <f>+'2021 Nto driftsutg'!W12</f>
        <v>309508</v>
      </c>
      <c r="D12" s="3">
        <f>+'2021 Grunnlag korreksjoner'!D12</f>
        <v>1.05030069166</v>
      </c>
      <c r="E12" s="3">
        <f>+'2021 Grunnlag korreksjoner'!E12</f>
        <v>1.1653561073379999</v>
      </c>
      <c r="F12" s="3">
        <f>+'2021 Grunnlag korreksjoner'!F12</f>
        <v>0.81375635999199991</v>
      </c>
      <c r="G12" s="3">
        <f>+'2021 Grunnlag korreksjoner'!G12</f>
        <v>0.23760515278000002</v>
      </c>
      <c r="H12" s="3">
        <f>+'2021 Grunnlag korreksjoner'!H12</f>
        <v>1.0486821090080001</v>
      </c>
      <c r="I12" s="2">
        <v>0.97768442</v>
      </c>
      <c r="J12" s="5">
        <f>(D12-1)*'2021 Nto driftsutg landet'!$C$5*C12</f>
        <v>95742985.716899663</v>
      </c>
      <c r="K12" s="5">
        <f t="shared" si="6"/>
        <v>95742985.897217065</v>
      </c>
      <c r="L12" s="5">
        <f t="shared" si="1"/>
        <v>309.33929299797444</v>
      </c>
      <c r="M12" s="5">
        <f>(E12-1)*'2021 Nto driftsutg landet'!$C$6*$C12</f>
        <v>84412231.106290445</v>
      </c>
      <c r="N12" s="5">
        <f t="shared" si="2"/>
        <v>84412231.070722654</v>
      </c>
      <c r="O12" s="5">
        <f t="shared" si="7"/>
        <v>272.73036907195501</v>
      </c>
      <c r="P12" s="5">
        <f>(F12-1)*'2021 Nto driftsutg landet'!$C$7*$C12</f>
        <v>-144874614.82077253</v>
      </c>
      <c r="Q12" s="5">
        <f t="shared" si="3"/>
        <v>-144874615.79656807</v>
      </c>
      <c r="R12" s="5">
        <f t="shared" si="8"/>
        <v>-468.08035913956365</v>
      </c>
      <c r="S12" s="5">
        <f>(G12-1)*'2021 Nto driftsutg landet'!$C$8*$C12</f>
        <v>-191179634.74906954</v>
      </c>
      <c r="T12" s="5">
        <f t="shared" si="4"/>
        <v>-191179634.51644164</v>
      </c>
      <c r="U12" s="5">
        <f t="shared" si="9"/>
        <v>-617.6888303903022</v>
      </c>
      <c r="V12" s="5">
        <f>(H12-1)*'2021 Nto driftsutg landet'!$C$9*$C12</f>
        <v>7566582.9708343185</v>
      </c>
      <c r="W12" s="5">
        <f t="shared" si="5"/>
        <v>7566582.8637079755</v>
      </c>
      <c r="X12" s="5">
        <f t="shared" si="10"/>
        <v>24.447131782402959</v>
      </c>
      <c r="Z12" s="2">
        <f>1+L12/'2021 Nto driftsutg landet'!$C$5</f>
        <v>1.0503006917547337</v>
      </c>
      <c r="AA12" s="2">
        <f>1+O12/'2021 Nto driftsutg landet'!$C$6</f>
        <v>1.1653561072683258</v>
      </c>
      <c r="AB12" s="2">
        <f>1+R12/'2021 Nto driftsutg landet'!$C$7</f>
        <v>0.81375635873756547</v>
      </c>
      <c r="AC12" s="2">
        <f>1+U12/'2021 Nto driftsutg landet'!$C$8</f>
        <v>0.23760515370768409</v>
      </c>
      <c r="AD12" s="2">
        <f>1+X12/'2021 Nto driftsutg landet'!$C$9</f>
        <v>1.0486821083187674</v>
      </c>
    </row>
    <row r="13" spans="1:30" x14ac:dyDescent="0.3">
      <c r="A13" s="41">
        <v>4600</v>
      </c>
      <c r="B13" s="42" t="s">
        <v>407</v>
      </c>
      <c r="C13" s="42">
        <f>+'2021 Nto driftsutg'!W13</f>
        <v>639102</v>
      </c>
      <c r="D13" s="3">
        <f>+'2021 Grunnlag korreksjoner'!D13</f>
        <v>1.0627111443199999</v>
      </c>
      <c r="E13" s="3">
        <f>+'2021 Grunnlag korreksjoner'!E13</f>
        <v>1.179674447704</v>
      </c>
      <c r="F13" s="3">
        <f>+'2021 Grunnlag korreksjoner'!F13</f>
        <v>1.0003785486719998</v>
      </c>
      <c r="G13" s="3">
        <f>+'2021 Grunnlag korreksjoner'!G13</f>
        <v>1.9450823642099999</v>
      </c>
      <c r="H13" s="3">
        <f>+'2021 Grunnlag korreksjoner'!H13</f>
        <v>1.027352720051</v>
      </c>
      <c r="I13" s="2">
        <v>1.1353873400000001</v>
      </c>
      <c r="J13" s="5">
        <f>(D13-1)*'2021 Nto driftsutg landet'!$C$5*C13</f>
        <v>246476792.20117977</v>
      </c>
      <c r="K13" s="5">
        <f t="shared" si="6"/>
        <v>246476792.57351655</v>
      </c>
      <c r="L13" s="5">
        <f t="shared" si="1"/>
        <v>385.66111915393248</v>
      </c>
      <c r="M13" s="5">
        <f>(E13-1)*'2021 Nto driftsutg landet'!$C$6*$C13</f>
        <v>189395543.41598642</v>
      </c>
      <c r="N13" s="5">
        <f t="shared" si="2"/>
        <v>189395543.34254262</v>
      </c>
      <c r="O13" s="5">
        <f t="shared" si="7"/>
        <v>296.34634744147667</v>
      </c>
      <c r="P13" s="5">
        <f>(F13-1)*'2021 Nto driftsutg landet'!$C$7*$C13</f>
        <v>608038.20455200237</v>
      </c>
      <c r="Q13" s="5">
        <f t="shared" si="3"/>
        <v>608036.18963518518</v>
      </c>
      <c r="R13" s="5">
        <f t="shared" si="8"/>
        <v>0.95139146745775349</v>
      </c>
      <c r="S13" s="5">
        <f>(G13-1)*'2021 Nto driftsutg landet'!$C$8*$C13</f>
        <v>489361312.08069438</v>
      </c>
      <c r="T13" s="5">
        <f t="shared" si="4"/>
        <v>489361312.56104696</v>
      </c>
      <c r="U13" s="5">
        <f t="shared" si="9"/>
        <v>765.70142568955657</v>
      </c>
      <c r="V13" s="5">
        <f>(H13-1)*'2021 Nto driftsutg landet'!$C$9*$C13</f>
        <v>8778680.2839425951</v>
      </c>
      <c r="W13" s="5">
        <f t="shared" si="5"/>
        <v>8778680.0627377797</v>
      </c>
      <c r="X13" s="5">
        <f t="shared" si="10"/>
        <v>13.735960868120863</v>
      </c>
      <c r="Z13" s="2">
        <f>1+L13/'2021 Nto driftsutg landet'!$C$5</f>
        <v>1.0627111444147337</v>
      </c>
      <c r="AA13" s="2">
        <f>1+O13/'2021 Nto driftsutg landet'!$C$6</f>
        <v>1.1796744476343259</v>
      </c>
      <c r="AB13" s="2">
        <f>1+R13/'2021 Nto driftsutg landet'!$C$7</f>
        <v>1.0003785474175653</v>
      </c>
      <c r="AC13" s="2">
        <f>1+U13/'2021 Nto driftsutg landet'!$C$8</f>
        <v>1.9450823651376841</v>
      </c>
      <c r="AD13" s="2">
        <f>1+X13/'2021 Nto driftsutg landet'!$C$9</f>
        <v>1.0273527193617673</v>
      </c>
    </row>
    <row r="14" spans="1:30" x14ac:dyDescent="0.3">
      <c r="A14" s="41">
        <v>5000</v>
      </c>
      <c r="B14" s="42" t="s">
        <v>388</v>
      </c>
      <c r="C14" s="42">
        <f>+'2021 Nto driftsutg'!W14</f>
        <v>470984</v>
      </c>
      <c r="D14" s="3">
        <f>+'2021 Grunnlag korreksjoner'!D14</f>
        <v>1.012572546855</v>
      </c>
      <c r="E14" s="3">
        <f>+'2021 Grunnlag korreksjoner'!E14</f>
        <v>1.2942396964060001</v>
      </c>
      <c r="F14" s="3">
        <f>+'2021 Grunnlag korreksjoner'!F14</f>
        <v>1.05514238388</v>
      </c>
      <c r="G14" s="3">
        <f>+'2021 Grunnlag korreksjoner'!G14</f>
        <v>1.138105922492</v>
      </c>
      <c r="H14" s="3">
        <f>+'2021 Grunnlag korreksjoner'!H14</f>
        <v>0.99297800244399992</v>
      </c>
      <c r="I14" s="2">
        <v>1.08347192</v>
      </c>
      <c r="J14" s="5">
        <f>(D14-1)*'2021 Nto driftsutg landet'!$C$5*C14</f>
        <v>36415858.051382668</v>
      </c>
      <c r="K14" s="5">
        <f t="shared" si="6"/>
        <v>36415858.325774968</v>
      </c>
      <c r="L14" s="5">
        <f t="shared" si="1"/>
        <v>77.318673937490374</v>
      </c>
      <c r="M14" s="5">
        <f>(E14-1)*'2021 Nto driftsutg landet'!$C$6*$C14</f>
        <v>228570762.96777126</v>
      </c>
      <c r="N14" s="5">
        <f t="shared" si="2"/>
        <v>228570762.91364712</v>
      </c>
      <c r="O14" s="5">
        <f t="shared" si="7"/>
        <v>485.30472991364275</v>
      </c>
      <c r="P14" s="5">
        <f>(F14-1)*'2021 Nto driftsutg landet'!$C$7*$C14</f>
        <v>65272561.398867674</v>
      </c>
      <c r="Q14" s="5">
        <f t="shared" si="3"/>
        <v>65272559.913981721</v>
      </c>
      <c r="R14" s="5">
        <f t="shared" si="8"/>
        <v>138.58763761397779</v>
      </c>
      <c r="S14" s="5">
        <f>(G14-1)*'2021 Nto driftsutg landet'!$C$8*$C14</f>
        <v>52699713.373408943</v>
      </c>
      <c r="T14" s="5">
        <f t="shared" si="4"/>
        <v>52699713.727403089</v>
      </c>
      <c r="U14" s="5">
        <f t="shared" si="9"/>
        <v>111.89278983448077</v>
      </c>
      <c r="V14" s="5">
        <f>(H14-1)*'2021 Nto driftsutg landet'!$C$9*$C14</f>
        <v>-1660830.6959883482</v>
      </c>
      <c r="W14" s="5">
        <f t="shared" si="5"/>
        <v>-1660830.8590044684</v>
      </c>
      <c r="X14" s="5">
        <f t="shared" si="10"/>
        <v>-3.5262999571205569</v>
      </c>
      <c r="Z14" s="2">
        <f>1+L14/'2021 Nto driftsutg landet'!$C$5</f>
        <v>1.0125725469497338</v>
      </c>
      <c r="AA14" s="2">
        <f>1+O14/'2021 Nto driftsutg landet'!$C$6</f>
        <v>1.2942396963363261</v>
      </c>
      <c r="AB14" s="2">
        <f>1+R14/'2021 Nto driftsutg landet'!$C$7</f>
        <v>1.0551423826255655</v>
      </c>
      <c r="AC14" s="2">
        <f>1+U14/'2021 Nto driftsutg landet'!$C$8</f>
        <v>1.1381059234196842</v>
      </c>
      <c r="AD14" s="2">
        <f>1+X14/'2021 Nto driftsutg landet'!$C$9</f>
        <v>0.99297800175476725</v>
      </c>
    </row>
    <row r="15" spans="1:30" x14ac:dyDescent="0.3">
      <c r="A15" s="41">
        <v>5400</v>
      </c>
      <c r="B15" s="42" t="s">
        <v>408</v>
      </c>
      <c r="C15" s="42">
        <f>+'2021 Nto driftsutg'!W15</f>
        <v>241663</v>
      </c>
      <c r="D15" s="3">
        <f>+'2021 Grunnlag korreksjoner'!D15</f>
        <v>1.0657255152389999</v>
      </c>
      <c r="E15" s="3">
        <f>+'2021 Grunnlag korreksjoner'!E15</f>
        <v>2.0580994937500003</v>
      </c>
      <c r="F15" s="3">
        <f>+'2021 Grunnlag korreksjoner'!F15</f>
        <v>1.1223627904319999</v>
      </c>
      <c r="G15" s="3">
        <f>+'2021 Grunnlag korreksjoner'!G15</f>
        <v>3.4295099211780005</v>
      </c>
      <c r="H15" s="3">
        <f>+'2021 Grunnlag korreksjoner'!H15</f>
        <v>0.95977925969500011</v>
      </c>
      <c r="I15" s="2">
        <v>1.4312196699999999</v>
      </c>
      <c r="J15" s="5">
        <f>(D15-1)*'2021 Nto driftsutg landet'!$C$5*C15</f>
        <v>97679919.440704614</v>
      </c>
      <c r="K15" s="5">
        <f t="shared" si="6"/>
        <v>97679919.581495941</v>
      </c>
      <c r="L15" s="5">
        <f t="shared" si="1"/>
        <v>404.19890335506858</v>
      </c>
      <c r="M15" s="5">
        <f>(E15-1)*'2021 Nto driftsutg landet'!$C$6*$C15</f>
        <v>421744987.36801547</v>
      </c>
      <c r="N15" s="5">
        <f t="shared" si="2"/>
        <v>421744987.34024423</v>
      </c>
      <c r="O15" s="5">
        <f t="shared" si="7"/>
        <v>1745.178150317774</v>
      </c>
      <c r="P15" s="5">
        <f>(F15-1)*'2021 Nto driftsutg landet'!$C$7*$C15</f>
        <v>74318767.578682572</v>
      </c>
      <c r="Q15" s="5">
        <f t="shared" si="3"/>
        <v>74318766.816784084</v>
      </c>
      <c r="R15" s="5">
        <f t="shared" si="8"/>
        <v>307.53059763713969</v>
      </c>
      <c r="S15" s="5">
        <f>(G15-1)*'2021 Nto driftsutg landet'!$C$8*$C15</f>
        <v>475684100.56075501</v>
      </c>
      <c r="T15" s="5">
        <f t="shared" si="4"/>
        <v>475684100.74239028</v>
      </c>
      <c r="U15" s="5">
        <f t="shared" si="9"/>
        <v>1968.3778681154761</v>
      </c>
      <c r="V15" s="5">
        <f>(H15-1)*'2021 Nto driftsutg landet'!$C$9*$C15</f>
        <v>-4881111.8295186115</v>
      </c>
      <c r="W15" s="5">
        <f t="shared" si="5"/>
        <v>-4881111.9131625667</v>
      </c>
      <c r="X15" s="5">
        <f t="shared" si="10"/>
        <v>-20.198010920838385</v>
      </c>
      <c r="Z15" s="2">
        <f>1+L15/'2021 Nto driftsutg landet'!$C$5</f>
        <v>1.0657255153337337</v>
      </c>
      <c r="AA15" s="2">
        <f>1+O15/'2021 Nto driftsutg landet'!$C$6</f>
        <v>2.0580994936803263</v>
      </c>
      <c r="AB15" s="2">
        <f>1+R15/'2021 Nto driftsutg landet'!$C$7</f>
        <v>1.1223627891775654</v>
      </c>
      <c r="AC15" s="2">
        <f>1+U15/'2021 Nto driftsutg landet'!$C$8</f>
        <v>3.4295099221056851</v>
      </c>
      <c r="AD15" s="2">
        <f>1+X15/'2021 Nto driftsutg landet'!$C$9</f>
        <v>0.95977925900576744</v>
      </c>
    </row>
    <row r="16" spans="1:30" x14ac:dyDescent="0.3">
      <c r="B16" s="43"/>
      <c r="C16" s="43"/>
      <c r="D16" s="4"/>
      <c r="E16" s="4"/>
      <c r="F16" s="4"/>
      <c r="G16" s="4"/>
      <c r="H16" s="4"/>
      <c r="I16" s="4"/>
      <c r="Z16" s="4"/>
      <c r="AA16" s="4"/>
    </row>
    <row r="17" spans="2:31" x14ac:dyDescent="0.3">
      <c r="B17" s="42" t="s">
        <v>3</v>
      </c>
      <c r="C17" s="5">
        <f>SUM(C5:C16)</f>
        <v>5401825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5">
        <f>SUM(J5:J16)</f>
        <v>-3.1470690369606018</v>
      </c>
      <c r="K17" s="5">
        <f>SUM(K5:K16)</f>
        <v>0</v>
      </c>
      <c r="L17" s="5">
        <v>0</v>
      </c>
      <c r="M17" s="5">
        <f>SUM(M5:M16)</f>
        <v>0.62076252698898315</v>
      </c>
      <c r="N17" s="5">
        <f>SUM(N5:N16)</f>
        <v>0</v>
      </c>
      <c r="O17" s="5">
        <v>0</v>
      </c>
      <c r="P17" s="5">
        <f>SUM(P5:P16)</f>
        <v>17.03050222992897</v>
      </c>
      <c r="Q17" s="5">
        <f>SUM(Q5:Q16)</f>
        <v>0</v>
      </c>
      <c r="R17" s="5">
        <v>0</v>
      </c>
      <c r="S17" s="5">
        <f>SUM(S5:S16)</f>
        <v>-4.0600411891937256</v>
      </c>
      <c r="T17" s="5">
        <f>SUM(T5:T16)</f>
        <v>0</v>
      </c>
      <c r="U17" s="5">
        <v>0</v>
      </c>
      <c r="V17" s="5">
        <f>SUM(V5:V16)</f>
        <v>1.8696697847917676</v>
      </c>
      <c r="W17" s="5">
        <f>SUM(W5:W16)</f>
        <v>0</v>
      </c>
      <c r="X17" s="5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/>
    </row>
  </sheetData>
  <sheetProtection algorithmName="SHA-512" hashValue="e/PR0XmwTjLwfDuBIij5m8uUO9hjOV9u+NugBB2bgpciEpJFuPvdqSVZJoxvZf/Vw0JE5i0x+GnCq4wnMJuOBA==" saltValue="ivF9cM1VDHo01fSLIHcE3g==" spinCount="100000" sheet="1" objects="1" scenarios="1" selectLockedCells="1" selectUn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0355-65EE-40A0-A4D5-4A3CECEFA3F2}">
  <dimension ref="A1:CE18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4"/>
      <c r="CB1" s="5"/>
    </row>
    <row r="2" spans="1:83" ht="79.8" x14ac:dyDescent="0.3">
      <c r="A2" s="22" t="s">
        <v>2</v>
      </c>
      <c r="B2" s="22" t="s">
        <v>1</v>
      </c>
      <c r="C2" s="22" t="s">
        <v>411</v>
      </c>
      <c r="D2" s="22" t="s">
        <v>319</v>
      </c>
      <c r="E2" s="22" t="s">
        <v>320</v>
      </c>
      <c r="F2" s="22" t="s">
        <v>322</v>
      </c>
      <c r="G2" s="22" t="s">
        <v>321</v>
      </c>
      <c r="H2" s="22" t="s">
        <v>323</v>
      </c>
      <c r="I2" s="22" t="s">
        <v>228</v>
      </c>
      <c r="J2" s="22" t="s">
        <v>227</v>
      </c>
      <c r="K2" s="101" t="s">
        <v>324</v>
      </c>
      <c r="L2" s="101" t="s">
        <v>325</v>
      </c>
      <c r="M2" s="101" t="s">
        <v>326</v>
      </c>
      <c r="N2" s="101" t="s">
        <v>327</v>
      </c>
      <c r="O2" s="101" t="s">
        <v>328</v>
      </c>
      <c r="P2" s="101" t="s">
        <v>230</v>
      </c>
      <c r="Q2" s="101" t="s">
        <v>229</v>
      </c>
      <c r="R2" s="22" t="s">
        <v>329</v>
      </c>
      <c r="S2" s="22" t="s">
        <v>330</v>
      </c>
      <c r="T2" s="22" t="s">
        <v>331</v>
      </c>
      <c r="U2" s="22" t="s">
        <v>332</v>
      </c>
      <c r="V2" s="22" t="s">
        <v>333</v>
      </c>
      <c r="W2" s="22" t="s">
        <v>309</v>
      </c>
      <c r="X2" s="22" t="s">
        <v>308</v>
      </c>
      <c r="Y2" s="101" t="s">
        <v>334</v>
      </c>
      <c r="Z2" s="101" t="s">
        <v>335</v>
      </c>
      <c r="AA2" s="101" t="s">
        <v>336</v>
      </c>
      <c r="AB2" s="101" t="s">
        <v>337</v>
      </c>
      <c r="AC2" s="101" t="s">
        <v>338</v>
      </c>
      <c r="AD2" s="101" t="s">
        <v>311</v>
      </c>
      <c r="AE2" s="101" t="s">
        <v>310</v>
      </c>
      <c r="AF2" s="22" t="s">
        <v>339</v>
      </c>
      <c r="AG2" s="22" t="s">
        <v>340</v>
      </c>
      <c r="AH2" s="22" t="s">
        <v>341</v>
      </c>
      <c r="AI2" s="22" t="s">
        <v>342</v>
      </c>
      <c r="AJ2" s="22" t="s">
        <v>343</v>
      </c>
      <c r="AK2" s="22" t="s">
        <v>344</v>
      </c>
      <c r="AL2" s="22" t="s">
        <v>345</v>
      </c>
      <c r="AM2" s="101" t="s">
        <v>346</v>
      </c>
      <c r="AN2" s="101" t="s">
        <v>347</v>
      </c>
      <c r="AO2" s="101" t="s">
        <v>348</v>
      </c>
      <c r="AP2" s="101" t="s">
        <v>349</v>
      </c>
      <c r="AQ2" s="101" t="s">
        <v>350</v>
      </c>
      <c r="AR2" s="101" t="s">
        <v>232</v>
      </c>
      <c r="AS2" s="101" t="s">
        <v>231</v>
      </c>
      <c r="AT2" s="22" t="s">
        <v>351</v>
      </c>
      <c r="AU2" s="22" t="s">
        <v>352</v>
      </c>
      <c r="AV2" s="22" t="s">
        <v>353</v>
      </c>
      <c r="AW2" s="22" t="s">
        <v>354</v>
      </c>
      <c r="AX2" s="22" t="s">
        <v>355</v>
      </c>
      <c r="AY2" s="22" t="s">
        <v>356</v>
      </c>
      <c r="AZ2" s="22" t="s">
        <v>357</v>
      </c>
      <c r="BA2" s="101" t="s">
        <v>358</v>
      </c>
      <c r="BB2" s="101" t="s">
        <v>359</v>
      </c>
      <c r="BC2" s="101" t="s">
        <v>360</v>
      </c>
      <c r="BD2" s="101" t="s">
        <v>361</v>
      </c>
      <c r="BE2" s="101" t="s">
        <v>362</v>
      </c>
      <c r="BF2" s="101" t="s">
        <v>234</v>
      </c>
      <c r="BG2" s="101" t="s">
        <v>233</v>
      </c>
      <c r="BH2" s="22" t="s">
        <v>363</v>
      </c>
      <c r="BI2" s="22" t="s">
        <v>364</v>
      </c>
      <c r="BJ2" s="22" t="s">
        <v>365</v>
      </c>
      <c r="BK2" s="22" t="s">
        <v>366</v>
      </c>
      <c r="BL2" s="22" t="s">
        <v>367</v>
      </c>
      <c r="BM2" s="22" t="s">
        <v>236</v>
      </c>
      <c r="BN2" s="22" t="s">
        <v>235</v>
      </c>
      <c r="BO2" s="101" t="s">
        <v>368</v>
      </c>
      <c r="BP2" s="101" t="s">
        <v>369</v>
      </c>
      <c r="BQ2" s="101" t="s">
        <v>370</v>
      </c>
      <c r="BR2" s="101" t="s">
        <v>371</v>
      </c>
      <c r="BS2" s="101" t="s">
        <v>372</v>
      </c>
      <c r="BT2" s="101" t="s">
        <v>373</v>
      </c>
      <c r="BU2" s="101" t="s">
        <v>374</v>
      </c>
      <c r="BV2" s="22" t="s">
        <v>375</v>
      </c>
      <c r="BW2" s="22" t="s">
        <v>376</v>
      </c>
      <c r="BX2" s="22" t="s">
        <v>377</v>
      </c>
      <c r="BY2" s="22" t="s">
        <v>378</v>
      </c>
      <c r="BZ2" s="22" t="s">
        <v>379</v>
      </c>
      <c r="CA2" s="22" t="s">
        <v>380</v>
      </c>
      <c r="CB2" s="22" t="s">
        <v>381</v>
      </c>
      <c r="CC2" s="101"/>
      <c r="CD2" s="101"/>
      <c r="CE2" s="101"/>
    </row>
    <row r="3" spans="1:83" x14ac:dyDescent="0.3">
      <c r="A3" s="107">
        <v>1</v>
      </c>
      <c r="B3" s="107">
        <f>+A3+1</f>
        <v>2</v>
      </c>
      <c r="C3" s="107">
        <f t="shared" ref="C3:BN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2">
        <f t="shared" si="0"/>
        <v>11</v>
      </c>
      <c r="L3" s="102">
        <f t="shared" si="0"/>
        <v>12</v>
      </c>
      <c r="M3" s="102">
        <f t="shared" si="0"/>
        <v>13</v>
      </c>
      <c r="N3" s="102">
        <f t="shared" si="0"/>
        <v>14</v>
      </c>
      <c r="O3" s="102">
        <f t="shared" si="0"/>
        <v>15</v>
      </c>
      <c r="P3" s="102">
        <f t="shared" si="0"/>
        <v>16</v>
      </c>
      <c r="Q3" s="102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2">
        <f t="shared" si="0"/>
        <v>25</v>
      </c>
      <c r="Z3" s="102">
        <f t="shared" si="0"/>
        <v>26</v>
      </c>
      <c r="AA3" s="102">
        <f t="shared" si="0"/>
        <v>27</v>
      </c>
      <c r="AB3" s="102">
        <f t="shared" si="0"/>
        <v>28</v>
      </c>
      <c r="AC3" s="102">
        <f t="shared" si="0"/>
        <v>29</v>
      </c>
      <c r="AD3" s="102">
        <f t="shared" si="0"/>
        <v>30</v>
      </c>
      <c r="AE3" s="102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2">
        <f t="shared" si="0"/>
        <v>39</v>
      </c>
      <c r="AN3" s="102">
        <f t="shared" si="0"/>
        <v>40</v>
      </c>
      <c r="AO3" s="102">
        <f t="shared" si="0"/>
        <v>41</v>
      </c>
      <c r="AP3" s="102">
        <f t="shared" si="0"/>
        <v>42</v>
      </c>
      <c r="AQ3" s="102">
        <f t="shared" si="0"/>
        <v>43</v>
      </c>
      <c r="AR3" s="102">
        <f t="shared" si="0"/>
        <v>44</v>
      </c>
      <c r="AS3" s="102">
        <f t="shared" si="0"/>
        <v>45</v>
      </c>
      <c r="AT3" s="107">
        <f t="shared" si="0"/>
        <v>46</v>
      </c>
      <c r="AU3" s="107">
        <f t="shared" si="0"/>
        <v>47</v>
      </c>
      <c r="AV3" s="107">
        <f t="shared" si="0"/>
        <v>48</v>
      </c>
      <c r="AW3" s="107">
        <f t="shared" si="0"/>
        <v>49</v>
      </c>
      <c r="AX3" s="107">
        <f t="shared" si="0"/>
        <v>50</v>
      </c>
      <c r="AY3" s="107">
        <f t="shared" si="0"/>
        <v>51</v>
      </c>
      <c r="AZ3" s="107">
        <f t="shared" si="0"/>
        <v>52</v>
      </c>
      <c r="BA3" s="102">
        <f t="shared" si="0"/>
        <v>53</v>
      </c>
      <c r="BB3" s="102">
        <f t="shared" si="0"/>
        <v>54</v>
      </c>
      <c r="BC3" s="102">
        <f t="shared" si="0"/>
        <v>55</v>
      </c>
      <c r="BD3" s="102">
        <f t="shared" si="0"/>
        <v>56</v>
      </c>
      <c r="BE3" s="102">
        <f t="shared" si="0"/>
        <v>57</v>
      </c>
      <c r="BF3" s="102">
        <f t="shared" si="0"/>
        <v>58</v>
      </c>
      <c r="BG3" s="102">
        <f t="shared" si="0"/>
        <v>59</v>
      </c>
      <c r="BH3" s="107">
        <f t="shared" si="0"/>
        <v>60</v>
      </c>
      <c r="BI3" s="107">
        <f t="shared" si="0"/>
        <v>61</v>
      </c>
      <c r="BJ3" s="107">
        <f t="shared" si="0"/>
        <v>62</v>
      </c>
      <c r="BK3" s="107">
        <f t="shared" si="0"/>
        <v>63</v>
      </c>
      <c r="BL3" s="107">
        <f t="shared" si="0"/>
        <v>64</v>
      </c>
      <c r="BM3" s="107">
        <f t="shared" si="0"/>
        <v>65</v>
      </c>
      <c r="BN3" s="107">
        <f t="shared" si="0"/>
        <v>66</v>
      </c>
      <c r="BO3" s="102">
        <f t="shared" ref="BO3:BR3" si="1">+BN3+1</f>
        <v>67</v>
      </c>
      <c r="BP3" s="102">
        <f t="shared" si="1"/>
        <v>68</v>
      </c>
      <c r="BQ3" s="102">
        <f t="shared" si="1"/>
        <v>69</v>
      </c>
      <c r="BR3" s="102">
        <f t="shared" si="1"/>
        <v>70</v>
      </c>
      <c r="BS3" s="102">
        <f>+BN3+1</f>
        <v>67</v>
      </c>
      <c r="BT3" s="102">
        <f t="shared" ref="BT3:CE3" si="2">+BS3+1</f>
        <v>68</v>
      </c>
      <c r="BU3" s="102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2">
        <f t="shared" si="2"/>
        <v>77</v>
      </c>
      <c r="CD3" s="102">
        <f t="shared" si="2"/>
        <v>78</v>
      </c>
      <c r="CE3" s="102">
        <f t="shared" si="2"/>
        <v>79</v>
      </c>
    </row>
    <row r="5" spans="1:83" x14ac:dyDescent="0.3">
      <c r="A5" s="41">
        <v>300</v>
      </c>
      <c r="B5" s="42" t="s">
        <v>0</v>
      </c>
      <c r="C5" s="42">
        <f>+'2021 Nto driftsutg'!W5</f>
        <v>696108</v>
      </c>
      <c r="D5" s="55">
        <f>IF('2021 Lønnsgr pensjon tjeneste'!D5&lt;100,0,(C5/$C$17)*'2021 Revekting utgiftsbehov'!D5*'2021 Pensjon tjeneste'!D5/'2021 Lønnsgr pensjon tjeneste'!D5)</f>
        <v>1.1210506963265235E-2</v>
      </c>
      <c r="E5" s="5">
        <f>IF('2021 Lønnsgr pensjon tjeneste'!D5&lt;100,0,C5)</f>
        <v>696108</v>
      </c>
      <c r="F5" s="55">
        <f>'2021 Revekting utgiftsbehov'!D5*E5/$E$17</f>
        <v>9.0196382698589025E-2</v>
      </c>
      <c r="G5" s="55">
        <f>'2021 Revekting utgiftsbehov'!D5/$F$17</f>
        <v>0.69992741789630675</v>
      </c>
      <c r="H5" s="55">
        <f>IF(E5=0,0,(E5/$E$17)*G5*'2021 Pensjon tjeneste'!D5/'2021 Lønnsgr pensjon tjeneste'!D5)</f>
        <v>1.121050696432725E-2</v>
      </c>
      <c r="I5" s="5">
        <f>IF(E5=0,0,'2021 Nto driftsutg landet'!$C$5*'2021 Lønnsand og pensjon landet'!$D$6*('2021 Pensjon tjeneste'!D5/'2021 Lønnsgr pensjon tjeneste'!D5-$H$17)*'2021 Revekting utgiftsbehov'!D5)</f>
        <v>24.094405752098378</v>
      </c>
      <c r="J5" s="5">
        <f>I5*C5/1000</f>
        <v>16772.3085992817</v>
      </c>
      <c r="K5" s="55">
        <f>IF('2021 Lønnsgr pensjon tjeneste'!E5&lt;100,0,(C5/$C$17)*'2021 Revekting utgiftsbehov'!E5*'2021 Pensjon tjeneste'!E5/'2021 Lønnsgr pensjon tjeneste'!E5)</f>
        <v>0</v>
      </c>
      <c r="L5" s="5">
        <f>IF('2021 Lønnsgr pensjon tjeneste'!E5&lt;100,0,C5)</f>
        <v>0</v>
      </c>
      <c r="M5" s="55">
        <f>'2021 Revekting utgiftsbehov'!E5*L5/$L$17</f>
        <v>0</v>
      </c>
      <c r="N5" s="55">
        <f>'2021 Revekting utgiftsbehov'!E5/$M$17</f>
        <v>0.24677203184358656</v>
      </c>
      <c r="O5" s="55">
        <f>IF(L5=0,0,(L5/$L$17)*N5*'2021 Pensjon tjeneste'!E5/'2021 Lønnsgr pensjon tjeneste'!E5)</f>
        <v>0</v>
      </c>
      <c r="P5" s="5">
        <f>IF(L5=0,0,'2021 Nto driftsutg landet'!$C$6*'2021 Lønnsand og pensjon landet'!$D$7*('2021 Pensjon tjeneste'!E5/'2021 Lønnsgr pensjon tjeneste'!E5-$O$17)*'2021 Revekting utgiftsbehov'!E5)</f>
        <v>0</v>
      </c>
      <c r="Q5" s="5">
        <f>P5*C5/1000</f>
        <v>0</v>
      </c>
      <c r="R5" s="55">
        <f>IF('2021 Lønnsgr pensjon tjeneste'!F5&lt;100,0,(C5/$C$17)*'2021 Revekting utgiftsbehov'!F5*'2021 Pensjon tjeneste'!F5/'2021 Lønnsgr pensjon tjeneste'!F5)</f>
        <v>5.3656404000256272E-2</v>
      </c>
      <c r="S5" s="5">
        <f>IF('2021 Lønnsgr pensjon tjeneste'!F5&lt;100,0,C5)</f>
        <v>696108</v>
      </c>
      <c r="T5" s="55">
        <f>'2021 Revekting utgiftsbehov'!F5*S5/$S$17</f>
        <v>0.22379765087286374</v>
      </c>
      <c r="U5" s="55">
        <f>'2021 Revekting utgiftsbehov'!F5/$T$17</f>
        <v>1.7366784233334505</v>
      </c>
      <c r="V5" s="55">
        <f>IF(S5=0,0,(S5/$S$17)*U5*'2021 Pensjon tjeneste'!F5/'2021 Lønnsgr pensjon tjeneste'!F5)</f>
        <v>5.3656403932947828E-2</v>
      </c>
      <c r="W5" s="5">
        <f>IF(S5=0,0,'2021 Nto driftsutg landet'!$C$7*'2021 Lønnsand og pensjon landet'!$D$8*('2021 Pensjon tjeneste'!F5/'2021 Lønnsgr pensjon tjeneste'!F5-$V$17)*'2021 Revekting utgiftsbehov'!F5)</f>
        <v>1.3140755403573763</v>
      </c>
      <c r="X5" s="5">
        <f>W5*C5/1000</f>
        <v>914.73849624709248</v>
      </c>
      <c r="Y5" s="55">
        <f>IF('2021 Lønnsgr pensjon tjeneste'!G5&lt;100,0,(C5/$C$17)*'2021 Revekting utgiftsbehov'!G5*'2021 Pensjon tjeneste'!G5/'2021 Lønnsgr pensjon tjeneste'!G5)</f>
        <v>0</v>
      </c>
      <c r="Z5" s="5">
        <f>IF('2021 Lønnsgr pensjon tjeneste'!G5&lt;100,0,C5)</f>
        <v>0</v>
      </c>
      <c r="AA5" s="55">
        <f>'2021 Revekting utgiftsbehov'!G5*Z5/$Z$17</f>
        <v>0</v>
      </c>
      <c r="AB5" s="55">
        <f>'2021 Revekting utgiftsbehov'!G5/$AA$17</f>
        <v>7.8219235279660044E-4</v>
      </c>
      <c r="AC5" s="55">
        <f>IF(Z5=0,0,(Z5/$Z$17)*AB5*'2021 Pensjon tjeneste'!G5/'2021 Lønnsgr pensjon tjeneste'!G5)</f>
        <v>0</v>
      </c>
      <c r="AD5" s="5">
        <f>IF(Z5=0,0,'2021 Nto driftsutg landet'!$C$8*'2021 Lønnsand og pensjon landet'!$D$9*('2021 Pensjon tjeneste'!G5/'2021 Lønnsgr pensjon tjeneste'!G5-$AC$17)*'2021 Revekting utgiftsbehov'!G5)</f>
        <v>0</v>
      </c>
      <c r="AE5" s="5">
        <f>+AD5*$C5/1000</f>
        <v>0</v>
      </c>
      <c r="AF5" s="55">
        <f>IF('2021 Lønnsgr pensjon tjeneste'!H5&lt;100,0,(C5/$C$17)*'2021 Revekting utgiftsbehov'!H5*'2021 Pensjon tjeneste'!H5/'2021 Lønnsgr pensjon tjeneste'!H5)</f>
        <v>3.6991332858391381E-2</v>
      </c>
      <c r="AG5" s="5">
        <f>IF('2021 Lønnsgr pensjon tjeneste'!H5&lt;100,0,C5)</f>
        <v>696108</v>
      </c>
      <c r="AH5" s="55">
        <f>'2021 Revekting utgiftsbehov'!H5*AG5/$AG$17</f>
        <v>0.1111006656179479</v>
      </c>
      <c r="AI5" s="55">
        <f>'2021 Revekting utgiftsbehov'!H5/$AH$17</f>
        <v>0.86214546110378132</v>
      </c>
      <c r="AJ5" s="55">
        <f>IF(AG5=0,0,(AG5/$AG$17)*AI5*'2021 Pensjon tjeneste'!H5/'2021 Lønnsgr pensjon tjeneste'!H5)</f>
        <v>3.699133283289574E-2</v>
      </c>
      <c r="AK5" s="5">
        <f>IF(AG5=0,0,'2021 Nto driftsutg landet'!$C$9*'2021 Lønnsand og pensjon landet'!$D$10*('2021 Pensjon tjeneste'!H5/'2021 Lønnsgr pensjon tjeneste'!H5-$AJ$17)*'2021 Revekting utgiftsbehov'!H5)</f>
        <v>28.522998842229764</v>
      </c>
      <c r="AL5" s="5">
        <f>+AK5*$C5/1000</f>
        <v>19855.087678066877</v>
      </c>
      <c r="AM5" s="55">
        <f>IF('2021 Lønnsgr pensjon tjeneste'!K5&lt;100,0,(C5/$C$17)*'2021 Pensjon tjeneste'!K5/'2021 Lønnsgr pensjon tjeneste'!K5)</f>
        <v>1.4103657457852163E-2</v>
      </c>
      <c r="AN5" s="5">
        <f>IF('2021 Lønnsgr pensjon tjeneste'!K5&lt;100,0,C5)</f>
        <v>696108</v>
      </c>
      <c r="AO5" s="55">
        <f t="shared" ref="AO5:AO15" si="3">AN5/$AN$17</f>
        <v>0.12886533717771309</v>
      </c>
      <c r="AP5" s="55">
        <f t="shared" ref="AP5:AP15" si="4">1/$AH$17</f>
        <v>0.99999999931076733</v>
      </c>
      <c r="AQ5" s="55">
        <f>IF(AN5=0,0,(AN5/$AN$17)*AP5*'2021 Pensjon tjeneste'!K5/'2021 Lønnsgr pensjon tjeneste'!K5)</f>
        <v>1.4103657448131459E-2</v>
      </c>
      <c r="AR5" s="5">
        <f>IF(AN5=0,0,'2021 Nto driftsutg landet'!$C$23*'2021 Lønnsand og pensjon landet'!$D$13*('2021 Pensjon tjeneste'!K5/'2021 Lønnsgr pensjon tjeneste'!K5-$AQ$17))</f>
        <v>-74.97139445973788</v>
      </c>
      <c r="AS5" s="5">
        <f>+AR5*$C5/1000</f>
        <v>-52188.187454579216</v>
      </c>
      <c r="AT5" s="55">
        <f>IF('2021 Lønnsgr pensjon tjeneste'!L5&lt;100,0,(C5/$C$17)*'2021 Pensjon tjeneste'!L5/'2021 Lønnsgr pensjon tjeneste'!L5)</f>
        <v>0</v>
      </c>
      <c r="AU5" s="5">
        <f>IF('2021 Lønnsgr pensjon tjeneste'!L5&lt;100,0,C5)</f>
        <v>0</v>
      </c>
      <c r="AV5" s="55">
        <f t="shared" ref="AV5:AV15" si="5">AU5/$AU$17</f>
        <v>0</v>
      </c>
      <c r="AW5" s="55">
        <f t="shared" ref="AW5:AW15" si="6">1/$AV$17</f>
        <v>1</v>
      </c>
      <c r="AX5" s="55">
        <f>IF(AU5=0,0,(AU5/$AU$17)*AW5*'2021 Pensjon tjeneste'!L5/'2021 Lønnsgr pensjon tjeneste'!L5)</f>
        <v>0</v>
      </c>
      <c r="AY5" s="5">
        <f>IF(AU5=0,0,'2021 Nto driftsutg landet'!$C$24*'2021 Lønnsand og pensjon landet'!$D$14*('2021 Pensjon tjeneste'!L5/'2021 Lønnsgr pensjon tjeneste'!L5-$AX$17))</f>
        <v>0</v>
      </c>
      <c r="AZ5" s="5">
        <f>+AY5*$C5/1000</f>
        <v>0</v>
      </c>
      <c r="BA5" s="55">
        <f>IF('2021 Lønnsgr pensjon tjeneste'!M5&lt;100,0,(C5/$C$17)*'2021 Pensjon tjeneste'!M5/'2021 Lønnsgr pensjon tjeneste'!M5)</f>
        <v>0</v>
      </c>
      <c r="BB5" s="5">
        <f>IF('2021 Lønnsgr pensjon tjeneste'!M5&lt;100,0,C5)</f>
        <v>0</v>
      </c>
      <c r="BC5" s="55">
        <f t="shared" ref="BC5:BC15" si="7">BB5/$BB$17</f>
        <v>0</v>
      </c>
      <c r="BD5" s="55">
        <f t="shared" ref="BD5:BD15" si="8">1/$BC$17</f>
        <v>1</v>
      </c>
      <c r="BE5" s="55">
        <f>IF(BB5=0,0,(BB5/$BB$17)*BD5*'2021 Pensjon tjeneste'!M5/'2021 Lønnsgr pensjon tjeneste'!M5)</f>
        <v>0</v>
      </c>
      <c r="BF5" s="5">
        <f>IF(BB5=0,0,'2021 Nto driftsutg landet'!$C$25*'2021 Lønnsand og pensjon landet'!$D$15*('2021 Pensjon tjeneste'!M5/'2021 Lønnsgr pensjon tjeneste'!M5-$BE$17))</f>
        <v>0</v>
      </c>
      <c r="BG5" s="5">
        <f>+BF5*$C5/1000</f>
        <v>0</v>
      </c>
      <c r="BH5" s="55">
        <f>IF('2021 Lønnsgr pensjon tjeneste'!N5&lt;100,0,(C5/$C$17)*'2021 Pensjon tjeneste'!N5/'2021 Lønnsgr pensjon tjeneste'!N5)</f>
        <v>4.0954255152586883E-2</v>
      </c>
      <c r="BI5" s="5">
        <f>IF('2021 Lønnsgr pensjon tjeneste'!N5&lt;100,0,C5)</f>
        <v>696108</v>
      </c>
      <c r="BJ5" s="55">
        <f t="shared" ref="BJ5:BJ15" si="9">BI5/$BI$17</f>
        <v>0.12886533717771309</v>
      </c>
      <c r="BK5" s="55">
        <f t="shared" ref="BK5:BK15" si="10">1/$BJ$17</f>
        <v>1</v>
      </c>
      <c r="BL5" s="55">
        <f>IF(BI5=0,0,(BI5/$BI$17)*BK5*'2021 Pensjon tjeneste'!N5/'2021 Lønnsgr pensjon tjeneste'!N5)</f>
        <v>4.0954255152586883E-2</v>
      </c>
      <c r="BM5" s="5">
        <f>IF(BI5=0,0,'2021 Nto driftsutg landet'!$C$26*'2021 Lønnsand og pensjon landet'!$D$16*('2021 Pensjon tjeneste'!N5/'2021 Lønnsgr pensjon tjeneste'!N5-$BL$17))</f>
        <v>3.1856485350075388</v>
      </c>
      <c r="BN5" s="5">
        <f>+BM5*$C5/1000</f>
        <v>2217.5554304070279</v>
      </c>
      <c r="BO5" s="55">
        <f>IF('2021 Lønnsgr pensjon tjeneste'!O5&lt;100,0,(C5/$C$17)*'2021 Pensjon tjeneste'!O5/'2021 Lønnsgr pensjon tjeneste'!O5)</f>
        <v>0</v>
      </c>
      <c r="BP5" s="5">
        <f>IF('2021 Lønnsgr pensjon tjeneste'!O5&lt;100,0,C5)</f>
        <v>0</v>
      </c>
      <c r="BQ5" s="55">
        <f t="shared" ref="BQ5:BQ15" si="11">BP5/$BP$17</f>
        <v>0</v>
      </c>
      <c r="BR5" s="55">
        <f t="shared" ref="BR5:BR15" si="12">1/$BQ$17</f>
        <v>1</v>
      </c>
      <c r="BS5" s="55">
        <f>IF(BP5=0,0,(BP5/$BP$17)*BR5*'2021 Pensjon tjeneste'!O5/'2021 Lønnsgr pensjon tjeneste'!O5)</f>
        <v>0</v>
      </c>
      <c r="BT5" s="5">
        <f>IF(BP5=0,0,'2021 Nto driftsutg landet'!$C$27*'2021 Lønnsand og pensjon landet'!$D$17*('2021 Pensjon tjeneste'!O5/'2021 Lønnsgr pensjon tjeneste'!O5-$BS$17))</f>
        <v>0</v>
      </c>
      <c r="BU5" s="5">
        <f>+BT5*$C5/1000</f>
        <v>0</v>
      </c>
      <c r="BV5" s="55">
        <f>IF('2021 Lønnsgr pensjon tjeneste'!P5&lt;100,0,(C5/$C$17)*'2021 Pensjon tjeneste'!P5/'2021 Lønnsgr pensjon tjeneste'!P5)</f>
        <v>0</v>
      </c>
      <c r="BW5" s="5">
        <f>IF('2021 Lønnsgr pensjon tjeneste'!P5&lt;100,0,C5)</f>
        <v>0</v>
      </c>
      <c r="BX5" s="55">
        <f t="shared" ref="BX5:BX15" si="13">BW5/$BW$17</f>
        <v>0</v>
      </c>
      <c r="BY5" s="55">
        <f t="shared" ref="BY5:BY15" si="14">1/$BX$17</f>
        <v>1</v>
      </c>
      <c r="BZ5" s="55">
        <f>IF(BW5=0,0,(BW5/$BW$17)*BY5*'2021 Pensjon tjeneste'!P5/'2021 Lønnsgr pensjon tjeneste'!P5)</f>
        <v>0</v>
      </c>
      <c r="CA5" s="5">
        <f>IF(BW5=0,0,'2021 Nto driftsutg landet'!$C$28*'2021 Lønnsand og pensjon landet'!$D$18*('2021 Pensjon tjeneste'!P5/'2021 Lønnsgr pensjon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1">
        <v>1100</v>
      </c>
      <c r="B6" s="42" t="s">
        <v>139</v>
      </c>
      <c r="C6" s="42">
        <f>+'2021 Nto driftsutg'!W6</f>
        <v>484091</v>
      </c>
      <c r="D6" s="55">
        <f>IF('2021 Lønnsgr pensjon tjeneste'!D6&lt;100,0,(C6/$C$17)*'2021 Revekting utgiftsbehov'!D6*'2021 Pensjon tjeneste'!D6/'2021 Lønnsgr pensjon tjeneste'!D6)</f>
        <v>1.1272360771648527E-2</v>
      </c>
      <c r="E6" s="5">
        <f>IF('2021 Lønnsgr pensjon tjeneste'!D6&lt;100,0,C6)</f>
        <v>484091</v>
      </c>
      <c r="F6" s="55">
        <f>'2021 Revekting utgiftsbehov'!D6*E6/$E$17</f>
        <v>9.5649108947929912E-2</v>
      </c>
      <c r="G6" s="55">
        <f>'2021 Revekting utgiftsbehov'!D6/$F$17</f>
        <v>1.0673194667771111</v>
      </c>
      <c r="H6" s="55">
        <f>IF(E6=0,0,(E6/$E$17)*G6*'2021 Pensjon tjeneste'!D6/'2021 Lønnsgr pensjon tjeneste'!D6)</f>
        <v>1.1272360772716398E-2</v>
      </c>
      <c r="I6" s="5">
        <f>IF(E6=0,0,'2021 Nto driftsutg landet'!$C$5*'2021 Lønnsand og pensjon landet'!$D$6*('2021 Pensjon tjeneste'!D6/'2021 Lønnsgr pensjon tjeneste'!D6-$H$17)*'2021 Revekting utgiftsbehov'!D6)</f>
        <v>13.289678688578928</v>
      </c>
      <c r="J6" s="5">
        <f>I6*C6/1000</f>
        <v>6433.4138460328613</v>
      </c>
      <c r="K6" s="55">
        <f>IF('2021 Lønnsgr pensjon tjeneste'!E6&lt;100,0,(C6/$C$17)*'2021 Revekting utgiftsbehov'!E6*'2021 Pensjon tjeneste'!E6/'2021 Lønnsgr pensjon tjeneste'!E6)</f>
        <v>1.3690365684085083E-2</v>
      </c>
      <c r="L6" s="5">
        <f>IF('2021 Lønnsgr pensjon tjeneste'!E6&lt;100,0,C6)</f>
        <v>484091</v>
      </c>
      <c r="M6" s="55">
        <f>'2021 Revekting utgiftsbehov'!E6*L6/$L$17</f>
        <v>8.4167334080264347E-2</v>
      </c>
      <c r="N6" s="55">
        <f>'2021 Revekting utgiftsbehov'!E6/$M$17</f>
        <v>0.73875233655710504</v>
      </c>
      <c r="O6" s="55">
        <f>IF(L6=0,0,(L6/$L$17)*N6*'2021 Pensjon tjeneste'!E6/'2021 Lønnsgr pensjon tjeneste'!E6)</f>
        <v>1.4190126042524029E-2</v>
      </c>
      <c r="P6" s="5">
        <f>IF(L6=0,0,'2021 Nto driftsutg landet'!$C$6*'2021 Lønnsand og pensjon landet'!$D$7*('2021 Pensjon tjeneste'!E6/'2021 Lønnsgr pensjon tjeneste'!E6-$O$17)*'2021 Revekting utgiftsbehov'!E6)</f>
        <v>-13.203253622619862</v>
      </c>
      <c r="Q6" s="5">
        <f t="shared" ref="Q6:Q15" si="15">P6*C6/1000</f>
        <v>-6391.5762494276714</v>
      </c>
      <c r="R6" s="55">
        <f>IF('2021 Lønnsgr pensjon tjeneste'!F6&lt;100,0,(C6/$C$17)*'2021 Revekting utgiftsbehov'!F6*'2021 Pensjon tjeneste'!F6/'2021 Lønnsgr pensjon tjeneste'!F6)</f>
        <v>2.0625660487802421E-2</v>
      </c>
      <c r="S6" s="5">
        <f>IF('2021 Lønnsgr pensjon tjeneste'!F6&lt;100,0,C6)</f>
        <v>484091</v>
      </c>
      <c r="T6" s="55">
        <f>'2021 Revekting utgiftsbehov'!F6*S6/$S$17</f>
        <v>9.1853220285943643E-2</v>
      </c>
      <c r="U6" s="55">
        <f>'2021 Revekting utgiftsbehov'!F6/$T$17</f>
        <v>1.0249622923142516</v>
      </c>
      <c r="V6" s="55">
        <f>IF(S6=0,0,(S6/$S$17)*U6*'2021 Pensjon tjeneste'!F6/'2021 Lønnsgr pensjon tjeneste'!F6)</f>
        <v>2.0625660461928878E-2</v>
      </c>
      <c r="W6" s="5">
        <f>IF(S6=0,0,'2021 Nto driftsutg landet'!$C$7*'2021 Lønnsand og pensjon landet'!$D$8*('2021 Pensjon tjeneste'!F6/'2021 Lønnsgr pensjon tjeneste'!F6-$V$17)*'2021 Revekting utgiftsbehov'!F6)</f>
        <v>0.23638329564305194</v>
      </c>
      <c r="X6" s="5">
        <f t="shared" ref="X6:X15" si="16">W6*C6/1000</f>
        <v>114.43102597114066</v>
      </c>
      <c r="Y6" s="55">
        <f>IF('2021 Lønnsgr pensjon tjeneste'!G6&lt;100,0,(C6/$C$17)*'2021 Revekting utgiftsbehov'!G6*'2021 Pensjon tjeneste'!G6/'2021 Lønnsgr pensjon tjeneste'!G6)</f>
        <v>1.4936516599820978E-2</v>
      </c>
      <c r="Z6" s="5">
        <f>IF('2021 Lønnsgr pensjon tjeneste'!G6&lt;100,0,C6)</f>
        <v>484091</v>
      </c>
      <c r="AA6" s="55">
        <f>'2021 Revekting utgiftsbehov'!G6*Z6/$Z$17</f>
        <v>0.17084940818291894</v>
      </c>
      <c r="AB6" s="55">
        <f>'2021 Revekting utgiftsbehov'!G6/$AA$17</f>
        <v>0.49973065485040241</v>
      </c>
      <c r="AC6" s="55">
        <f>IF(Z6=0,0,(Z6/$Z$17)*AB6*'2021 Pensjon tjeneste'!G6/'2021 Lønnsgr pensjon tjeneste'!G6)</f>
        <v>2.0122690432848245E-2</v>
      </c>
      <c r="AD6" s="5">
        <f>IF(Z6=0,0,'2021 Nto driftsutg landet'!$C$8*'2021 Lønnsand og pensjon landet'!$D$9*('2021 Pensjon tjeneste'!G6/'2021 Lønnsgr pensjon tjeneste'!G6-$AC$17)*'2021 Revekting utgiftsbehov'!G6)</f>
        <v>4.2212647856531586E-3</v>
      </c>
      <c r="AE6" s="5">
        <f t="shared" ref="AE6:AE15" si="17">+AD6*$C6/1000</f>
        <v>2.0434762913516229</v>
      </c>
      <c r="AF6" s="55">
        <f>IF('2021 Lønnsgr pensjon tjeneste'!H6&lt;100,0,(C6/$C$17)*'2021 Revekting utgiftsbehov'!H6*'2021 Pensjon tjeneste'!H6/'2021 Lønnsgr pensjon tjeneste'!H6)</f>
        <v>2.0305244747486025E-2</v>
      </c>
      <c r="AG6" s="5">
        <f>IF('2021 Lønnsgr pensjon tjeneste'!H6&lt;100,0,C6)</f>
        <v>484091</v>
      </c>
      <c r="AH6" s="55">
        <f>'2021 Revekting utgiftsbehov'!H6*AG6/$AG$17</f>
        <v>9.6840658909156732E-2</v>
      </c>
      <c r="AI6" s="55">
        <f>'2021 Revekting utgiftsbehov'!H6/$AH$17</f>
        <v>1.0806156114272043</v>
      </c>
      <c r="AJ6" s="55">
        <f>IF(AG6=0,0,(AG6/$AG$17)*AI6*'2021 Pensjon tjeneste'!H6/'2021 Lønnsgr pensjon tjeneste'!H6)</f>
        <v>2.0305244733490987E-2</v>
      </c>
      <c r="AK6" s="5">
        <f>IF(AG6=0,0,'2021 Nto driftsutg landet'!$C$9*'2021 Lønnsand og pensjon landet'!$D$10*('2021 Pensjon tjeneste'!H6/'2021 Lønnsgr pensjon tjeneste'!H6-$AJ$17)*'2021 Revekting utgiftsbehov'!H6)</f>
        <v>0.35987184045801529</v>
      </c>
      <c r="AL6" s="5">
        <f t="shared" ref="AL6:AL15" si="18">+AK6*$C6/1000</f>
        <v>174.21071911916107</v>
      </c>
      <c r="AM6" s="55">
        <f>IF('2021 Lønnsgr pensjon tjeneste'!K6&lt;100,0,(C6/$C$17)*'2021 Pensjon tjeneste'!K6/'2021 Lønnsgr pensjon tjeneste'!K6)</f>
        <v>1.6429619959465031E-2</v>
      </c>
      <c r="AN6" s="5">
        <f>IF('2021 Lønnsgr pensjon tjeneste'!K6&lt;100,0,C6)</f>
        <v>484091</v>
      </c>
      <c r="AO6" s="55">
        <f t="shared" si="3"/>
        <v>8.9616194526849727E-2</v>
      </c>
      <c r="AP6" s="55">
        <f t="shared" si="4"/>
        <v>0.99999999931076733</v>
      </c>
      <c r="AQ6" s="55">
        <f>IF(AN6=0,0,(AN6/$AN$17)*AP6*'2021 Pensjon tjeneste'!K6/'2021 Lønnsgr pensjon tjeneste'!K6)</f>
        <v>1.64296199481412E-2</v>
      </c>
      <c r="AR6" s="5">
        <f>IF(AN6=0,0,'2021 Nto driftsutg landet'!$C$23*'2021 Lønnsand og pensjon landet'!$D$13*('2021 Pensjon tjeneste'!K6/'2021 Lønnsgr pensjon tjeneste'!K6-$AQ$17))</f>
        <v>-51.398824805549715</v>
      </c>
      <c r="AS6" s="5">
        <f t="shared" ref="AS6:AS15" si="19">+AR6*$C6/1000</f>
        <v>-24881.708498943368</v>
      </c>
      <c r="AT6" s="55">
        <f>IF('2021 Lønnsgr pensjon tjeneste'!L6&lt;100,0,(C6/$C$17)*'2021 Pensjon tjeneste'!L6/'2021 Lønnsgr pensjon tjeneste'!L6)</f>
        <v>1.8100275710945718E-2</v>
      </c>
      <c r="AU6" s="5">
        <f>IF('2021 Lønnsgr pensjon tjeneste'!L6&lt;100,0,C6)</f>
        <v>484091</v>
      </c>
      <c r="AV6" s="55">
        <f>AU6/$AU$17</f>
        <v>0.10287295219835788</v>
      </c>
      <c r="AW6" s="55">
        <f t="shared" si="6"/>
        <v>1</v>
      </c>
      <c r="AX6" s="55">
        <f>IF(AU6=0,0,(AU6/$AU$17)*AW6*'2021 Pensjon tjeneste'!L6/'2021 Lønnsgr pensjon tjeneste'!L6)</f>
        <v>2.0777815971993078E-2</v>
      </c>
      <c r="AY6" s="5">
        <f>IF(AU6=0,0,'2021 Nto driftsutg landet'!$C$24*'2021 Lønnsand og pensjon landet'!$D$14*('2021 Pensjon tjeneste'!L6/'2021 Lønnsgr pensjon tjeneste'!L6-$AX$17))</f>
        <v>0.72434773578148592</v>
      </c>
      <c r="AZ6" s="5">
        <f t="shared" ref="AZ6:AZ15" si="20">+AY6*$C6/1000</f>
        <v>350.65021976219532</v>
      </c>
      <c r="BA6" s="55">
        <f>IF('2021 Lønnsgr pensjon tjeneste'!M6&lt;100,0,(C6/$C$17)*'2021 Pensjon tjeneste'!M6/'2021 Lønnsgr pensjon tjeneste'!M6)</f>
        <v>1.8720525363103393E-2</v>
      </c>
      <c r="BB6" s="5">
        <f>IF('2021 Lønnsgr pensjon tjeneste'!M6&lt;100,0,C6)</f>
        <v>484091</v>
      </c>
      <c r="BC6" s="55">
        <f t="shared" si="7"/>
        <v>0.10287295219835788</v>
      </c>
      <c r="BD6" s="55">
        <f t="shared" si="8"/>
        <v>1</v>
      </c>
      <c r="BE6" s="55">
        <f>IF(BB6=0,0,(BB6/$BB$17)*BD6*'2021 Pensjon tjeneste'!M6/'2021 Lønnsgr pensjon tjeneste'!M6)</f>
        <v>2.1489818006383724E-2</v>
      </c>
      <c r="BF6" s="5">
        <f>IF(BB6=0,0,'2021 Nto driftsutg landet'!$C$25*'2021 Lønnsand og pensjon landet'!$D$15*('2021 Pensjon tjeneste'!M6/'2021 Lønnsgr pensjon tjeneste'!M6-$BE$17))</f>
        <v>0.13424674967038722</v>
      </c>
      <c r="BG6" s="5">
        <f t="shared" ref="BG6:BG15" si="21">+BF6*$C6/1000</f>
        <v>64.987643294687416</v>
      </c>
      <c r="BH6" s="55">
        <f>IF('2021 Lønnsgr pensjon tjeneste'!N6&lt;100,0,(C6/$C$17)*'2021 Pensjon tjeneste'!N6/'2021 Lønnsgr pensjon tjeneste'!N6)</f>
        <v>1.7224220765343561E-2</v>
      </c>
      <c r="BI6" s="5">
        <f>IF('2021 Lønnsgr pensjon tjeneste'!N6&lt;100,0,C6)</f>
        <v>484091</v>
      </c>
      <c r="BJ6" s="55">
        <f t="shared" si="9"/>
        <v>8.9616194526849727E-2</v>
      </c>
      <c r="BK6" s="55">
        <f t="shared" si="10"/>
        <v>1</v>
      </c>
      <c r="BL6" s="55">
        <f>IF(BI6=0,0,(BI6/$BI$17)*BK6*'2021 Pensjon tjeneste'!N6/'2021 Lønnsgr pensjon tjeneste'!N6)</f>
        <v>1.7224220765343561E-2</v>
      </c>
      <c r="BM6" s="5">
        <f>IF(BI6=0,0,'2021 Nto driftsutg landet'!$C$26*'2021 Lønnsand og pensjon landet'!$D$16*('2021 Pensjon tjeneste'!N6/'2021 Lønnsgr pensjon tjeneste'!N6-$BL$17))</f>
        <v>7.8624069599795302E-2</v>
      </c>
      <c r="BN6" s="5">
        <f t="shared" ref="BN6:BN15" si="22">+BM6*$C6/1000</f>
        <v>38.061204476634508</v>
      </c>
      <c r="BO6" s="55">
        <f>IF('2021 Lønnsgr pensjon tjeneste'!O6&lt;100,0,(C6/$C$17)*'2021 Pensjon tjeneste'!O6/'2021 Lønnsgr pensjon tjeneste'!O6)</f>
        <v>0</v>
      </c>
      <c r="BP6" s="5">
        <f>IF('2021 Lønnsgr pensjon tjeneste'!O6&lt;100,0,C6)</f>
        <v>0</v>
      </c>
      <c r="BQ6" s="55">
        <f t="shared" si="11"/>
        <v>0</v>
      </c>
      <c r="BR6" s="55">
        <f t="shared" si="12"/>
        <v>1</v>
      </c>
      <c r="BS6" s="55">
        <f>IF(BP6=0,0,(BP6/$BP$17)*BR6*'2021 Pensjon tjeneste'!O6/'2021 Lønnsgr pensjon tjeneste'!O6)</f>
        <v>0</v>
      </c>
      <c r="BT6" s="5">
        <f>IF(BP6=0,0,'2021 Nto driftsutg landet'!$C$27*'2021 Lønnsand og pensjon landet'!$D$17*('2021 Pensjon tjeneste'!O6/'2021 Lønnsgr pensjon tjeneste'!O6-$BS$17))</f>
        <v>0</v>
      </c>
      <c r="BU6" s="5">
        <f t="shared" ref="BU6:BU15" si="23">+BT6*$C6/1000</f>
        <v>0</v>
      </c>
      <c r="BV6" s="55">
        <f>IF('2021 Lønnsgr pensjon tjeneste'!P6&lt;100,0,(C6/$C$17)*'2021 Pensjon tjeneste'!P6/'2021 Lønnsgr pensjon tjeneste'!P6)</f>
        <v>1.7795913732244074E-2</v>
      </c>
      <c r="BW6" s="5">
        <f>IF('2021 Lønnsgr pensjon tjeneste'!P6&lt;100,0,C6)</f>
        <v>484091</v>
      </c>
      <c r="BX6" s="55">
        <f t="shared" si="13"/>
        <v>0.15878442538879292</v>
      </c>
      <c r="BY6" s="55">
        <f t="shared" si="14"/>
        <v>1</v>
      </c>
      <c r="BZ6" s="55">
        <f>IF(BW6=0,0,(BW6/$BW$17)*BY6*'2021 Pensjon tjeneste'!P6/'2021 Lønnsgr pensjon tjeneste'!P6)</f>
        <v>3.1531286852359008E-2</v>
      </c>
      <c r="CA6" s="5">
        <f>IF(BW6=0,0,'2021 Nto driftsutg landet'!$C$28*'2021 Lønnsand og pensjon landet'!$D$18*('2021 Pensjon tjeneste'!P6/'2021 Lønnsgr pensjon tjeneste'!P6-$BZ$17))</f>
        <v>3.3564888447874934E-3</v>
      </c>
      <c r="CB6" s="5">
        <f t="shared" ref="CB6:CB15" si="24">+CA6*$C6/1000</f>
        <v>1.6248460413620223</v>
      </c>
      <c r="CC6" s="5"/>
      <c r="CD6" s="5"/>
      <c r="CE6" s="5"/>
    </row>
    <row r="7" spans="1:83" x14ac:dyDescent="0.3">
      <c r="A7" s="41">
        <v>1500</v>
      </c>
      <c r="B7" s="42" t="s">
        <v>140</v>
      </c>
      <c r="C7" s="42">
        <f>+'2021 Nto driftsutg'!W7</f>
        <v>265297</v>
      </c>
      <c r="D7" s="55">
        <f>IF('2021 Lønnsgr pensjon tjeneste'!D7&lt;100,0,(C7/$C$17)*'2021 Revekting utgiftsbehov'!D7*'2021 Pensjon tjeneste'!D7/'2021 Lønnsgr pensjon tjeneste'!D7)</f>
        <v>6.4041256119419052E-3</v>
      </c>
      <c r="E7" s="5">
        <f>IF('2021 Lønnsgr pensjon tjeneste'!D7&lt;100,0,C7)</f>
        <v>265297</v>
      </c>
      <c r="F7" s="55">
        <f>'2021 Revekting utgiftsbehov'!D7*E7/$E$17</f>
        <v>5.4771655641091953E-2</v>
      </c>
      <c r="G7" s="55">
        <f>'2021 Revekting utgiftsbehov'!D7/$F$17</f>
        <v>1.1152289651276499</v>
      </c>
      <c r="H7" s="55">
        <f>IF(E7=0,0,(E7/$E$17)*G7*'2021 Pensjon tjeneste'!D7/'2021 Lønnsgr pensjon tjeneste'!D7)</f>
        <v>6.4041256125485935E-3</v>
      </c>
      <c r="I7" s="5">
        <f>IF(E7=0,0,'2021 Nto driftsutg landet'!$C$5*'2021 Lønnsand og pensjon landet'!$D$6*('2021 Pensjon tjeneste'!D7/'2021 Lønnsgr pensjon tjeneste'!D7-$H$17)*'2021 Revekting utgiftsbehov'!D7)</f>
        <v>10.357887770222966</v>
      </c>
      <c r="J7" s="5">
        <f t="shared" ref="J7:J15" si="25">I7*C7/1000</f>
        <v>2747.9165517768424</v>
      </c>
      <c r="K7" s="55">
        <f>IF('2021 Lønnsgr pensjon tjeneste'!E7&lt;100,0,(C7/$C$17)*'2021 Revekting utgiftsbehov'!E7*'2021 Pensjon tjeneste'!E7/'2021 Lønnsgr pensjon tjeneste'!E7)</f>
        <v>4.1335283602405445E-2</v>
      </c>
      <c r="L7" s="5">
        <f>IF('2021 Lønnsgr pensjon tjeneste'!E7&lt;100,0,C7)</f>
        <v>265297</v>
      </c>
      <c r="M7" s="55">
        <f>'2021 Revekting utgiftsbehov'!E7*L7/$L$17</f>
        <v>8.2249549104657108E-2</v>
      </c>
      <c r="N7" s="55">
        <f>'2021 Revekting utgiftsbehov'!E7/$M$17</f>
        <v>1.3172963586134345</v>
      </c>
      <c r="O7" s="55">
        <f>IF(L7=0,0,(L7/$L$17)*N7*'2021 Pensjon tjeneste'!E7/'2021 Lønnsgr pensjon tjeneste'!E7)</f>
        <v>4.2844208683444594E-2</v>
      </c>
      <c r="P7" s="5">
        <f>IF(L7=0,0,'2021 Nto driftsutg landet'!$C$6*'2021 Lønnsand og pensjon landet'!$D$7*('2021 Pensjon tjeneste'!E7/'2021 Lønnsgr pensjon tjeneste'!E7-$O$17)*'2021 Revekting utgiftsbehov'!E7)</f>
        <v>37.538468488878252</v>
      </c>
      <c r="Q7" s="5">
        <f t="shared" si="15"/>
        <v>9958.8430746939339</v>
      </c>
      <c r="R7" s="55">
        <f>IF('2021 Lønnsgr pensjon tjeneste'!F7&lt;100,0,(C7/$C$17)*'2021 Revekting utgiftsbehov'!F7*'2021 Pensjon tjeneste'!F7/'2021 Lønnsgr pensjon tjeneste'!F7)</f>
        <v>1.1381225232420062E-2</v>
      </c>
      <c r="S7" s="5">
        <f>IF('2021 Lønnsgr pensjon tjeneste'!F7&lt;100,0,C7)</f>
        <v>265297</v>
      </c>
      <c r="T7" s="55">
        <f>'2021 Revekting utgiftsbehov'!F7*S7/$S$17</f>
        <v>4.8941919920543704E-2</v>
      </c>
      <c r="U7" s="55">
        <f>'2021 Revekting utgiftsbehov'!F7/$T$17</f>
        <v>0.9965272364299218</v>
      </c>
      <c r="V7" s="55">
        <f>IF(S7=0,0,(S7/$S$17)*U7*'2021 Pensjon tjeneste'!F7/'2021 Lønnsgr pensjon tjeneste'!F7)</f>
        <v>1.1381225218143061E-2</v>
      </c>
      <c r="W7" s="5">
        <f>IF(S7=0,0,'2021 Nto driftsutg landet'!$C$7*'2021 Lønnsand og pensjon landet'!$D$8*('2021 Pensjon tjeneste'!F7/'2021 Lønnsgr pensjon tjeneste'!F7-$V$17)*'2021 Revekting utgiftsbehov'!F7)</f>
        <v>0.50549225933162223</v>
      </c>
      <c r="X7" s="5">
        <f t="shared" si="16"/>
        <v>134.10557992390139</v>
      </c>
      <c r="Y7" s="55">
        <f>IF('2021 Lønnsgr pensjon tjeneste'!G7&lt;100,0,(C7/$C$17)*'2021 Revekting utgiftsbehov'!G7*'2021 Pensjon tjeneste'!G7/'2021 Lønnsgr pensjon tjeneste'!G7)</f>
        <v>2.3675865071192688E-2</v>
      </c>
      <c r="Z7" s="5">
        <f>IF('2021 Lønnsgr pensjon tjeneste'!G7&lt;100,0,C7)</f>
        <v>265297</v>
      </c>
      <c r="AA7" s="55">
        <f>'2021 Revekting utgiftsbehov'!G7*Z7/$Z$17</f>
        <v>0.34542645361586488</v>
      </c>
      <c r="AB7" s="55">
        <f>'2021 Revekting utgiftsbehov'!G7/$AA$17</f>
        <v>1.8436257941873588</v>
      </c>
      <c r="AC7" s="55">
        <f>IF(Z7=0,0,(Z7/$Z$17)*AB7*'2021 Pensjon tjeneste'!G7/'2021 Lønnsgr pensjon tjeneste'!G7)</f>
        <v>3.1896466647598751E-2</v>
      </c>
      <c r="AD7" s="5">
        <f>IF(Z7=0,0,'2021 Nto driftsutg landet'!$C$8*'2021 Lønnsand og pensjon landet'!$D$9*('2021 Pensjon tjeneste'!G7/'2021 Lønnsgr pensjon tjeneste'!G7-$AC$17)*'2021 Revekting utgiftsbehov'!G7)</f>
        <v>-0.59712961850225754</v>
      </c>
      <c r="AE7" s="5">
        <f t="shared" si="17"/>
        <v>-158.41669639979341</v>
      </c>
      <c r="AF7" s="55">
        <f>IF('2021 Lønnsgr pensjon tjeneste'!H7&lt;100,0,(C7/$C$17)*'2021 Revekting utgiftsbehov'!H7*'2021 Pensjon tjeneste'!H7/'2021 Lønnsgr pensjon tjeneste'!H7)</f>
        <v>1.2659470451096678E-2</v>
      </c>
      <c r="AG7" s="5">
        <f>IF('2021 Lønnsgr pensjon tjeneste'!H7&lt;100,0,C7)</f>
        <v>265297</v>
      </c>
      <c r="AH7" s="55">
        <f>'2021 Revekting utgiftsbehov'!H7*AG7/$AG$17</f>
        <v>5.0603622928165962E-2</v>
      </c>
      <c r="AI7" s="55">
        <f>'2021 Revekting utgiftsbehov'!H7/$AH$17</f>
        <v>1.0303618783308408</v>
      </c>
      <c r="AJ7" s="55">
        <f>IF(AG7=0,0,(AG7/$AG$17)*AI7*'2021 Pensjon tjeneste'!H7/'2021 Lønnsgr pensjon tjeneste'!H7)</f>
        <v>1.2659470442371359E-2</v>
      </c>
      <c r="AK7" s="5">
        <f>IF(AG7=0,0,'2021 Nto driftsutg landet'!$C$9*'2021 Lønnsand og pensjon landet'!$D$10*('2021 Pensjon tjeneste'!H7/'2021 Lønnsgr pensjon tjeneste'!H7-$AJ$17)*'2021 Revekting utgiftsbehov'!H7)</f>
        <v>11.42732708299723</v>
      </c>
      <c r="AL7" s="5">
        <f t="shared" si="18"/>
        <v>3031.6355931379162</v>
      </c>
      <c r="AM7" s="55">
        <f>IF('2021 Lønnsgr pensjon tjeneste'!K7&lt;100,0,(C7/$C$17)*'2021 Pensjon tjeneste'!K7/'2021 Lønnsgr pensjon tjeneste'!K7)</f>
        <v>1.2754850855392859E-2</v>
      </c>
      <c r="AN7" s="5">
        <f>IF('2021 Lønnsgr pensjon tjeneste'!K7&lt;100,0,C7)</f>
        <v>265297</v>
      </c>
      <c r="AO7" s="55">
        <f t="shared" si="3"/>
        <v>4.9112475876208504E-2</v>
      </c>
      <c r="AP7" s="55">
        <f t="shared" si="4"/>
        <v>0.99999999931076733</v>
      </c>
      <c r="AQ7" s="55">
        <f>IF(AN7=0,0,(AN7/$AN$17)*AP7*'2021 Pensjon tjeneste'!K7/'2021 Lønnsgr pensjon tjeneste'!K7)</f>
        <v>1.2754850846601799E-2</v>
      </c>
      <c r="AR7" s="5">
        <f>IF(AN7=0,0,'2021 Nto driftsutg landet'!$C$23*'2021 Lønnsand og pensjon landet'!$D$13*('2021 Pensjon tjeneste'!K7/'2021 Lønnsgr pensjon tjeneste'!K7-$AQ$17))</f>
        <v>-27.033289344648271</v>
      </c>
      <c r="AS7" s="5">
        <f t="shared" si="19"/>
        <v>-7171.8505632671522</v>
      </c>
      <c r="AT7" s="55">
        <f>IF('2021 Lønnsgr pensjon tjeneste'!L7&lt;100,0,(C7/$C$17)*'2021 Pensjon tjeneste'!L7/'2021 Lønnsgr pensjon tjeneste'!L7)</f>
        <v>1.0603979914780164E-2</v>
      </c>
      <c r="AU7" s="5">
        <f>IF('2021 Lønnsgr pensjon tjeneste'!L7&lt;100,0,C7)</f>
        <v>265297</v>
      </c>
      <c r="AV7" s="55">
        <f t="shared" si="5"/>
        <v>5.6377593467690473E-2</v>
      </c>
      <c r="AW7" s="55">
        <f t="shared" si="6"/>
        <v>1</v>
      </c>
      <c r="AX7" s="55">
        <f>IF(AU7=0,0,(AU7/$AU$17)*AW7*'2021 Pensjon tjeneste'!L7/'2021 Lønnsgr pensjon tjeneste'!L7)</f>
        <v>1.2172607023150216E-2</v>
      </c>
      <c r="AY7" s="5">
        <f>IF(AU7=0,0,'2021 Nto driftsutg landet'!$C$24*'2021 Lønnsand og pensjon landet'!$D$14*('2021 Pensjon tjeneste'!L7/'2021 Lønnsgr pensjon tjeneste'!L7-$AX$17))</f>
        <v>1.3294514539860844</v>
      </c>
      <c r="AZ7" s="5">
        <f t="shared" si="20"/>
        <v>352.69948238814624</v>
      </c>
      <c r="BA7" s="55">
        <f>IF('2021 Lønnsgr pensjon tjeneste'!M7&lt;100,0,(C7/$C$17)*'2021 Pensjon tjeneste'!M7/'2021 Lønnsgr pensjon tjeneste'!M7)</f>
        <v>1.0478487005057028E-2</v>
      </c>
      <c r="BB7" s="5">
        <f>IF('2021 Lønnsgr pensjon tjeneste'!M7&lt;100,0,C7)</f>
        <v>265297</v>
      </c>
      <c r="BC7" s="55">
        <f t="shared" si="7"/>
        <v>5.6377593467690473E-2</v>
      </c>
      <c r="BD7" s="55">
        <f t="shared" si="8"/>
        <v>1</v>
      </c>
      <c r="BE7" s="55">
        <f>IF(BB7=0,0,(BB7/$BB$17)*BD7*'2021 Pensjon tjeneste'!M7/'2021 Lønnsgr pensjon tjeneste'!M7)</f>
        <v>1.2028550179726528E-2</v>
      </c>
      <c r="BF7" s="5">
        <f>IF(BB7=0,0,'2021 Nto driftsutg landet'!$C$25*'2021 Lønnsand og pensjon landet'!$D$15*('2021 Pensjon tjeneste'!M7/'2021 Lønnsgr pensjon tjeneste'!M7-$BE$17))</f>
        <v>0.15560891403494728</v>
      </c>
      <c r="BG7" s="5">
        <f t="shared" si="21"/>
        <v>41.282578066729407</v>
      </c>
      <c r="BH7" s="55">
        <f>IF('2021 Lønnsgr pensjon tjeneste'!N7&lt;100,0,(C7/$C$17)*'2021 Pensjon tjeneste'!N7/'2021 Lønnsgr pensjon tjeneste'!N7)</f>
        <v>1.0980306173988191E-2</v>
      </c>
      <c r="BI7" s="5">
        <f>IF('2021 Lønnsgr pensjon tjeneste'!N7&lt;100,0,C7)</f>
        <v>265297</v>
      </c>
      <c r="BJ7" s="55">
        <f t="shared" si="9"/>
        <v>4.9112475876208504E-2</v>
      </c>
      <c r="BK7" s="55">
        <f t="shared" si="10"/>
        <v>1</v>
      </c>
      <c r="BL7" s="55">
        <f>IF(BI7=0,0,(BI7/$BI$17)*BK7*'2021 Pensjon tjeneste'!N7/'2021 Lønnsgr pensjon tjeneste'!N7)</f>
        <v>1.0980306173988191E-2</v>
      </c>
      <c r="BM7" s="5">
        <f>IF(BI7=0,0,'2021 Nto driftsutg landet'!$C$26*'2021 Lønnsand og pensjon landet'!$D$16*('2021 Pensjon tjeneste'!N7/'2021 Lønnsgr pensjon tjeneste'!N7-$BL$17))</f>
        <v>0.85471552504261017</v>
      </c>
      <c r="BN7" s="5">
        <f t="shared" si="22"/>
        <v>226.75346464722935</v>
      </c>
      <c r="BO7" s="55">
        <f>IF('2021 Lønnsgr pensjon tjeneste'!O7&lt;100,0,(C7/$C$17)*'2021 Pensjon tjeneste'!O7/'2021 Lønnsgr pensjon tjeneste'!O7)</f>
        <v>0</v>
      </c>
      <c r="BP7" s="5">
        <f>IF('2021 Lønnsgr pensjon tjeneste'!O7&lt;100,0,C7)</f>
        <v>0</v>
      </c>
      <c r="BQ7" s="55">
        <f t="shared" si="11"/>
        <v>0</v>
      </c>
      <c r="BR7" s="55">
        <f t="shared" si="12"/>
        <v>1</v>
      </c>
      <c r="BS7" s="55">
        <f>IF(BP7=0,0,(BP7/$BP$17)*BR7*'2021 Pensjon tjeneste'!O7/'2021 Lønnsgr pensjon tjeneste'!O7)</f>
        <v>0</v>
      </c>
      <c r="BT7" s="5">
        <f>IF(BP7=0,0,'2021 Nto driftsutg landet'!$C$27*'2021 Lønnsand og pensjon landet'!$D$17*('2021 Pensjon tjeneste'!O7/'2021 Lønnsgr pensjon tjeneste'!O7-$BS$17))</f>
        <v>0</v>
      </c>
      <c r="BU7" s="5">
        <f t="shared" si="23"/>
        <v>0</v>
      </c>
      <c r="BV7" s="55">
        <f>IF('2021 Lønnsgr pensjon tjeneste'!P7&lt;100,0,(C7/$C$17)*'2021 Pensjon tjeneste'!P7/'2021 Lønnsgr pensjon tjeneste'!P7)</f>
        <v>0</v>
      </c>
      <c r="BW7" s="5">
        <f>IF('2021 Lønnsgr pensjon tjeneste'!P7&lt;100,0,C7)</f>
        <v>0</v>
      </c>
      <c r="BX7" s="55">
        <f t="shared" si="13"/>
        <v>0</v>
      </c>
      <c r="BY7" s="55">
        <f t="shared" si="14"/>
        <v>1</v>
      </c>
      <c r="BZ7" s="55">
        <f>IF(BW7=0,0,(BW7/$BW$17)*BY7*'2021 Pensjon tjeneste'!P7/'2021 Lønnsgr pensjon tjeneste'!P7)</f>
        <v>0</v>
      </c>
      <c r="CA7" s="5">
        <f>IF(BW7=0,0,'2021 Nto driftsutg landet'!$C$28*'2021 Lønnsand og pensjon landet'!$D$18*('2021 Pensjon tjeneste'!P7/'2021 Lønnsgr pensjon tjeneste'!P7-$BZ$17))</f>
        <v>0</v>
      </c>
      <c r="CB7" s="5">
        <f t="shared" si="24"/>
        <v>0</v>
      </c>
      <c r="CC7" s="5"/>
      <c r="CD7" s="5"/>
      <c r="CE7" s="5"/>
    </row>
    <row r="8" spans="1:83" x14ac:dyDescent="0.3">
      <c r="A8" s="41">
        <v>1800</v>
      </c>
      <c r="B8" s="42" t="s">
        <v>141</v>
      </c>
      <c r="C8" s="42">
        <f>+'2021 Nto driftsutg'!W8</f>
        <v>240496</v>
      </c>
      <c r="D8" s="55">
        <f>IF('2021 Lønnsgr pensjon tjeneste'!D8&lt;100,0,(C8/$C$17)*'2021 Revekting utgiftsbehov'!D8*'2021 Pensjon tjeneste'!D8/'2021 Lønnsgr pensjon tjeneste'!D8)</f>
        <v>6.32243089552211E-3</v>
      </c>
      <c r="E8" s="5">
        <f>IF('2021 Lønnsgr pensjon tjeneste'!D8&lt;100,0,C8)</f>
        <v>240496</v>
      </c>
      <c r="F8" s="55">
        <f>'2021 Revekting utgiftsbehov'!D8*E8/$E$17</f>
        <v>4.8909291560517279E-2</v>
      </c>
      <c r="G8" s="55">
        <f>'2021 Revekting utgiftsbehov'!D8/$F$17</f>
        <v>1.0985606160140704</v>
      </c>
      <c r="H8" s="55">
        <f>IF(E8=0,0,(E8/$E$17)*G8*'2021 Pensjon tjeneste'!D8/'2021 Lønnsgr pensjon tjeneste'!D8)</f>
        <v>6.3224308961210588E-3</v>
      </c>
      <c r="I8" s="5">
        <f>IF(E8=0,0,'2021 Nto driftsutg landet'!$C$5*'2021 Lønnsand og pensjon landet'!$D$6*('2021 Pensjon tjeneste'!D8/'2021 Lønnsgr pensjon tjeneste'!D8-$H$17)*'2021 Revekting utgiftsbehov'!D8)</f>
        <v>56.48092330371189</v>
      </c>
      <c r="J8" s="5">
        <f t="shared" si="25"/>
        <v>13583.436130849495</v>
      </c>
      <c r="K8" s="55">
        <f>IF('2021 Lønnsgr pensjon tjeneste'!E8&lt;100,0,(C8/$C$17)*'2021 Revekting utgiftsbehov'!E8*'2021 Pensjon tjeneste'!E8/'2021 Lønnsgr pensjon tjeneste'!E8)</f>
        <v>3.226804831929278E-2</v>
      </c>
      <c r="L8" s="5">
        <f>IF('2021 Lønnsgr pensjon tjeneste'!E8&lt;100,0,C8)</f>
        <v>240496</v>
      </c>
      <c r="M8" s="55">
        <f>'2021 Revekting utgiftsbehov'!E8*L8/$L$17</f>
        <v>8.8967349640121027E-2</v>
      </c>
      <c r="N8" s="55">
        <f>'2021 Revekting utgiftsbehov'!E8/$M$17</f>
        <v>1.5718282864962618</v>
      </c>
      <c r="O8" s="55">
        <f>IF(L8=0,0,(L8/$L$17)*N8*'2021 Pensjon tjeneste'!E8/'2021 Lønnsgr pensjon tjeneste'!E8)</f>
        <v>3.3445978242152445E-2</v>
      </c>
      <c r="P8" s="5">
        <f>IF(L8=0,0,'2021 Nto driftsutg landet'!$C$6*'2021 Lønnsand og pensjon landet'!$D$7*('2021 Pensjon tjeneste'!E8/'2021 Lønnsgr pensjon tjeneste'!E8-$O$17)*'2021 Revekting utgiftsbehov'!E8)</f>
        <v>14.801268251462469</v>
      </c>
      <c r="Q8" s="5">
        <f t="shared" si="15"/>
        <v>3559.645809403718</v>
      </c>
      <c r="R8" s="55">
        <f>IF('2021 Lønnsgr pensjon tjeneste'!F8&lt;100,0,(C8/$C$17)*'2021 Revekting utgiftsbehov'!F8*'2021 Pensjon tjeneste'!F8/'2021 Lønnsgr pensjon tjeneste'!F8)</f>
        <v>1.1570144838185427E-2</v>
      </c>
      <c r="S8" s="5">
        <f>IF('2021 Lønnsgr pensjon tjeneste'!F8&lt;100,0,C8)</f>
        <v>240496</v>
      </c>
      <c r="T8" s="55">
        <f>'2021 Revekting utgiftsbehov'!F8*S8/$S$17</f>
        <v>4.5255104798638028E-2</v>
      </c>
      <c r="U8" s="55">
        <f>'2021 Revekting utgiftsbehov'!F8/$T$17</f>
        <v>1.016483251996888</v>
      </c>
      <c r="V8" s="55">
        <f>IF(S8=0,0,(S8/$S$17)*U8*'2021 Pensjon tjeneste'!F8/'2021 Lønnsgr pensjon tjeneste'!F8)</f>
        <v>1.1570144823671434E-2</v>
      </c>
      <c r="W8" s="5">
        <f>IF(S8=0,0,'2021 Nto driftsutg landet'!$C$7*'2021 Lønnsand og pensjon landet'!$D$8*('2021 Pensjon tjeneste'!F8/'2021 Lønnsgr pensjon tjeneste'!F8-$V$17)*'2021 Revekting utgiftsbehov'!F8)</f>
        <v>1.3287011034737803</v>
      </c>
      <c r="X8" s="5">
        <f t="shared" si="16"/>
        <v>319.54730058103024</v>
      </c>
      <c r="Y8" s="55">
        <f>IF('2021 Lønnsgr pensjon tjeneste'!G8&lt;100,0,(C8/$C$17)*'2021 Revekting utgiftsbehov'!G8*'2021 Pensjon tjeneste'!G8/'2021 Lønnsgr pensjon tjeneste'!G8)</f>
        <v>6.1812508763102035E-2</v>
      </c>
      <c r="Z8" s="5">
        <f>IF('2021 Lønnsgr pensjon tjeneste'!G8&lt;100,0,C8)</f>
        <v>240496</v>
      </c>
      <c r="AA8" s="55">
        <f>'2021 Revekting utgiftsbehov'!G8*Z8/$Z$17</f>
        <v>0.55684997250693613</v>
      </c>
      <c r="AB8" s="55">
        <f>'2021 Revekting utgiftsbehov'!G8/$AA$17</f>
        <v>3.2785353139754663</v>
      </c>
      <c r="AC8" s="55">
        <f>IF(Z8=0,0,(Z8/$Z$17)*AB8*'2021 Pensjon tjeneste'!G8/'2021 Lønnsgr pensjon tjeneste'!G8)</f>
        <v>8.3274702666117598E-2</v>
      </c>
      <c r="AD8" s="5">
        <f>IF(Z8=0,0,'2021 Nto driftsutg landet'!$C$8*'2021 Lønnsand og pensjon landet'!$D$9*('2021 Pensjon tjeneste'!G8/'2021 Lønnsgr pensjon tjeneste'!G8-$AC$17)*'2021 Revekting utgiftsbehov'!G8)</f>
        <v>1.3881481007428149</v>
      </c>
      <c r="AE8" s="5">
        <f t="shared" si="17"/>
        <v>333.84406563624401</v>
      </c>
      <c r="AF8" s="55">
        <f>IF('2021 Lønnsgr pensjon tjeneste'!H8&lt;100,0,(C8/$C$17)*'2021 Revekting utgiftsbehov'!H8*'2021 Pensjon tjeneste'!H8/'2021 Lønnsgr pensjon tjeneste'!H8)</f>
        <v>1.1436297437057145E-2</v>
      </c>
      <c r="AG8" s="5">
        <f>IF('2021 Lønnsgr pensjon tjeneste'!H8&lt;100,0,C8)</f>
        <v>240496</v>
      </c>
      <c r="AH8" s="55">
        <f>'2021 Revekting utgiftsbehov'!H8*AG8/$AG$17</f>
        <v>4.3873639457928361E-2</v>
      </c>
      <c r="AI8" s="55">
        <f>'2021 Revekting utgiftsbehov'!H8/$AH$17</f>
        <v>0.98545390485279294</v>
      </c>
      <c r="AJ8" s="55">
        <f>IF(AG8=0,0,(AG8/$AG$17)*AI8*'2021 Pensjon tjeneste'!H8/'2021 Lønnsgr pensjon tjeneste'!H8)</f>
        <v>1.1436297429174876E-2</v>
      </c>
      <c r="AK8" s="5">
        <f>IF(AG8=0,0,'2021 Nto driftsutg landet'!$C$9*'2021 Lønnsand og pensjon landet'!$D$10*('2021 Pensjon tjeneste'!H8/'2021 Lønnsgr pensjon tjeneste'!H8-$AJ$17)*'2021 Revekting utgiftsbehov'!H8)</f>
        <v>13.676956897169447</v>
      </c>
      <c r="AL8" s="5">
        <f t="shared" si="18"/>
        <v>3289.2534259416634</v>
      </c>
      <c r="AM8" s="55">
        <f>IF('2021 Lønnsgr pensjon tjeneste'!K8&lt;100,0,(C8/$C$17)*'2021 Pensjon tjeneste'!K8/'2021 Lønnsgr pensjon tjeneste'!K8)</f>
        <v>1.0785129965271778E-2</v>
      </c>
      <c r="AN8" s="5">
        <f>IF('2021 Lønnsgr pensjon tjeneste'!K8&lt;100,0,C8)</f>
        <v>240496</v>
      </c>
      <c r="AO8" s="55">
        <f t="shared" si="3"/>
        <v>4.4521249762811639E-2</v>
      </c>
      <c r="AP8" s="55">
        <f t="shared" si="4"/>
        <v>0.99999999931076733</v>
      </c>
      <c r="AQ8" s="55">
        <f>IF(AN8=0,0,(AN8/$AN$17)*AP8*'2021 Pensjon tjeneste'!K8/'2021 Lønnsgr pensjon tjeneste'!K8)</f>
        <v>1.0785129957838315E-2</v>
      </c>
      <c r="AR8" s="5">
        <f>IF(AN8=0,0,'2021 Nto driftsutg landet'!$C$23*'2021 Lønnsand og pensjon landet'!$D$13*('2021 Pensjon tjeneste'!K8/'2021 Lønnsgr pensjon tjeneste'!K8-$AQ$17))</f>
        <v>-32.603602051737674</v>
      </c>
      <c r="AS8" s="5">
        <f t="shared" si="19"/>
        <v>-7841.0358790347036</v>
      </c>
      <c r="AT8" s="55">
        <f>IF('2021 Lønnsgr pensjon tjeneste'!L8&lt;100,0,(C8/$C$17)*'2021 Pensjon tjeneste'!L8/'2021 Lønnsgr pensjon tjeneste'!L8)</f>
        <v>1.1090782603818723E-2</v>
      </c>
      <c r="AU8" s="5">
        <f>IF('2021 Lønnsgr pensjon tjeneste'!L8&lt;100,0,C8)</f>
        <v>240496</v>
      </c>
      <c r="AV8" s="55">
        <f t="shared" si="5"/>
        <v>5.1107195779091688E-2</v>
      </c>
      <c r="AW8" s="55">
        <f t="shared" si="6"/>
        <v>1</v>
      </c>
      <c r="AX8" s="55">
        <f>IF(AU8=0,0,(AU8/$AU$17)*AW8*'2021 Pensjon tjeneste'!L8/'2021 Lønnsgr pensjon tjeneste'!L8)</f>
        <v>1.2731421532334621E-2</v>
      </c>
      <c r="AY8" s="5">
        <f>IF(AU8=0,0,'2021 Nto driftsutg landet'!$C$24*'2021 Lønnsand og pensjon landet'!$D$14*('2021 Pensjon tjeneste'!L8/'2021 Lønnsgr pensjon tjeneste'!L8-$AX$17))</f>
        <v>2.7709338482216728</v>
      </c>
      <c r="AZ8" s="5">
        <f t="shared" si="20"/>
        <v>666.39850676191941</v>
      </c>
      <c r="BA8" s="55">
        <f>IF('2021 Lønnsgr pensjon tjeneste'!M8&lt;100,0,(C8/$C$17)*'2021 Pensjon tjeneste'!M8/'2021 Lønnsgr pensjon tjeneste'!M8)</f>
        <v>1.0943238838511202E-2</v>
      </c>
      <c r="BB8" s="5">
        <f>IF('2021 Lønnsgr pensjon tjeneste'!M8&lt;100,0,C8)</f>
        <v>240496</v>
      </c>
      <c r="BC8" s="55">
        <f t="shared" si="7"/>
        <v>5.1107195779091688E-2</v>
      </c>
      <c r="BD8" s="55">
        <f t="shared" si="8"/>
        <v>1</v>
      </c>
      <c r="BE8" s="55">
        <f>IF(BB8=0,0,(BB8/$BB$17)*BD8*'2021 Pensjon tjeneste'!M8/'2021 Lønnsgr pensjon tjeneste'!M8)</f>
        <v>1.2562051891101992E-2</v>
      </c>
      <c r="BF8" s="5">
        <f>IF(BB8=0,0,'2021 Nto driftsutg landet'!$C$25*'2021 Lønnsand og pensjon landet'!$D$15*('2021 Pensjon tjeneste'!M8/'2021 Lønnsgr pensjon tjeneste'!M8-$BE$17))</f>
        <v>0.31098444780851869</v>
      </c>
      <c r="BG8" s="5">
        <f t="shared" si="21"/>
        <v>74.790515760157504</v>
      </c>
      <c r="BH8" s="55">
        <f>IF('2021 Lønnsgr pensjon tjeneste'!N8&lt;100,0,(C8/$C$17)*'2021 Pensjon tjeneste'!N8/'2021 Lønnsgr pensjon tjeneste'!N8)</f>
        <v>1.0771172132056176E-2</v>
      </c>
      <c r="BI8" s="5">
        <f>IF('2021 Lønnsgr pensjon tjeneste'!N8&lt;100,0,C8)</f>
        <v>240496</v>
      </c>
      <c r="BJ8" s="55">
        <f t="shared" si="9"/>
        <v>4.4521249762811639E-2</v>
      </c>
      <c r="BK8" s="55">
        <f t="shared" si="10"/>
        <v>1</v>
      </c>
      <c r="BL8" s="55">
        <f>IF(BI8=0,0,(BI8/$BI$17)*BK8*'2021 Pensjon tjeneste'!N8/'2021 Lønnsgr pensjon tjeneste'!N8)</f>
        <v>1.0771172132056176E-2</v>
      </c>
      <c r="BM8" s="5">
        <f>IF(BI8=0,0,'2021 Nto driftsutg landet'!$C$26*'2021 Lønnsand og pensjon landet'!$D$16*('2021 Pensjon tjeneste'!N8/'2021 Lønnsgr pensjon tjeneste'!N8-$BL$17))</f>
        <v>1.3088362633756516</v>
      </c>
      <c r="BN8" s="5">
        <f t="shared" si="22"/>
        <v>314.76988599679072</v>
      </c>
      <c r="BO8" s="55">
        <f>IF('2021 Lønnsgr pensjon tjeneste'!O8&lt;100,0,(C8/$C$17)*'2021 Pensjon tjeneste'!O8/'2021 Lønnsgr pensjon tjeneste'!O8)</f>
        <v>0</v>
      </c>
      <c r="BP8" s="5">
        <f>IF('2021 Lønnsgr pensjon tjeneste'!O8&lt;100,0,C8)</f>
        <v>0</v>
      </c>
      <c r="BQ8" s="55">
        <f t="shared" si="11"/>
        <v>0</v>
      </c>
      <c r="BR8" s="55">
        <f t="shared" si="12"/>
        <v>1</v>
      </c>
      <c r="BS8" s="55">
        <f>IF(BP8=0,0,(BP8/$BP$17)*BR8*'2021 Pensjon tjeneste'!O8/'2021 Lønnsgr pensjon tjeneste'!O8)</f>
        <v>0</v>
      </c>
      <c r="BT8" s="5">
        <f>IF(BP8=0,0,'2021 Nto driftsutg landet'!$C$27*'2021 Lønnsand og pensjon landet'!$D$17*('2021 Pensjon tjeneste'!O8/'2021 Lønnsgr pensjon tjeneste'!O8-$BS$17))</f>
        <v>0</v>
      </c>
      <c r="BU8" s="5">
        <f t="shared" si="23"/>
        <v>0</v>
      </c>
      <c r="BV8" s="55">
        <f>IF('2021 Lønnsgr pensjon tjeneste'!P8&lt;100,0,(C8/$C$17)*'2021 Pensjon tjeneste'!P8/'2021 Lønnsgr pensjon tjeneste'!P8)</f>
        <v>0</v>
      </c>
      <c r="BW8" s="5">
        <f>IF('2021 Lønnsgr pensjon tjeneste'!P8&lt;100,0,C8)</f>
        <v>0</v>
      </c>
      <c r="BX8" s="55">
        <f t="shared" si="13"/>
        <v>0</v>
      </c>
      <c r="BY8" s="55">
        <f t="shared" si="14"/>
        <v>1</v>
      </c>
      <c r="BZ8" s="55">
        <f>IF(BW8=0,0,(BW8/$BW$17)*BY8*'2021 Pensjon tjeneste'!P8/'2021 Lønnsgr pensjon tjeneste'!P8)</f>
        <v>0</v>
      </c>
      <c r="CA8" s="5">
        <f>IF(BW8=0,0,'2021 Nto driftsutg landet'!$C$28*'2021 Lønnsand og pensjon landet'!$D$18*('2021 Pensjon tjeneste'!P8/'2021 Lønnsgr pensjon tjeneste'!P8-$BZ$17))</f>
        <v>0</v>
      </c>
      <c r="CB8" s="5">
        <f t="shared" si="24"/>
        <v>0</v>
      </c>
      <c r="CC8" s="5"/>
      <c r="CD8" s="5"/>
      <c r="CE8" s="5"/>
    </row>
    <row r="9" spans="1:83" x14ac:dyDescent="0.3">
      <c r="A9" s="41">
        <v>3000</v>
      </c>
      <c r="B9" s="42" t="s">
        <v>403</v>
      </c>
      <c r="C9" s="42">
        <f>+'2021 Nto driftsutg'!W9</f>
        <v>1260731</v>
      </c>
      <c r="D9" s="55">
        <f>IF('2021 Lønnsgr pensjon tjeneste'!D9&lt;100,0,(C9/$C$17)*'2021 Revekting utgiftsbehov'!D9*'2021 Pensjon tjeneste'!D9/'2021 Lønnsgr pensjon tjeneste'!D9)</f>
        <v>2.5322740877379842E-2</v>
      </c>
      <c r="E9" s="5">
        <f>IF('2021 Lønnsgr pensjon tjeneste'!D9&lt;100,0,C9)</f>
        <v>1260731</v>
      </c>
      <c r="F9" s="55">
        <f>'2021 Revekting utgiftsbehov'!D9*E9/$E$17</f>
        <v>0.23836733779887084</v>
      </c>
      <c r="G9" s="55">
        <f>'2021 Revekting utgiftsbehov'!D9/$F$17</f>
        <v>1.0213270274367541</v>
      </c>
      <c r="H9" s="55">
        <f>IF(E9=0,0,(E9/$E$17)*G9*'2021 Pensjon tjeneste'!D9/'2021 Lønnsgr pensjon tjeneste'!D9)</f>
        <v>2.532274087977876E-2</v>
      </c>
      <c r="I9" s="5">
        <f>IF(E9=0,0,'2021 Nto driftsutg landet'!$C$5*'2021 Lønnsand og pensjon landet'!$D$6*('2021 Pensjon tjeneste'!D9/'2021 Lønnsgr pensjon tjeneste'!D9-$H$17)*'2021 Revekting utgiftsbehov'!D9)</f>
        <v>-27.772287036457449</v>
      </c>
      <c r="J9" s="5">
        <f t="shared" si="25"/>
        <v>-35013.383207760038</v>
      </c>
      <c r="K9" s="55">
        <f>IF('2021 Lønnsgr pensjon tjeneste'!E9&lt;100,0,(C9/$C$17)*'2021 Revekting utgiftsbehov'!E9*'2021 Pensjon tjeneste'!E9/'2021 Lønnsgr pensjon tjeneste'!E9)</f>
        <v>4.1694917175727673E-2</v>
      </c>
      <c r="L9" s="5">
        <f>IF('2021 Lønnsgr pensjon tjeneste'!E9&lt;100,0,C9)</f>
        <v>1260731</v>
      </c>
      <c r="M9" s="55">
        <f>'2021 Revekting utgiftsbehov'!E9*L9/$L$17</f>
        <v>0.17345081515173275</v>
      </c>
      <c r="N9" s="55">
        <f>'2021 Revekting utgiftsbehov'!E9/$M$17</f>
        <v>0.58456958836272432</v>
      </c>
      <c r="O9" s="55">
        <f>IF(L9=0,0,(L9/$L$17)*N9*'2021 Pensjon tjeneste'!E9/'2021 Lønnsgr pensjon tjeneste'!E9)</f>
        <v>4.3216970511165388E-2</v>
      </c>
      <c r="P9" s="5">
        <f>IF(L9=0,0,'2021 Nto driftsutg landet'!$C$6*'2021 Lønnsand og pensjon landet'!$D$7*('2021 Pensjon tjeneste'!E9/'2021 Lønnsgr pensjon tjeneste'!E9-$O$17)*'2021 Revekting utgiftsbehov'!E9)</f>
        <v>-4.2491349619916177</v>
      </c>
      <c r="Q9" s="5">
        <f t="shared" si="15"/>
        <v>-5357.0161697666545</v>
      </c>
      <c r="R9" s="55">
        <f>IF('2021 Lønnsgr pensjon tjeneste'!F9&lt;100,0,(C9/$C$17)*'2021 Revekting utgiftsbehov'!F9*'2021 Pensjon tjeneste'!F9/'2021 Lønnsgr pensjon tjeneste'!F9)</f>
        <v>3.0980238383300423E-2</v>
      </c>
      <c r="S9" s="5">
        <f>IF('2021 Lønnsgr pensjon tjeneste'!F9&lt;100,0,C9)</f>
        <v>1260731</v>
      </c>
      <c r="T9" s="55">
        <f>'2021 Revekting utgiftsbehov'!F9*S9/$S$17</f>
        <v>0.15667098049119729</v>
      </c>
      <c r="U9" s="55">
        <f>'2021 Revekting utgiftsbehov'!F9/$T$17</f>
        <v>0.67128453106191743</v>
      </c>
      <c r="V9" s="55">
        <f>IF(S9=0,0,(S9/$S$17)*U9*'2021 Pensjon tjeneste'!F9/'2021 Lønnsgr pensjon tjeneste'!F9)</f>
        <v>3.0980238344437735E-2</v>
      </c>
      <c r="W9" s="5">
        <f>IF(S9=0,0,'2021 Nto driftsutg landet'!$C$7*'2021 Lønnsand og pensjon landet'!$D$8*('2021 Pensjon tjeneste'!F9/'2021 Lønnsgr pensjon tjeneste'!F9-$V$17)*'2021 Revekting utgiftsbehov'!F9)</f>
        <v>-0.46784838009580371</v>
      </c>
      <c r="X9" s="5">
        <f t="shared" si="16"/>
        <v>-589.83095608656276</v>
      </c>
      <c r="Y9" s="55">
        <f>IF('2021 Lønnsgr pensjon tjeneste'!G9&lt;100,0,(C9/$C$17)*'2021 Revekting utgiftsbehov'!G9*'2021 Pensjon tjeneste'!G9/'2021 Lønnsgr pensjon tjeneste'!G9)</f>
        <v>0</v>
      </c>
      <c r="Z9" s="5">
        <f>IF('2021 Lønnsgr pensjon tjeneste'!G9&lt;100,0,C9)</f>
        <v>0</v>
      </c>
      <c r="AA9" s="55">
        <f>'2021 Revekting utgiftsbehov'!G9*Z9/$Z$17</f>
        <v>0</v>
      </c>
      <c r="AB9" s="55">
        <f>'2021 Revekting utgiftsbehov'!G9/$AA$17</f>
        <v>3.792928663945698E-2</v>
      </c>
      <c r="AC9" s="55">
        <f>IF(Z9=0,0,(Z9/$Z$17)*AB9*'2021 Pensjon tjeneste'!G9/'2021 Lønnsgr pensjon tjeneste'!G9)</f>
        <v>0</v>
      </c>
      <c r="AD9" s="5">
        <f>IF(Z9=0,0,'2021 Nto driftsutg landet'!$C$8*'2021 Lønnsand og pensjon landet'!$D$9*('2021 Pensjon tjeneste'!G9/'2021 Lønnsgr pensjon tjeneste'!G9-$AC$17)*'2021 Revekting utgiftsbehov'!G9)</f>
        <v>0</v>
      </c>
      <c r="AE9" s="5">
        <f t="shared" si="17"/>
        <v>0</v>
      </c>
      <c r="AF9" s="55">
        <f>IF('2021 Lønnsgr pensjon tjeneste'!H9&lt;100,0,(C9/$C$17)*'2021 Revekting utgiftsbehov'!H9*'2021 Pensjon tjeneste'!H9/'2021 Lønnsgr pensjon tjeneste'!H9)</f>
        <v>3.4984142133318213E-2</v>
      </c>
      <c r="AG9" s="5">
        <f>IF('2021 Lønnsgr pensjon tjeneste'!H9&lt;100,0,C9)</f>
        <v>1260731</v>
      </c>
      <c r="AH9" s="55">
        <f>'2021 Revekting utgiftsbehov'!H9*AG9/$AG$17</f>
        <v>0.24206864814899379</v>
      </c>
      <c r="AI9" s="55">
        <f>'2021 Revekting utgiftsbehov'!H9/$AH$17</f>
        <v>1.0371859456031376</v>
      </c>
      <c r="AJ9" s="55">
        <f>IF(AG9=0,0,(AG9/$AG$17)*AI9*'2021 Pensjon tjeneste'!H9/'2021 Lønnsgr pensjon tjeneste'!H9)</f>
        <v>3.4984142109206008E-2</v>
      </c>
      <c r="AK9" s="5">
        <f>IF(AG9=0,0,'2021 Nto driftsutg landet'!$C$9*'2021 Lønnsand og pensjon landet'!$D$10*('2021 Pensjon tjeneste'!H9/'2021 Lønnsgr pensjon tjeneste'!H9-$AJ$17)*'2021 Revekting utgiftsbehov'!H9)</f>
        <v>-17.608002425122013</v>
      </c>
      <c r="AL9" s="5">
        <f t="shared" si="18"/>
        <v>-22198.9545054265</v>
      </c>
      <c r="AM9" s="55">
        <f>IF('2021 Lønnsgr pensjon tjeneste'!K9&lt;100,0,(C9/$C$17)*'2021 Pensjon tjeneste'!K9/'2021 Lønnsgr pensjon tjeneste'!K9)</f>
        <v>0.165830104061963</v>
      </c>
      <c r="AN9" s="5">
        <f>IF('2021 Lønnsgr pensjon tjeneste'!K9&lt;100,0,C9)</f>
        <v>1260731</v>
      </c>
      <c r="AO9" s="55">
        <f t="shared" si="3"/>
        <v>0.23338982658638516</v>
      </c>
      <c r="AP9" s="55">
        <f t="shared" si="4"/>
        <v>0.99999999931076733</v>
      </c>
      <c r="AQ9" s="55">
        <f>IF(AN9=0,0,(AN9/$AN$17)*AP9*'2021 Pensjon tjeneste'!K9/'2021 Lønnsgr pensjon tjeneste'!K9)</f>
        <v>0.16583010394766753</v>
      </c>
      <c r="AR9" s="5">
        <f>IF(AN9=0,0,'2021 Nto driftsutg landet'!$C$23*'2021 Lønnsand og pensjon landet'!$D$13*('2021 Pensjon tjeneste'!K9/'2021 Lønnsgr pensjon tjeneste'!K9-$AQ$17))</f>
        <v>116.79233134134016</v>
      </c>
      <c r="AS9" s="5">
        <f t="shared" si="19"/>
        <v>147243.7126842991</v>
      </c>
      <c r="AT9" s="55">
        <f>IF('2021 Lønnsgr pensjon tjeneste'!L9&lt;100,0,(C9/$C$17)*'2021 Pensjon tjeneste'!L9/'2021 Lønnsgr pensjon tjeneste'!L9)</f>
        <v>3.1733056459428401E-2</v>
      </c>
      <c r="AU9" s="5">
        <f>IF('2021 Lønnsgr pensjon tjeneste'!L9&lt;100,0,C9)</f>
        <v>1260731</v>
      </c>
      <c r="AV9" s="55">
        <f t="shared" si="5"/>
        <v>0.26791475135457571</v>
      </c>
      <c r="AW9" s="55">
        <f t="shared" si="6"/>
        <v>1</v>
      </c>
      <c r="AX9" s="55">
        <f>IF(AU9=0,0,(AU9/$AU$17)*AW9*'2021 Pensjon tjeneste'!L9/'2021 Lønnsgr pensjon tjeneste'!L9)</f>
        <v>3.6427268726307131E-2</v>
      </c>
      <c r="AY9" s="5">
        <f>IF(AU9=0,0,'2021 Nto driftsutg landet'!$C$24*'2021 Lønnsand og pensjon landet'!$D$14*('2021 Pensjon tjeneste'!L9/'2021 Lønnsgr pensjon tjeneste'!L9-$AX$17))</f>
        <v>-2.1416694555956597</v>
      </c>
      <c r="AZ9" s="5">
        <f t="shared" si="20"/>
        <v>-2700.0690744225717</v>
      </c>
      <c r="BA9" s="55">
        <f>IF('2021 Lønnsgr pensjon tjeneste'!M9&lt;100,0,(C9/$C$17)*'2021 Pensjon tjeneste'!M9/'2021 Lønnsgr pensjon tjeneste'!M9)</f>
        <v>3.3537725004988195E-2</v>
      </c>
      <c r="BB9" s="5">
        <f>IF('2021 Lønnsgr pensjon tjeneste'!M9&lt;100,0,C9)</f>
        <v>1260731</v>
      </c>
      <c r="BC9" s="55">
        <f t="shared" si="7"/>
        <v>0.26791475135457571</v>
      </c>
      <c r="BD9" s="55">
        <f t="shared" si="8"/>
        <v>1</v>
      </c>
      <c r="BE9" s="55">
        <f>IF(BB9=0,0,(BB9/$BB$17)*BD9*'2021 Pensjon tjeneste'!M9/'2021 Lønnsgr pensjon tjeneste'!M9)</f>
        <v>3.8498898547250152E-2</v>
      </c>
      <c r="BF9" s="5">
        <f>IF(BB9=0,0,'2021 Nto driftsutg landet'!$C$25*'2021 Lønnsand og pensjon landet'!$D$15*('2021 Pensjon tjeneste'!M9/'2021 Lønnsgr pensjon tjeneste'!M9-$BE$17))</f>
        <v>-0.178017828259357</v>
      </c>
      <c r="BG9" s="5">
        <f t="shared" si="21"/>
        <v>-224.43259463924741</v>
      </c>
      <c r="BH9" s="55">
        <f>IF('2021 Lønnsgr pensjon tjeneste'!N9&lt;100,0,(C9/$C$17)*'2021 Pensjon tjeneste'!N9/'2021 Lønnsgr pensjon tjeneste'!N9)</f>
        <v>3.1981911353029094E-2</v>
      </c>
      <c r="BI9" s="5">
        <f>IF('2021 Lønnsgr pensjon tjeneste'!N9&lt;100,0,C9)</f>
        <v>1260731</v>
      </c>
      <c r="BJ9" s="55">
        <f t="shared" si="9"/>
        <v>0.23338982658638516</v>
      </c>
      <c r="BK9" s="55">
        <f t="shared" si="10"/>
        <v>1</v>
      </c>
      <c r="BL9" s="55">
        <f>IF(BI9=0,0,(BI9/$BI$17)*BK9*'2021 Pensjon tjeneste'!N9/'2021 Lønnsgr pensjon tjeneste'!N9)</f>
        <v>3.1981911353029094E-2</v>
      </c>
      <c r="BM9" s="5">
        <f>IF(BI9=0,0,'2021 Nto driftsutg landet'!$C$26*'2021 Lønnsand og pensjon landet'!$D$16*('2021 Pensjon tjeneste'!N9/'2021 Lønnsgr pensjon tjeneste'!N9-$BL$17))</f>
        <v>-1.2860115698153602</v>
      </c>
      <c r="BN9" s="5">
        <f t="shared" si="22"/>
        <v>-1621.3146524248889</v>
      </c>
      <c r="BO9" s="55">
        <f>IF('2021 Lønnsgr pensjon tjeneste'!O9&lt;100,0,(C9/$C$17)*'2021 Pensjon tjeneste'!O9/'2021 Lønnsgr pensjon tjeneste'!O9)</f>
        <v>0</v>
      </c>
      <c r="BP9" s="5">
        <f>IF('2021 Lønnsgr pensjon tjeneste'!O9&lt;100,0,C9)</f>
        <v>0</v>
      </c>
      <c r="BQ9" s="55">
        <f t="shared" si="11"/>
        <v>0</v>
      </c>
      <c r="BR9" s="55">
        <f t="shared" si="12"/>
        <v>1</v>
      </c>
      <c r="BS9" s="55">
        <f>IF(BP9=0,0,(BP9/$BP$17)*BR9*'2021 Pensjon tjeneste'!O9/'2021 Lønnsgr pensjon tjeneste'!O9)</f>
        <v>0</v>
      </c>
      <c r="BT9" s="5">
        <f>IF(BP9=0,0,'2021 Nto driftsutg landet'!$C$27*'2021 Lønnsand og pensjon landet'!$D$17*('2021 Pensjon tjeneste'!O9/'2021 Lønnsgr pensjon tjeneste'!O9-$BS$17))</f>
        <v>0</v>
      </c>
      <c r="BU9" s="5">
        <f t="shared" si="23"/>
        <v>0</v>
      </c>
      <c r="BV9" s="55">
        <f>IF('2021 Lønnsgr pensjon tjeneste'!P9&lt;100,0,(C9/$C$17)*'2021 Pensjon tjeneste'!P9/'2021 Lønnsgr pensjon tjeneste'!P9)</f>
        <v>2.935461060696784E-2</v>
      </c>
      <c r="BW9" s="5">
        <f>IF('2021 Lønnsgr pensjon tjeneste'!P9&lt;100,0,C9)</f>
        <v>1260731</v>
      </c>
      <c r="BX9" s="55">
        <f t="shared" si="13"/>
        <v>0.41352648036182921</v>
      </c>
      <c r="BY9" s="55">
        <f t="shared" si="14"/>
        <v>1</v>
      </c>
      <c r="BZ9" s="55">
        <f>IF(BW9=0,0,(BW9/$BW$17)*BY9*'2021 Pensjon tjeneste'!P9/'2021 Lønnsgr pensjon tjeneste'!P9)</f>
        <v>5.2011302224428471E-2</v>
      </c>
      <c r="CA9" s="5">
        <f>IF(BW9=0,0,'2021 Nto driftsutg landet'!$C$28*'2021 Lønnsand og pensjon landet'!$D$18*('2021 Pensjon tjeneste'!P9/'2021 Lønnsgr pensjon tjeneste'!P9-$BZ$17))</f>
        <v>-1.3461597685702935E-3</v>
      </c>
      <c r="CB9" s="5">
        <f t="shared" si="24"/>
        <v>-1.6971453511893946</v>
      </c>
      <c r="CC9" s="5"/>
      <c r="CD9" s="5"/>
      <c r="CE9" s="5"/>
    </row>
    <row r="10" spans="1:83" x14ac:dyDescent="0.3">
      <c r="A10" s="41">
        <v>3400</v>
      </c>
      <c r="B10" s="42" t="s">
        <v>404</v>
      </c>
      <c r="C10" s="42">
        <f>+'2021 Nto driftsutg'!W10</f>
        <v>370701</v>
      </c>
      <c r="D10" s="55">
        <f>IF('2021 Lønnsgr pensjon tjeneste'!D10&lt;100,0,(C10/$C$17)*'2021 Revekting utgiftsbehov'!D10*'2021 Pensjon tjeneste'!D10/'2021 Lønnsgr pensjon tjeneste'!D10)</f>
        <v>8.6327024646771153E-3</v>
      </c>
      <c r="E10" s="5">
        <f>IF('2021 Lønnsgr pensjon tjeneste'!D10&lt;100,0,C10)</f>
        <v>370701</v>
      </c>
      <c r="F10" s="55">
        <f>'2021 Revekting utgiftsbehov'!D10*E10/$E$17</f>
        <v>7.0418712583136728E-2</v>
      </c>
      <c r="G10" s="55">
        <f>'2021 Revekting utgiftsbehov'!D10/$F$17</f>
        <v>1.0261357863492095</v>
      </c>
      <c r="H10" s="55">
        <f>IF(E10=0,0,(E10/$E$17)*G10*'2021 Pensjon tjeneste'!D10/'2021 Lønnsgr pensjon tjeneste'!D10)</f>
        <v>8.6327024654949264E-3</v>
      </c>
      <c r="I10" s="5">
        <f>IF(E10=0,0,'2021 Nto driftsutg landet'!$C$5*'2021 Lønnsand og pensjon landet'!$D$6*('2021 Pensjon tjeneste'!D10/'2021 Lønnsgr pensjon tjeneste'!D10-$H$17)*'2021 Revekting utgiftsbehov'!D10)</f>
        <v>29.374562665815162</v>
      </c>
      <c r="J10" s="5">
        <f t="shared" si="25"/>
        <v>10889.179754780347</v>
      </c>
      <c r="K10" s="55">
        <f>IF('2021 Lønnsgr pensjon tjeneste'!E10&lt;100,0,(C10/$C$17)*'2021 Revekting utgiftsbehov'!E10*'2021 Pensjon tjeneste'!E10/'2021 Lønnsgr pensjon tjeneste'!E10)</f>
        <v>3.066370845586806E-2</v>
      </c>
      <c r="L10" s="5">
        <f>IF('2021 Lønnsgr pensjon tjeneste'!E10&lt;100,0,C10)</f>
        <v>370701</v>
      </c>
      <c r="M10" s="55">
        <f>'2021 Revekting utgiftsbehov'!E10*L10/$L$17</f>
        <v>0.11975629469149665</v>
      </c>
      <c r="N10" s="55">
        <f>'2021 Revekting utgiftsbehov'!E10/$M$17</f>
        <v>1.3726407797475817</v>
      </c>
      <c r="O10" s="55">
        <f>IF(L10=0,0,(L10/$L$17)*N10*'2021 Pensjon tjeneste'!E10/'2021 Lønnsgr pensjon tjeneste'!E10)</f>
        <v>3.1783072706801585E-2</v>
      </c>
      <c r="P10" s="5">
        <f>IF(L10=0,0,'2021 Nto driftsutg landet'!$C$6*'2021 Lønnsand og pensjon landet'!$D$7*('2021 Pensjon tjeneste'!E10/'2021 Lønnsgr pensjon tjeneste'!E10-$O$17)*'2021 Revekting utgiftsbehov'!E10)</f>
        <v>-7.0439324097741576</v>
      </c>
      <c r="Q10" s="5">
        <f t="shared" si="15"/>
        <v>-2611.1927882356899</v>
      </c>
      <c r="R10" s="55">
        <f>IF('2021 Lønnsgr pensjon tjeneste'!F10&lt;100,0,(C10/$C$17)*'2021 Revekting utgiftsbehov'!F10*'2021 Pensjon tjeneste'!F10/'2021 Lønnsgr pensjon tjeneste'!F10)</f>
        <v>1.8887422927624756E-2</v>
      </c>
      <c r="S10" s="5">
        <f>IF('2021 Lønnsgr pensjon tjeneste'!F10&lt;100,0,C10)</f>
        <v>370701</v>
      </c>
      <c r="T10" s="55">
        <f>'2021 Revekting utgiftsbehov'!F10*S10/$S$17</f>
        <v>6.9292817763818931E-2</v>
      </c>
      <c r="U10" s="55">
        <f>'2021 Revekting utgiftsbehov'!F10/$T$17</f>
        <v>1.0097293367093605</v>
      </c>
      <c r="V10" s="55">
        <f>IF(S10=0,0,(S10/$S$17)*U10*'2021 Pensjon tjeneste'!F10/'2021 Lønnsgr pensjon tjeneste'!F10)</f>
        <v>1.8887422903931722E-2</v>
      </c>
      <c r="W10" s="5">
        <f>IF(S10=0,0,'2021 Nto driftsutg landet'!$C$7*'2021 Lønnsand og pensjon landet'!$D$8*('2021 Pensjon tjeneste'!F10/'2021 Lønnsgr pensjon tjeneste'!F10-$V$17)*'2021 Revekting utgiftsbehov'!F10)</f>
        <v>1.9105957491226453</v>
      </c>
      <c r="X10" s="5">
        <f t="shared" si="16"/>
        <v>708.25975479551369</v>
      </c>
      <c r="Y10" s="55">
        <f>IF('2021 Lønnsgr pensjon tjeneste'!G10&lt;100,0,(C10/$C$17)*'2021 Revekting utgiftsbehov'!G10*'2021 Pensjon tjeneste'!G10/'2021 Lønnsgr pensjon tjeneste'!G10)</f>
        <v>2.6267538137830391E-4</v>
      </c>
      <c r="Z10" s="5">
        <f>IF('2021 Lønnsgr pensjon tjeneste'!G10&lt;100,0,C10)</f>
        <v>370701</v>
      </c>
      <c r="AA10" s="55">
        <f>'2021 Revekting utgiftsbehov'!G10*Z10/$Z$17</f>
        <v>5.9970554629092919E-3</v>
      </c>
      <c r="AB10" s="55">
        <f>'2021 Revekting utgiftsbehov'!G10/$AA$17</f>
        <v>2.2906768596468924E-2</v>
      </c>
      <c r="AC10" s="55">
        <f>IF(Z10=0,0,(Z10/$Z$17)*AB10*'2021 Pensjon tjeneste'!G10/'2021 Lønnsgr pensjon tjeneste'!G10)</f>
        <v>3.5388005954944756E-4</v>
      </c>
      <c r="AD10" s="5">
        <f>IF(Z10=0,0,'2021 Nto driftsutg landet'!$C$8*'2021 Lønnsand og pensjon landet'!$D$9*('2021 Pensjon tjeneste'!G10/'2021 Lønnsgr pensjon tjeneste'!G10-$AC$17)*'2021 Revekting utgiftsbehov'!G10)</f>
        <v>-1.7392786191955611E-2</v>
      </c>
      <c r="AE10" s="5">
        <f t="shared" si="17"/>
        <v>-6.4475232341441373</v>
      </c>
      <c r="AF10" s="55">
        <f>IF('2021 Lønnsgr pensjon tjeneste'!H10&lt;100,0,(C10/$C$17)*'2021 Revekting utgiftsbehov'!H10*'2021 Pensjon tjeneste'!H10/'2021 Lønnsgr pensjon tjeneste'!H10)</f>
        <v>1.7271340546756823E-2</v>
      </c>
      <c r="AG10" s="5">
        <f>IF('2021 Lønnsgr pensjon tjeneste'!H10&lt;100,0,C10)</f>
        <v>370701</v>
      </c>
      <c r="AH10" s="55">
        <f>'2021 Revekting utgiftsbehov'!H10*AG10/$AG$17</f>
        <v>6.6137160338762754E-2</v>
      </c>
      <c r="AI10" s="55">
        <f>'2021 Revekting utgiftsbehov'!H10/$AH$17</f>
        <v>0.96374535245575521</v>
      </c>
      <c r="AJ10" s="55">
        <f>IF(AG10=0,0,(AG10/$AG$17)*AI10*'2021 Pensjon tjeneste'!H10/'2021 Lønnsgr pensjon tjeneste'!H10)</f>
        <v>1.7271340534852853E-2</v>
      </c>
      <c r="AK10" s="5">
        <f>IF(AG10=0,0,'2021 Nto driftsutg landet'!$C$9*'2021 Lønnsand og pensjon landet'!$D$10*('2021 Pensjon tjeneste'!H10/'2021 Lønnsgr pensjon tjeneste'!H10-$AJ$17)*'2021 Revekting utgiftsbehov'!H10)</f>
        <v>13.498523345770504</v>
      </c>
      <c r="AL10" s="5">
        <f t="shared" si="18"/>
        <v>5003.9161028004719</v>
      </c>
      <c r="AM10" s="55">
        <f>IF('2021 Lønnsgr pensjon tjeneste'!K10&lt;100,0,(C10/$C$17)*'2021 Pensjon tjeneste'!K10/'2021 Lønnsgr pensjon tjeneste'!K10)</f>
        <v>1.6381113728100534E-2</v>
      </c>
      <c r="AN10" s="5">
        <f>IF('2021 Lønnsgr pensjon tjeneste'!K10&lt;100,0,C10)</f>
        <v>370701</v>
      </c>
      <c r="AO10" s="55">
        <f t="shared" si="3"/>
        <v>6.8625140577490015E-2</v>
      </c>
      <c r="AP10" s="55">
        <f t="shared" si="4"/>
        <v>0.99999999931076733</v>
      </c>
      <c r="AQ10" s="55">
        <f>IF(AN10=0,0,(AN10/$AN$17)*AP10*'2021 Pensjon tjeneste'!K10/'2021 Lønnsgr pensjon tjeneste'!K10)</f>
        <v>1.6381113716810135E-2</v>
      </c>
      <c r="AR10" s="5">
        <f>IF(AN10=0,0,'2021 Nto driftsutg landet'!$C$23*'2021 Lønnsand og pensjon landet'!$D$13*('2021 Pensjon tjeneste'!K10/'2021 Lønnsgr pensjon tjeneste'!K10-$AQ$17))</f>
        <v>-33.733775105810892</v>
      </c>
      <c r="AS10" s="5">
        <f t="shared" si="19"/>
        <v>-12505.144165499203</v>
      </c>
      <c r="AT10" s="55">
        <f>IF('2021 Lønnsgr pensjon tjeneste'!L10&lt;100,0,(C10/$C$17)*'2021 Pensjon tjeneste'!L10/'2021 Lønnsgr pensjon tjeneste'!L10)</f>
        <v>2.1215089603244478E-2</v>
      </c>
      <c r="AU10" s="5">
        <f>IF('2021 Lønnsgr pensjon tjeneste'!L10&lt;100,0,C10)</f>
        <v>370701</v>
      </c>
      <c r="AV10" s="55">
        <f t="shared" si="5"/>
        <v>7.8776730517368554E-2</v>
      </c>
      <c r="AW10" s="55">
        <f t="shared" si="6"/>
        <v>1</v>
      </c>
      <c r="AX10" s="55">
        <f>IF(AU10=0,0,(AU10/$AU$17)*AW10*'2021 Pensjon tjeneste'!L10/'2021 Lønnsgr pensjon tjeneste'!L10)</f>
        <v>2.4353398514200087E-2</v>
      </c>
      <c r="AY10" s="5">
        <f>IF(AU10=0,0,'2021 Nto driftsutg landet'!$C$24*'2021 Lønnsand og pensjon landet'!$D$14*('2021 Pensjon tjeneste'!L10/'2021 Lønnsgr pensjon tjeneste'!L10-$AX$17))</f>
        <v>5.3774341033567117</v>
      </c>
      <c r="AZ10" s="5">
        <f t="shared" si="20"/>
        <v>1993.4201995484364</v>
      </c>
      <c r="BA10" s="55">
        <f>IF('2021 Lønnsgr pensjon tjeneste'!M10&lt;100,0,(C10/$C$17)*'2021 Pensjon tjeneste'!M10/'2021 Lønnsgr pensjon tjeneste'!M10)</f>
        <v>1.8350781226267054E-2</v>
      </c>
      <c r="BB10" s="5">
        <f>IF('2021 Lønnsgr pensjon tjeneste'!M10&lt;100,0,C10)</f>
        <v>370701</v>
      </c>
      <c r="BC10" s="55">
        <f t="shared" si="7"/>
        <v>7.8776730517368554E-2</v>
      </c>
      <c r="BD10" s="55">
        <f t="shared" si="8"/>
        <v>1</v>
      </c>
      <c r="BE10" s="55">
        <f>IF(BB10=0,0,(BB10/$BB$17)*BD10*'2021 Pensjon tjeneste'!M10/'2021 Lønnsgr pensjon tjeneste'!M10)</f>
        <v>2.1065378304215922E-2</v>
      </c>
      <c r="BF10" s="5">
        <f>IF(BB10=0,0,'2021 Nto driftsutg landet'!$C$25*'2021 Lønnsand og pensjon landet'!$D$15*('2021 Pensjon tjeneste'!M10/'2021 Lønnsgr pensjon tjeneste'!M10-$BE$17))</f>
        <v>0.41447495239349463</v>
      </c>
      <c r="BG10" s="5">
        <f t="shared" si="21"/>
        <v>153.64627932722087</v>
      </c>
      <c r="BH10" s="55">
        <f>IF('2021 Lønnsgr pensjon tjeneste'!N10&lt;100,0,(C10/$C$17)*'2021 Pensjon tjeneste'!N10/'2021 Lønnsgr pensjon tjeneste'!N10)</f>
        <v>7.4977618022251339E-3</v>
      </c>
      <c r="BI10" s="5">
        <f>IF('2021 Lønnsgr pensjon tjeneste'!N10&lt;100,0,C10)</f>
        <v>370701</v>
      </c>
      <c r="BJ10" s="55">
        <f t="shared" si="9"/>
        <v>6.8625140577490015E-2</v>
      </c>
      <c r="BK10" s="55">
        <f t="shared" si="10"/>
        <v>1</v>
      </c>
      <c r="BL10" s="55">
        <f>IF(BI10=0,0,(BI10/$BI$17)*BK10*'2021 Pensjon tjeneste'!N10/'2021 Lønnsgr pensjon tjeneste'!N10)</f>
        <v>7.4977618022251339E-3</v>
      </c>
      <c r="BM10" s="5">
        <f>IF(BI10=0,0,'2021 Nto driftsutg landet'!$C$26*'2021 Lønnsand og pensjon landet'!$D$16*('2021 Pensjon tjeneste'!N10/'2021 Lønnsgr pensjon tjeneste'!N10-$BL$17))</f>
        <v>-1.9730669186580181</v>
      </c>
      <c r="BN10" s="5">
        <f t="shared" si="22"/>
        <v>-731.41787981344601</v>
      </c>
      <c r="BO10" s="55">
        <f>IF('2021 Lønnsgr pensjon tjeneste'!O10&lt;100,0,(C10/$C$17)*'2021 Pensjon tjeneste'!O10/'2021 Lønnsgr pensjon tjeneste'!O10)</f>
        <v>0</v>
      </c>
      <c r="BP10" s="5">
        <f>IF('2021 Lønnsgr pensjon tjeneste'!O10&lt;100,0,C10)</f>
        <v>0</v>
      </c>
      <c r="BQ10" s="55">
        <f t="shared" si="11"/>
        <v>0</v>
      </c>
      <c r="BR10" s="55">
        <f t="shared" si="12"/>
        <v>1</v>
      </c>
      <c r="BS10" s="55">
        <f>IF(BP10=0,0,(BP10/$BP$17)*BR10*'2021 Pensjon tjeneste'!O10/'2021 Lønnsgr pensjon tjeneste'!O10)</f>
        <v>0</v>
      </c>
      <c r="BT10" s="5">
        <f>IF(BP10=0,0,'2021 Nto driftsutg landet'!$C$27*'2021 Lønnsand og pensjon landet'!$D$17*('2021 Pensjon tjeneste'!O10/'2021 Lønnsgr pensjon tjeneste'!O10-$BS$17))</f>
        <v>0</v>
      </c>
      <c r="BU10" s="5">
        <f t="shared" si="23"/>
        <v>0</v>
      </c>
      <c r="BV10" s="55">
        <f>IF('2021 Lønnsgr pensjon tjeneste'!P10&lt;100,0,(C10/$C$17)*'2021 Pensjon tjeneste'!P10/'2021 Lønnsgr pensjon tjeneste'!P10)</f>
        <v>0</v>
      </c>
      <c r="BW10" s="5">
        <f>IF('2021 Lønnsgr pensjon tjeneste'!P10&lt;100,0,C10)</f>
        <v>0</v>
      </c>
      <c r="BX10" s="55">
        <f t="shared" si="13"/>
        <v>0</v>
      </c>
      <c r="BY10" s="55">
        <f t="shared" si="14"/>
        <v>1</v>
      </c>
      <c r="BZ10" s="55">
        <f>IF(BW10=0,0,(BW10/$BW$17)*BY10*'2021 Pensjon tjeneste'!P10/'2021 Lønnsgr pensjon tjeneste'!P10)</f>
        <v>0</v>
      </c>
      <c r="CA10" s="5">
        <f>IF(BW10=0,0,'2021 Nto driftsutg landet'!$C$28*'2021 Lønnsand og pensjon landet'!$D$18*('2021 Pensjon tjeneste'!P10/'2021 Lønnsgr pensjon tjeneste'!P10-$BZ$17))</f>
        <v>0</v>
      </c>
      <c r="CB10" s="5">
        <f t="shared" si="24"/>
        <v>0</v>
      </c>
      <c r="CC10" s="5"/>
      <c r="CD10" s="5"/>
      <c r="CE10" s="5"/>
    </row>
    <row r="11" spans="1:83" x14ac:dyDescent="0.3">
      <c r="A11" s="41">
        <v>3800</v>
      </c>
      <c r="B11" s="42" t="s">
        <v>405</v>
      </c>
      <c r="C11" s="42">
        <f>+'2021 Nto driftsutg'!W11</f>
        <v>423144</v>
      </c>
      <c r="D11" s="55">
        <f>IF('2021 Lønnsgr pensjon tjeneste'!D11&lt;100,0,(C11/$C$17)*'2021 Revekting utgiftsbehov'!D11*'2021 Pensjon tjeneste'!D11/'2021 Lønnsgr pensjon tjeneste'!D11)</f>
        <v>9.7211484646490907E-3</v>
      </c>
      <c r="E11" s="5">
        <f>IF('2021 Lønnsgr pensjon tjeneste'!D11&lt;100,0,C11)</f>
        <v>423144</v>
      </c>
      <c r="F11" s="55">
        <f>'2021 Revekting utgiftsbehov'!D11*E11/$E$17</f>
        <v>7.9813111221490041E-2</v>
      </c>
      <c r="G11" s="55">
        <f>'2021 Revekting utgiftsbehov'!D11/$F$17</f>
        <v>1.0188882734125231</v>
      </c>
      <c r="H11" s="55">
        <f>IF(E11=0,0,(E11/$E$17)*G11*'2021 Pensjon tjeneste'!D11/'2021 Lønnsgr pensjon tjeneste'!D11)</f>
        <v>9.721148465570012E-3</v>
      </c>
      <c r="I11" s="5">
        <f>IF(E11=0,0,'2021 Nto driftsutg landet'!$C$5*'2021 Lønnsand og pensjon landet'!$D$6*('2021 Pensjon tjeneste'!D11/'2021 Lønnsgr pensjon tjeneste'!D11-$H$17)*'2021 Revekting utgiftsbehov'!D11)</f>
        <v>26.412826751544294</v>
      </c>
      <c r="J11" s="5">
        <f t="shared" si="25"/>
        <v>11176.429162955459</v>
      </c>
      <c r="K11" s="55">
        <f>IF('2021 Lønnsgr pensjon tjeneste'!E11&lt;100,0,(C11/$C$17)*'2021 Revekting utgiftsbehov'!E11*'2021 Pensjon tjeneste'!E11/'2021 Lønnsgr pensjon tjeneste'!E11)</f>
        <v>1.6611635023430896E-2</v>
      </c>
      <c r="L11" s="5">
        <f>IF('2021 Lønnsgr pensjon tjeneste'!E11&lt;100,0,C11)</f>
        <v>423144</v>
      </c>
      <c r="M11" s="55">
        <f>'2021 Revekting utgiftsbehov'!E11*L11/$L$17</f>
        <v>8.681166708292902E-2</v>
      </c>
      <c r="N11" s="55">
        <f>'2021 Revekting utgiftsbehov'!E11/$M$17</f>
        <v>0.87171037226762682</v>
      </c>
      <c r="O11" s="55">
        <f>IF(L11=0,0,(L11/$L$17)*N11*'2021 Pensjon tjeneste'!E11/'2021 Lønnsgr pensjon tjeneste'!E11)</f>
        <v>1.7218034944743266E-2</v>
      </c>
      <c r="P11" s="5">
        <f>IF(L11=0,0,'2021 Nto driftsutg landet'!$C$6*'2021 Lønnsand og pensjon landet'!$D$7*('2021 Pensjon tjeneste'!E11/'2021 Lønnsgr pensjon tjeneste'!E11-$O$17)*'2021 Revekting utgiftsbehov'!E11)</f>
        <v>-12.167074380268224</v>
      </c>
      <c r="Q11" s="5">
        <f t="shared" si="15"/>
        <v>-5148.4245215642177</v>
      </c>
      <c r="R11" s="55">
        <f>IF('2021 Lønnsgr pensjon tjeneste'!F11&lt;100,0,(C11/$C$17)*'2021 Revekting utgiftsbehov'!F11*'2021 Pensjon tjeneste'!F11/'2021 Lønnsgr pensjon tjeneste'!F11)</f>
        <v>1.3606384623004524E-2</v>
      </c>
      <c r="S11" s="5">
        <f>IF('2021 Lønnsgr pensjon tjeneste'!F11&lt;100,0,C11)</f>
        <v>423144</v>
      </c>
      <c r="T11" s="55">
        <f>'2021 Revekting utgiftsbehov'!F11*S11/$S$17</f>
        <v>5.6996427666748083E-2</v>
      </c>
      <c r="U11" s="55">
        <f>'2021 Revekting utgiftsbehov'!F11/$T$17</f>
        <v>0.72761217811125811</v>
      </c>
      <c r="V11" s="55">
        <f>IF(S11=0,0,(S11/$S$17)*U11*'2021 Pensjon tjeneste'!F11/'2021 Lønnsgr pensjon tjeneste'!F11)</f>
        <v>1.3606384605936205E-2</v>
      </c>
      <c r="W11" s="5">
        <f>IF(S11=0,0,'2021 Nto driftsutg landet'!$C$7*'2021 Lønnsand og pensjon landet'!$D$8*('2021 Pensjon tjeneste'!F11/'2021 Lønnsgr pensjon tjeneste'!F11-$V$17)*'2021 Revekting utgiftsbehov'!F11)</f>
        <v>0.52460959868241452</v>
      </c>
      <c r="X11" s="5">
        <f t="shared" si="16"/>
        <v>221.98540402487163</v>
      </c>
      <c r="Y11" s="55">
        <f>IF('2021 Lønnsgr pensjon tjeneste'!G11&lt;100,0,(C11/$C$17)*'2021 Revekting utgiftsbehov'!G11*'2021 Pensjon tjeneste'!G11/'2021 Lønnsgr pensjon tjeneste'!G11)</f>
        <v>0</v>
      </c>
      <c r="Z11" s="5">
        <f>IF('2021 Lønnsgr pensjon tjeneste'!G11&lt;100,0,C11)</f>
        <v>0</v>
      </c>
      <c r="AA11" s="55">
        <f>'2021 Revekting utgiftsbehov'!G11*Z11/$Z$17</f>
        <v>0</v>
      </c>
      <c r="AB11" s="55">
        <f>'2021 Revekting utgiftsbehov'!G11/$AA$17</f>
        <v>9.508947147603436E-2</v>
      </c>
      <c r="AC11" s="55">
        <f>IF(Z11=0,0,(Z11/$Z$17)*AB11*'2021 Pensjon tjeneste'!G11/'2021 Lønnsgr pensjon tjeneste'!G11)</f>
        <v>0</v>
      </c>
      <c r="AD11" s="5">
        <f>IF(Z11=0,0,'2021 Nto driftsutg landet'!$C$8*'2021 Lønnsand og pensjon landet'!$D$9*('2021 Pensjon tjeneste'!G11/'2021 Lønnsgr pensjon tjeneste'!G11-$AC$17)*'2021 Revekting utgiftsbehov'!G11)</f>
        <v>0</v>
      </c>
      <c r="AE11" s="5">
        <f t="shared" si="17"/>
        <v>0</v>
      </c>
      <c r="AF11" s="55">
        <f>IF('2021 Lønnsgr pensjon tjeneste'!H11&lt;100,0,(C11/$C$17)*'2021 Revekting utgiftsbehov'!H11*'2021 Pensjon tjeneste'!H11/'2021 Lønnsgr pensjon tjeneste'!H11)</f>
        <v>2.0133255372918719E-2</v>
      </c>
      <c r="AG11" s="5">
        <f>IF('2021 Lønnsgr pensjon tjeneste'!H11&lt;100,0,C11)</f>
        <v>423144</v>
      </c>
      <c r="AH11" s="55">
        <f>'2021 Revekting utgiftsbehov'!H11*AG11/$AG$17</f>
        <v>7.8225472319578632E-2</v>
      </c>
      <c r="AI11" s="55">
        <f>'2021 Revekting utgiftsbehov'!H11/$AH$17</f>
        <v>0.9986205918587181</v>
      </c>
      <c r="AJ11" s="55">
        <f>IF(AG11=0,0,(AG11/$AG$17)*AI11*'2021 Pensjon tjeneste'!H11/'2021 Lønnsgr pensjon tjeneste'!H11)</f>
        <v>2.0133255359042219E-2</v>
      </c>
      <c r="AK11" s="5">
        <f>IF(AG11=0,0,'2021 Nto driftsutg landet'!$C$9*'2021 Lønnsand og pensjon landet'!$D$10*('2021 Pensjon tjeneste'!H11/'2021 Lønnsgr pensjon tjeneste'!H11-$AJ$17)*'2021 Revekting utgiftsbehov'!H11)</f>
        <v>12.986913404262621</v>
      </c>
      <c r="AL11" s="5">
        <f t="shared" si="18"/>
        <v>5495.3344855333025</v>
      </c>
      <c r="AM11" s="55">
        <f>IF('2021 Lønnsgr pensjon tjeneste'!K11&lt;100,0,(C11/$C$17)*'2021 Pensjon tjeneste'!K11/'2021 Lønnsgr pensjon tjeneste'!K11)</f>
        <v>1.7284593644198723E-2</v>
      </c>
      <c r="AN11" s="5">
        <f>IF('2021 Lønnsgr pensjon tjeneste'!K11&lt;100,0,C11)</f>
        <v>423144</v>
      </c>
      <c r="AO11" s="55">
        <f t="shared" si="3"/>
        <v>7.8333526169396456E-2</v>
      </c>
      <c r="AP11" s="55">
        <f t="shared" si="4"/>
        <v>0.99999999931076733</v>
      </c>
      <c r="AQ11" s="55">
        <f>IF(AN11=0,0,(AN11/$AN$17)*AP11*'2021 Pensjon tjeneste'!K11/'2021 Lønnsgr pensjon tjeneste'!K11)</f>
        <v>1.7284593632285617E-2</v>
      </c>
      <c r="AR11" s="5">
        <f>IF(AN11=0,0,'2021 Nto driftsutg landet'!$C$23*'2021 Lønnsand og pensjon landet'!$D$13*('2021 Pensjon tjeneste'!K11/'2021 Lønnsgr pensjon tjeneste'!K11-$AQ$17))</f>
        <v>-39.492402733291925</v>
      </c>
      <c r="AS11" s="5">
        <f t="shared" si="19"/>
        <v>-16710.973262176078</v>
      </c>
      <c r="AT11" s="55">
        <f>IF('2021 Lønnsgr pensjon tjeneste'!L11&lt;100,0,(C11/$C$17)*'2021 Pensjon tjeneste'!L11/'2021 Lønnsgr pensjon tjeneste'!L11)</f>
        <v>1.739954201903262E-2</v>
      </c>
      <c r="AU11" s="5">
        <f>IF('2021 Lønnsgr pensjon tjeneste'!L11&lt;100,0,C11)</f>
        <v>423144</v>
      </c>
      <c r="AV11" s="55">
        <f t="shared" si="5"/>
        <v>8.9921259608259488E-2</v>
      </c>
      <c r="AW11" s="55">
        <f t="shared" si="6"/>
        <v>1</v>
      </c>
      <c r="AX11" s="55">
        <f>IF(AU11=0,0,(AU11/$AU$17)*AW11*'2021 Pensjon tjeneste'!L11/'2021 Lønnsgr pensjon tjeneste'!L11)</f>
        <v>1.9973424042916497E-2</v>
      </c>
      <c r="AY11" s="5">
        <f>IF(AU11=0,0,'2021 Nto driftsutg landet'!$C$24*'2021 Lønnsand og pensjon landet'!$D$14*('2021 Pensjon tjeneste'!L11/'2021 Lønnsgr pensjon tjeneste'!L11-$AX$17))</f>
        <v>1.5990403049327833</v>
      </c>
      <c r="AZ11" s="5">
        <f t="shared" si="20"/>
        <v>676.62431079047769</v>
      </c>
      <c r="BA11" s="55">
        <f>IF('2021 Lønnsgr pensjon tjeneste'!M11&lt;100,0,(C11/$C$17)*'2021 Pensjon tjeneste'!M11/'2021 Lønnsgr pensjon tjeneste'!M11)</f>
        <v>1.6114574073839677E-2</v>
      </c>
      <c r="BB11" s="5">
        <f>IF('2021 Lønnsgr pensjon tjeneste'!M11&lt;100,0,C11)</f>
        <v>423144</v>
      </c>
      <c r="BC11" s="55">
        <f t="shared" si="7"/>
        <v>8.9921259608259488E-2</v>
      </c>
      <c r="BD11" s="55">
        <f t="shared" si="8"/>
        <v>1</v>
      </c>
      <c r="BE11" s="55">
        <f>IF(BB11=0,0,(BB11/$BB$17)*BD11*'2021 Pensjon tjeneste'!M11/'2021 Lønnsgr pensjon tjeneste'!M11)</f>
        <v>1.8498373169576286E-2</v>
      </c>
      <c r="BF11" s="5">
        <f>IF(BB11=0,0,'2021 Nto driftsutg landet'!$C$25*'2021 Lønnsand og pensjon landet'!$D$15*('2021 Pensjon tjeneste'!M11/'2021 Lønnsgr pensjon tjeneste'!M11-$BE$17))</f>
        <v>0.11902003095515643</v>
      </c>
      <c r="BG11" s="5">
        <f t="shared" si="21"/>
        <v>50.362611978488715</v>
      </c>
      <c r="BH11" s="55">
        <f>IF('2021 Lønnsgr pensjon tjeneste'!N11&lt;100,0,(C11/$C$17)*'2021 Pensjon tjeneste'!N11/'2021 Lønnsgr pensjon tjeneste'!N11)</f>
        <v>1.9484890101230844E-2</v>
      </c>
      <c r="BI11" s="5">
        <f>IF('2021 Lønnsgr pensjon tjeneste'!N11&lt;100,0,C11)</f>
        <v>423144</v>
      </c>
      <c r="BJ11" s="55">
        <f t="shared" si="9"/>
        <v>7.8333526169396456E-2</v>
      </c>
      <c r="BK11" s="55">
        <f t="shared" si="10"/>
        <v>1</v>
      </c>
      <c r="BL11" s="55">
        <f>IF(BI11=0,0,(BI11/$BI$17)*BK11*'2021 Pensjon tjeneste'!N11/'2021 Lønnsgr pensjon tjeneste'!N11)</f>
        <v>1.9484890101230844E-2</v>
      </c>
      <c r="BM11" s="5">
        <f>IF(BI11=0,0,'2021 Nto driftsutg landet'!$C$26*'2021 Lønnsand og pensjon landet'!$D$16*('2021 Pensjon tjeneste'!N11/'2021 Lønnsgr pensjon tjeneste'!N11-$BL$17))</f>
        <v>1.4772740235156037</v>
      </c>
      <c r="BN11" s="5">
        <f t="shared" si="22"/>
        <v>625.09963940648663</v>
      </c>
      <c r="BO11" s="55">
        <f>IF('2021 Lønnsgr pensjon tjeneste'!O11&lt;100,0,(C11/$C$17)*'2021 Pensjon tjeneste'!O11/'2021 Lønnsgr pensjon tjeneste'!O11)</f>
        <v>1.3394693868792901E-2</v>
      </c>
      <c r="BP11" s="5">
        <f>IF('2021 Lønnsgr pensjon tjeneste'!O11&lt;100,0,C11)</f>
        <v>423144</v>
      </c>
      <c r="BQ11" s="55">
        <f t="shared" si="11"/>
        <v>1</v>
      </c>
      <c r="BR11" s="55">
        <f t="shared" si="12"/>
        <v>1</v>
      </c>
      <c r="BS11" s="55">
        <f>IF(BP11=0,0,(BP11/$BP$17)*BR11*'2021 Pensjon tjeneste'!O11/'2021 Lønnsgr pensjon tjeneste'!O11)</f>
        <v>0.17099567099567101</v>
      </c>
      <c r="BT11" s="5">
        <f>IF(BP11=0,0,'2021 Nto driftsutg landet'!$C$27*'2021 Lønnsand og pensjon landet'!$D$17*('2021 Pensjon tjeneste'!O11/'2021 Lønnsgr pensjon tjeneste'!O11-$BS$17))</f>
        <v>0</v>
      </c>
      <c r="BU11" s="5">
        <f t="shared" si="23"/>
        <v>0</v>
      </c>
      <c r="BV11" s="55">
        <f>IF('2021 Lønnsgr pensjon tjeneste'!P11&lt;100,0,(C11/$C$17)*'2021 Pensjon tjeneste'!P11/'2021 Lønnsgr pensjon tjeneste'!P11)</f>
        <v>1.3288723189451184E-2</v>
      </c>
      <c r="BW11" s="5">
        <f>IF('2021 Lønnsgr pensjon tjeneste'!P11&lt;100,0,C11)</f>
        <v>423144</v>
      </c>
      <c r="BX11" s="55">
        <f t="shared" si="13"/>
        <v>0.13879348489584684</v>
      </c>
      <c r="BY11" s="55">
        <f t="shared" si="14"/>
        <v>1</v>
      </c>
      <c r="BZ11" s="55">
        <f>IF(BW11=0,0,(BW11/$BW$17)*BY11*'2021 Pensjon tjeneste'!P11/'2021 Lønnsgr pensjon tjeneste'!P11)</f>
        <v>2.3545323330545445E-2</v>
      </c>
      <c r="CA11" s="5">
        <f>IF(BW11=0,0,'2021 Nto driftsutg landet'!$C$28*'2021 Lønnsand og pensjon landet'!$D$18*('2021 Pensjon tjeneste'!P11/'2021 Lønnsgr pensjon tjeneste'!P11-$BZ$17))</f>
        <v>1.4873996722270457E-3</v>
      </c>
      <c r="CB11" s="5">
        <f t="shared" si="24"/>
        <v>0.62938424690484096</v>
      </c>
      <c r="CC11" s="5"/>
      <c r="CD11" s="5"/>
      <c r="CE11" s="5"/>
    </row>
    <row r="12" spans="1:83" x14ac:dyDescent="0.3">
      <c r="A12" s="41">
        <v>4200</v>
      </c>
      <c r="B12" s="42" t="s">
        <v>406</v>
      </c>
      <c r="C12" s="42">
        <f>+'2021 Nto driftsutg'!W12</f>
        <v>309508</v>
      </c>
      <c r="D12" s="55">
        <f>IF('2021 Lønnsgr pensjon tjeneste'!D12&lt;100,0,(C12/$C$17)*'2021 Revekting utgiftsbehov'!D12*'2021 Pensjon tjeneste'!D12/'2021 Lønnsgr pensjon tjeneste'!D12)</f>
        <v>6.7813399791183315E-3</v>
      </c>
      <c r="E12" s="5">
        <f>IF('2021 Lønnsgr pensjon tjeneste'!D12&lt;100,0,C12)</f>
        <v>309508</v>
      </c>
      <c r="F12" s="55">
        <f>'2021 Revekting utgiftsbehov'!D12*E12/$E$17</f>
        <v>6.0179007367751322E-2</v>
      </c>
      <c r="G12" s="55">
        <f>'2021 Revekting utgiftsbehov'!D12/$F$17</f>
        <v>1.0503006917594988</v>
      </c>
      <c r="H12" s="55">
        <f>IF(E12=0,0,(E12/$E$17)*G12*'2021 Pensjon tjeneste'!D12/'2021 Lønnsgr pensjon tjeneste'!D12)</f>
        <v>6.7813399797607534E-3</v>
      </c>
      <c r="I12" s="5">
        <f>IF(E12=0,0,'2021 Nto driftsutg landet'!$C$5*'2021 Lønnsand og pensjon landet'!$D$6*('2021 Pensjon tjeneste'!D12/'2021 Lønnsgr pensjon tjeneste'!D12-$H$17)*'2021 Revekting utgiftsbehov'!D12)</f>
        <v>-5.4347792147100158</v>
      </c>
      <c r="J12" s="5">
        <f t="shared" si="25"/>
        <v>-1682.1076451864676</v>
      </c>
      <c r="K12" s="55">
        <f>IF('2021 Lønnsgr pensjon tjeneste'!E12&lt;100,0,(C12/$C$17)*'2021 Revekting utgiftsbehov'!E12*'2021 Pensjon tjeneste'!E12/'2021 Lønnsgr pensjon tjeneste'!E12)</f>
        <v>2.149093091688227E-2</v>
      </c>
      <c r="L12" s="5">
        <f>IF('2021 Lønnsgr pensjon tjeneste'!E12&lt;100,0,C12)</f>
        <v>309508</v>
      </c>
      <c r="M12" s="55">
        <f>'2021 Revekting utgiftsbehov'!E12*L12/$L$17</f>
        <v>7.6648688833172426E-2</v>
      </c>
      <c r="N12" s="55">
        <f>'2021 Revekting utgiftsbehov'!E12/$M$17</f>
        <v>1.0522408445717317</v>
      </c>
      <c r="O12" s="55">
        <f>IF(L12=0,0,(L12/$L$17)*N12*'2021 Pensjon tjeneste'!E12/'2021 Lønnsgr pensjon tjeneste'!E12)</f>
        <v>2.2275447239239764E-2</v>
      </c>
      <c r="P12" s="5">
        <f>IF(L12=0,0,'2021 Nto driftsutg landet'!$C$6*'2021 Lønnsand og pensjon landet'!$D$7*('2021 Pensjon tjeneste'!E12/'2021 Lønnsgr pensjon tjeneste'!E12-$O$17)*'2021 Revekting utgiftsbehov'!E12)</f>
        <v>-1.9071096340705562</v>
      </c>
      <c r="Q12" s="5">
        <f t="shared" si="15"/>
        <v>-590.2656886219097</v>
      </c>
      <c r="R12" s="55">
        <f>IF('2021 Lønnsgr pensjon tjeneste'!F12&lt;100,0,(C12/$C$17)*'2021 Revekting utgiftsbehov'!F12*'2021 Pensjon tjeneste'!F12/'2021 Lønnsgr pensjon tjeneste'!F12)</f>
        <v>9.6067805775185908E-3</v>
      </c>
      <c r="S12" s="5">
        <f>IF('2021 Lønnsgr pensjon tjeneste'!F12&lt;100,0,C12)</f>
        <v>309508</v>
      </c>
      <c r="T12" s="55">
        <f>'2021 Revekting utgiftsbehov'!F12*S12/$S$17</f>
        <v>4.6625742868086975E-2</v>
      </c>
      <c r="U12" s="55">
        <f>'2021 Revekting utgiftsbehov'!F12/$T$17</f>
        <v>0.8137563589711958</v>
      </c>
      <c r="V12" s="55">
        <f>IF(S12=0,0,(S12/$S$17)*U12*'2021 Pensjon tjeneste'!F12/'2021 Lønnsgr pensjon tjeneste'!F12)</f>
        <v>9.6067805654675119E-3</v>
      </c>
      <c r="W12" s="5">
        <f>IF(S12=0,0,'2021 Nto driftsutg landet'!$C$7*'2021 Lønnsand og pensjon landet'!$D$8*('2021 Pensjon tjeneste'!F12/'2021 Lønnsgr pensjon tjeneste'!F12-$V$17)*'2021 Revekting utgiftsbehov'!F12)</f>
        <v>-0.33347168675655087</v>
      </c>
      <c r="X12" s="5">
        <f t="shared" si="16"/>
        <v>-103.21215482464653</v>
      </c>
      <c r="Y12" s="55">
        <f>IF('2021 Lønnsgr pensjon tjeneste'!G12&lt;100,0,(C12/$C$17)*'2021 Revekting utgiftsbehov'!G12*'2021 Pensjon tjeneste'!G12/'2021 Lønnsgr pensjon tjeneste'!G12)</f>
        <v>2.7852828939733112E-3</v>
      </c>
      <c r="Z12" s="5">
        <f>IF('2021 Lønnsgr pensjon tjeneste'!G12&lt;100,0,C12)</f>
        <v>309508</v>
      </c>
      <c r="AA12" s="55">
        <f>'2021 Revekting utgiftsbehov'!G12*Z12/$Z$17</f>
        <v>3.086391953240062E-2</v>
      </c>
      <c r="AB12" s="55">
        <f>'2021 Revekting utgiftsbehov'!G12/$AA$17</f>
        <v>0.14119805681232675</v>
      </c>
      <c r="AC12" s="55">
        <f>IF(Z12=0,0,(Z12/$Z$17)*AB12*'2021 Pensjon tjeneste'!G12/'2021 Lønnsgr pensjon tjeneste'!G12)</f>
        <v>3.7523732570955912E-3</v>
      </c>
      <c r="AD12" s="5">
        <f>IF(Z12=0,0,'2021 Nto driftsutg landet'!$C$8*'2021 Lønnsand og pensjon landet'!$D$9*('2021 Pensjon tjeneste'!G12/'2021 Lønnsgr pensjon tjeneste'!G12-$AC$17)*'2021 Revekting utgiftsbehov'!G12)</f>
        <v>8.1975101506083416E-3</v>
      </c>
      <c r="AE12" s="5">
        <f t="shared" si="17"/>
        <v>2.5371949716944866</v>
      </c>
      <c r="AF12" s="55">
        <f>IF('2021 Lønnsgr pensjon tjeneste'!H12&lt;100,0,(C12/$C$17)*'2021 Revekting utgiftsbehov'!H12*'2021 Pensjon tjeneste'!H12/'2021 Lønnsgr pensjon tjeneste'!H12)</f>
        <v>1.3515942874856633E-2</v>
      </c>
      <c r="AG12" s="5">
        <f>IF('2021 Lønnsgr pensjon tjeneste'!H12&lt;100,0,C12)</f>
        <v>309508</v>
      </c>
      <c r="AH12" s="55">
        <f>'2021 Revekting utgiftsbehov'!H12*AG12/$AG$17</f>
        <v>6.0086267547513679E-2</v>
      </c>
      <c r="AI12" s="55">
        <f>'2021 Revekting utgiftsbehov'!H12/$AH$17</f>
        <v>1.048682108285214</v>
      </c>
      <c r="AJ12" s="55">
        <f>IF(AG12=0,0,(AG12/$AG$17)*AI12*'2021 Pensjon tjeneste'!H12/'2021 Lønnsgr pensjon tjeneste'!H12)</f>
        <v>1.3515942865541005E-2</v>
      </c>
      <c r="AK12" s="5">
        <f>IF(AG12=0,0,'2021 Nto driftsutg landet'!$C$9*'2021 Lønnsand og pensjon landet'!$D$10*('2021 Pensjon tjeneste'!H12/'2021 Lønnsgr pensjon tjeneste'!H12-$AJ$17)*'2021 Revekting utgiftsbehov'!H12)</f>
        <v>4.6022228088044219</v>
      </c>
      <c r="AL12" s="5">
        <f t="shared" si="18"/>
        <v>1424.424777107439</v>
      </c>
      <c r="AM12" s="55">
        <f>IF('2021 Lønnsgr pensjon tjeneste'!K12&lt;100,0,(C12/$C$17)*'2021 Pensjon tjeneste'!K12/'2021 Lønnsgr pensjon tjeneste'!K12)</f>
        <v>2.0498725557838309E-2</v>
      </c>
      <c r="AN12" s="5">
        <f>IF('2021 Lønnsgr pensjon tjeneste'!K12&lt;100,0,C12)</f>
        <v>309508</v>
      </c>
      <c r="AO12" s="55">
        <f t="shared" si="3"/>
        <v>5.7296932055370176E-2</v>
      </c>
      <c r="AP12" s="55">
        <f t="shared" si="4"/>
        <v>0.99999999931076733</v>
      </c>
      <c r="AQ12" s="55">
        <f>IF(AN12=0,0,(AN12/$AN$17)*AP12*'2021 Pensjon tjeneste'!K12/'2021 Lønnsgr pensjon tjeneste'!K12)</f>
        <v>2.0498725543709916E-2</v>
      </c>
      <c r="AR12" s="5">
        <f>IF(AN12=0,0,'2021 Nto driftsutg landet'!$C$23*'2021 Lønnsand og pensjon landet'!$D$13*('2021 Pensjon tjeneste'!K12/'2021 Lønnsgr pensjon tjeneste'!K12-$AQ$17))</f>
        <v>4.24956320063652</v>
      </c>
      <c r="AS12" s="5">
        <f t="shared" si="19"/>
        <v>1315.2738071026081</v>
      </c>
      <c r="AT12" s="55">
        <f>IF('2021 Lønnsgr pensjon tjeneste'!L12&lt;100,0,(C12/$C$17)*'2021 Pensjon tjeneste'!L12/'2021 Lønnsgr pensjon tjeneste'!L12)</f>
        <v>1.2076855491796455E-2</v>
      </c>
      <c r="AU12" s="5">
        <f>IF('2021 Lønnsgr pensjon tjeneste'!L12&lt;100,0,C12)</f>
        <v>309508</v>
      </c>
      <c r="AV12" s="55">
        <f t="shared" si="5"/>
        <v>6.5772761090392817E-2</v>
      </c>
      <c r="AW12" s="55">
        <f t="shared" si="6"/>
        <v>1</v>
      </c>
      <c r="AX12" s="55">
        <f>IF(AU12=0,0,(AU12/$AU$17)*AW12*'2021 Pensjon tjeneste'!L12/'2021 Lønnsgr pensjon tjeneste'!L12)</f>
        <v>1.386336235625164E-2</v>
      </c>
      <c r="AY12" s="5">
        <f>IF(AU12=0,0,'2021 Nto driftsutg landet'!$C$24*'2021 Lønnsand og pensjon landet'!$D$14*('2021 Pensjon tjeneste'!L12/'2021 Lønnsgr pensjon tjeneste'!L12-$AX$17))</f>
        <v>1.1064777500011382</v>
      </c>
      <c r="AZ12" s="5">
        <f t="shared" si="20"/>
        <v>342.46371544735229</v>
      </c>
      <c r="BA12" s="55">
        <f>IF('2021 Lønnsgr pensjon tjeneste'!M12&lt;100,0,(C12/$C$17)*'2021 Pensjon tjeneste'!M12/'2021 Lønnsgr pensjon tjeneste'!M12)</f>
        <v>1.2405123553252706E-2</v>
      </c>
      <c r="BB12" s="5">
        <f>IF('2021 Lønnsgr pensjon tjeneste'!M12&lt;100,0,C12)</f>
        <v>309508</v>
      </c>
      <c r="BC12" s="55">
        <f t="shared" si="7"/>
        <v>6.5772761090392817E-2</v>
      </c>
      <c r="BD12" s="55">
        <f t="shared" si="8"/>
        <v>1</v>
      </c>
      <c r="BE12" s="55">
        <f>IF(BB12=0,0,(BB12/$BB$17)*BD12*'2021 Pensjon tjeneste'!M12/'2021 Lønnsgr pensjon tjeneste'!M12)</f>
        <v>1.4240190504029313E-2</v>
      </c>
      <c r="BF12" s="5">
        <f>IF(BB12=0,0,'2021 Nto driftsutg landet'!$C$25*'2021 Lønnsand og pensjon landet'!$D$15*('2021 Pensjon tjeneste'!M12/'2021 Lønnsgr pensjon tjeneste'!M12-$BE$17))</f>
        <v>0.17069074489650549</v>
      </c>
      <c r="BG12" s="5">
        <f t="shared" si="21"/>
        <v>52.830151071427622</v>
      </c>
      <c r="BH12" s="55">
        <f>IF('2021 Lønnsgr pensjon tjeneste'!N12&lt;100,0,(C12/$C$17)*'2021 Pensjon tjeneste'!N12/'2021 Lønnsgr pensjon tjeneste'!N12)</f>
        <v>1.1702129468449302E-2</v>
      </c>
      <c r="BI12" s="5">
        <f>IF('2021 Lønnsgr pensjon tjeneste'!N12&lt;100,0,C12)</f>
        <v>309508</v>
      </c>
      <c r="BJ12" s="55">
        <f t="shared" si="9"/>
        <v>5.7296932055370176E-2</v>
      </c>
      <c r="BK12" s="55">
        <f t="shared" si="10"/>
        <v>1</v>
      </c>
      <c r="BL12" s="55">
        <f>IF(BI12=0,0,(BI12/$BI$17)*BK12*'2021 Pensjon tjeneste'!N12/'2021 Lønnsgr pensjon tjeneste'!N12)</f>
        <v>1.1702129468449302E-2</v>
      </c>
      <c r="BM12" s="5">
        <f>IF(BI12=0,0,'2021 Nto driftsutg landet'!$C$26*'2021 Lønnsand og pensjon landet'!$D$16*('2021 Pensjon tjeneste'!N12/'2021 Lønnsgr pensjon tjeneste'!N12-$BL$17))</f>
        <v>0.37636574217989477</v>
      </c>
      <c r="BN12" s="5">
        <f t="shared" si="22"/>
        <v>116.48820813061488</v>
      </c>
      <c r="BO12" s="55">
        <f>IF('2021 Lønnsgr pensjon tjeneste'!O12&lt;100,0,(C12/$C$17)*'2021 Pensjon tjeneste'!O12/'2021 Lønnsgr pensjon tjeneste'!O12)</f>
        <v>0</v>
      </c>
      <c r="BP12" s="5">
        <f>IF('2021 Lønnsgr pensjon tjeneste'!O12&lt;100,0,C12)</f>
        <v>0</v>
      </c>
      <c r="BQ12" s="55">
        <f t="shared" si="11"/>
        <v>0</v>
      </c>
      <c r="BR12" s="55">
        <f t="shared" si="12"/>
        <v>1</v>
      </c>
      <c r="BS12" s="55">
        <f>IF(BP12=0,0,(BP12/$BP$17)*BR12*'2021 Pensjon tjeneste'!O12/'2021 Lønnsgr pensjon tjeneste'!O12)</f>
        <v>0</v>
      </c>
      <c r="BT12" s="5">
        <f>IF(BP12=0,0,'2021 Nto driftsutg landet'!$C$27*'2021 Lønnsand og pensjon landet'!$D$17*('2021 Pensjon tjeneste'!O12/'2021 Lønnsgr pensjon tjeneste'!O12-$BS$17))</f>
        <v>0</v>
      </c>
      <c r="BU12" s="5">
        <f t="shared" si="23"/>
        <v>0</v>
      </c>
      <c r="BV12" s="55">
        <f>IF('2021 Lønnsgr pensjon tjeneste'!P12&lt;100,0,(C12/$C$17)*'2021 Pensjon tjeneste'!P12/'2021 Lønnsgr pensjon tjeneste'!P12)</f>
        <v>0</v>
      </c>
      <c r="BW12" s="5">
        <f>IF('2021 Lønnsgr pensjon tjeneste'!P12&lt;100,0,C12)</f>
        <v>0</v>
      </c>
      <c r="BX12" s="55">
        <f t="shared" si="13"/>
        <v>0</v>
      </c>
      <c r="BY12" s="55">
        <f t="shared" si="14"/>
        <v>1</v>
      </c>
      <c r="BZ12" s="55">
        <f>IF(BW12=0,0,(BW12/$BW$17)*BY12*'2021 Pensjon tjeneste'!P12/'2021 Lønnsgr pensjon tjeneste'!P12)</f>
        <v>0</v>
      </c>
      <c r="CA12" s="5">
        <f>IF(BW12=0,0,'2021 Nto driftsutg landet'!$C$28*'2021 Lønnsand og pensjon landet'!$D$18*('2021 Pensjon tjeneste'!P12/'2021 Lønnsgr pensjon tjeneste'!P12-$BZ$17))</f>
        <v>0</v>
      </c>
      <c r="CB12" s="5">
        <f t="shared" si="24"/>
        <v>0</v>
      </c>
      <c r="CC12" s="5"/>
      <c r="CD12" s="5"/>
      <c r="CE12" s="5"/>
    </row>
    <row r="13" spans="1:83" x14ac:dyDescent="0.3">
      <c r="A13" s="41">
        <v>4600</v>
      </c>
      <c r="B13" s="42" t="s">
        <v>407</v>
      </c>
      <c r="C13" s="42">
        <f>+'2021 Nto driftsutg'!W13</f>
        <v>639102</v>
      </c>
      <c r="D13" s="55">
        <f>IF('2021 Lønnsgr pensjon tjeneste'!D13&lt;100,0,(C13/$C$17)*'2021 Revekting utgiftsbehov'!D13*'2021 Pensjon tjeneste'!D13/'2021 Lønnsgr pensjon tjeneste'!D13)</f>
        <v>1.2466488942008167E-2</v>
      </c>
      <c r="E13" s="5">
        <f>IF('2021 Lønnsgr pensjon tjeneste'!D13&lt;100,0,C13)</f>
        <v>639102</v>
      </c>
      <c r="F13" s="55">
        <f>'2021 Revekting utgiftsbehov'!D13*E13/$E$17</f>
        <v>0.12573173284162306</v>
      </c>
      <c r="G13" s="55">
        <f>'2021 Revekting utgiftsbehov'!D13/$F$17</f>
        <v>1.0627111444206745</v>
      </c>
      <c r="H13" s="55">
        <f>IF(E13=0,0,(E13/$E$17)*G13*'2021 Pensjon tjeneste'!D13/'2021 Lønnsgr pensjon tjeneste'!D13)</f>
        <v>1.2466488943189169E-2</v>
      </c>
      <c r="I13" s="5">
        <f>IF(E13=0,0,'2021 Nto driftsutg landet'!$C$5*'2021 Lønnsand og pensjon landet'!$D$6*('2021 Pensjon tjeneste'!D13/'2021 Lønnsgr pensjon tjeneste'!D13-$H$17)*'2021 Revekting utgiftsbehov'!D13)</f>
        <v>-54.583068481508228</v>
      </c>
      <c r="J13" s="5">
        <f t="shared" si="25"/>
        <v>-34884.148232668871</v>
      </c>
      <c r="K13" s="55">
        <f>IF('2021 Lønnsgr pensjon tjeneste'!E13&lt;100,0,(C13/$C$17)*'2021 Revekting utgiftsbehov'!E13*'2021 Pensjon tjeneste'!E13/'2021 Lønnsgr pensjon tjeneste'!E13)</f>
        <v>5.2197095409497213E-2</v>
      </c>
      <c r="L13" s="5">
        <f>IF('2021 Lønnsgr pensjon tjeneste'!E13&lt;100,0,C13)</f>
        <v>639102</v>
      </c>
      <c r="M13" s="55">
        <f>'2021 Revekting utgiftsbehov'!E13*L13/$L$17</f>
        <v>0.16021624310950314</v>
      </c>
      <c r="N13" s="55">
        <f>'2021 Revekting utgiftsbehov'!E13/$M$17</f>
        <v>1.0651693755715832</v>
      </c>
      <c r="O13" s="55">
        <f>IF(L13=0,0,(L13/$L$17)*N13*'2021 Pensjon tjeneste'!E13/'2021 Lønnsgr pensjon tjeneste'!E13)</f>
        <v>5.4102525820435537E-2</v>
      </c>
      <c r="P13" s="5">
        <f>IF(L13=0,0,'2021 Nto driftsutg landet'!$C$6*'2021 Lønnsand og pensjon landet'!$D$7*('2021 Pensjon tjeneste'!E13/'2021 Lønnsgr pensjon tjeneste'!E13-$O$17)*'2021 Revekting utgiftsbehov'!E13)</f>
        <v>4.6678186881542869</v>
      </c>
      <c r="Q13" s="5">
        <f t="shared" si="15"/>
        <v>2983.2122592367809</v>
      </c>
      <c r="R13" s="55">
        <f>IF('2021 Lønnsgr pensjon tjeneste'!F13&lt;100,0,(C13/$C$17)*'2021 Revekting utgiftsbehov'!F13*'2021 Pensjon tjeneste'!F13/'2021 Lønnsgr pensjon tjeneste'!F13)</f>
        <v>1.1333989735743845E-2</v>
      </c>
      <c r="S13" s="5">
        <f>IF('2021 Lønnsgr pensjon tjeneste'!F13&lt;100,0,C13)</f>
        <v>639102</v>
      </c>
      <c r="T13" s="55">
        <f>'2021 Revekting utgiftsbehov'!F13*S13/$S$17</f>
        <v>0.11835702400825136</v>
      </c>
      <c r="U13" s="55">
        <f>'2021 Revekting utgiftsbehov'!F13/$T$17</f>
        <v>1.0003785474170903</v>
      </c>
      <c r="V13" s="55">
        <f>IF(S13=0,0,(S13/$S$17)*U13*'2021 Pensjon tjeneste'!F13/'2021 Lønnsgr pensjon tjeneste'!F13)</f>
        <v>1.1333989721526095E-2</v>
      </c>
      <c r="W13" s="5">
        <f>IF(S13=0,0,'2021 Nto driftsutg landet'!$C$7*'2021 Lønnsand og pensjon landet'!$D$8*('2021 Pensjon tjeneste'!F13/'2021 Lønnsgr pensjon tjeneste'!F13-$V$17)*'2021 Revekting utgiftsbehov'!F13)</f>
        <v>-4.2269064603648063</v>
      </c>
      <c r="X13" s="5">
        <f t="shared" si="16"/>
        <v>-2701.4243726320688</v>
      </c>
      <c r="Y13" s="55">
        <f>IF('2021 Lønnsgr pensjon tjeneste'!G13&lt;100,0,(C13/$C$17)*'2021 Revekting utgiftsbehov'!G13*'2021 Pensjon tjeneste'!G13/'2021 Lønnsgr pensjon tjeneste'!G13)</f>
        <v>0</v>
      </c>
      <c r="Z13" s="5">
        <f>IF('2021 Lønnsgr pensjon tjeneste'!G13&lt;100,0,C13)</f>
        <v>0</v>
      </c>
      <c r="AA13" s="55">
        <f>'2021 Revekting utgiftsbehov'!G13*Z13/$Z$17</f>
        <v>0</v>
      </c>
      <c r="AB13" s="55">
        <f>'2021 Revekting utgiftsbehov'!G13/$AA$17</f>
        <v>1.1558749755762698</v>
      </c>
      <c r="AC13" s="55">
        <f>IF(Z13=0,0,(Z13/$Z$17)*AB13*'2021 Pensjon tjeneste'!G13/'2021 Lønnsgr pensjon tjeneste'!G13)</f>
        <v>0</v>
      </c>
      <c r="AD13" s="5">
        <f>IF(Z13=0,0,'2021 Nto driftsutg landet'!$C$8*'2021 Lønnsand og pensjon landet'!$D$9*('2021 Pensjon tjeneste'!G13/'2021 Lønnsgr pensjon tjeneste'!G13-$AC$17)*'2021 Revekting utgiftsbehov'!G13)</f>
        <v>0</v>
      </c>
      <c r="AE13" s="5">
        <f t="shared" si="17"/>
        <v>0</v>
      </c>
      <c r="AF13" s="55">
        <f>IF('2021 Lønnsgr pensjon tjeneste'!H13&lt;100,0,(C13/$C$17)*'2021 Revekting utgiftsbehov'!H13*'2021 Pensjon tjeneste'!H13/'2021 Lønnsgr pensjon tjeneste'!H13)</f>
        <v>1.2977650707899479E-2</v>
      </c>
      <c r="AG13" s="5">
        <f>IF('2021 Lønnsgr pensjon tjeneste'!H13&lt;100,0,C13)</f>
        <v>639102</v>
      </c>
      <c r="AH13" s="55">
        <f>'2021 Revekting utgiftsbehov'!H13*AG13/$AG$17</f>
        <v>0.12154839856715724</v>
      </c>
      <c r="AI13" s="55">
        <f>'2021 Revekting utgiftsbehov'!H13/$AH$17</f>
        <v>1.0273527193429148</v>
      </c>
      <c r="AJ13" s="55">
        <f>IF(AG13=0,0,(AG13/$AG$17)*AI13*'2021 Pensjon tjeneste'!H13/'2021 Lønnsgr pensjon tjeneste'!H13)</f>
        <v>1.2977650698954856E-2</v>
      </c>
      <c r="AK13" s="5">
        <f>IF(AG13=0,0,'2021 Nto driftsutg landet'!$C$9*'2021 Lønnsand og pensjon landet'!$D$10*('2021 Pensjon tjeneste'!H13/'2021 Lønnsgr pensjon tjeneste'!H13-$AJ$17)*'2021 Revekting utgiftsbehov'!H13)</f>
        <v>-27.744979423779768</v>
      </c>
      <c r="AL13" s="5">
        <f t="shared" si="18"/>
        <v>-17731.871839696498</v>
      </c>
      <c r="AM13" s="55">
        <f>IF('2021 Lønnsgr pensjon tjeneste'!K13&lt;100,0,(C13/$C$17)*'2021 Pensjon tjeneste'!K13/'2021 Lønnsgr pensjon tjeneste'!K13)</f>
        <v>5.6400508787944727E-3</v>
      </c>
      <c r="AN13" s="5">
        <f>IF('2021 Lønnsgr pensjon tjeneste'!K13&lt;100,0,C13)</f>
        <v>639102</v>
      </c>
      <c r="AO13" s="55">
        <f t="shared" si="3"/>
        <v>0.11831223706802793</v>
      </c>
      <c r="AP13" s="55">
        <f t="shared" si="4"/>
        <v>0.99999999931076733</v>
      </c>
      <c r="AQ13" s="55">
        <f>IF(AN13=0,0,(AN13/$AN$17)*AP13*'2021 Pensjon tjeneste'!K13/'2021 Lønnsgr pensjon tjeneste'!K13)</f>
        <v>5.6400508749071647E-3</v>
      </c>
      <c r="AR13" s="5">
        <f>IF(AN13=0,0,'2021 Nto driftsutg landet'!$C$23*'2021 Lønnsand og pensjon landet'!$D$13*('2021 Pensjon tjeneste'!K13/'2021 Lønnsgr pensjon tjeneste'!K13-$AQ$17))</f>
        <v>-94.679168403339688</v>
      </c>
      <c r="AS13" s="5">
        <f t="shared" si="19"/>
        <v>-60509.645884911202</v>
      </c>
      <c r="AT13" s="55">
        <f>IF('2021 Lønnsgr pensjon tjeneste'!L13&lt;100,0,(C13/$C$17)*'2021 Pensjon tjeneste'!L13/'2021 Lønnsgr pensjon tjeneste'!L13)</f>
        <v>1.0866637672866393E-2</v>
      </c>
      <c r="AU13" s="5">
        <f>IF('2021 Lønnsgr pensjon tjeneste'!L13&lt;100,0,C13)</f>
        <v>639102</v>
      </c>
      <c r="AV13" s="55">
        <f t="shared" si="5"/>
        <v>0.13581394716256842</v>
      </c>
      <c r="AW13" s="55">
        <f t="shared" si="6"/>
        <v>1</v>
      </c>
      <c r="AX13" s="55">
        <f>IF(AU13=0,0,(AU13/$AU$17)*AW13*'2021 Pensjon tjeneste'!L13/'2021 Lønnsgr pensjon tjeneste'!L13)</f>
        <v>1.2474119256902085E-2</v>
      </c>
      <c r="AY13" s="5">
        <f>IF(AU13=0,0,'2021 Nto driftsutg landet'!$C$24*'2021 Lønnsand og pensjon landet'!$D$14*('2021 Pensjon tjeneste'!L13/'2021 Lønnsgr pensjon tjeneste'!L13-$AX$17))</f>
        <v>-4.0572266981417666</v>
      </c>
      <c r="AZ13" s="5">
        <f t="shared" si="20"/>
        <v>-2592.9816972357994</v>
      </c>
      <c r="BA13" s="55">
        <f>IF('2021 Lønnsgr pensjon tjeneste'!M13&lt;100,0,(C13/$C$17)*'2021 Pensjon tjeneste'!M13/'2021 Lønnsgr pensjon tjeneste'!M13)</f>
        <v>1.1289608628883943E-2</v>
      </c>
      <c r="BB13" s="5">
        <f>IF('2021 Lønnsgr pensjon tjeneste'!M13&lt;100,0,C13)</f>
        <v>639102</v>
      </c>
      <c r="BC13" s="55">
        <f t="shared" si="7"/>
        <v>0.13581394716256842</v>
      </c>
      <c r="BD13" s="55">
        <f t="shared" si="8"/>
        <v>1</v>
      </c>
      <c r="BE13" s="55">
        <f>IF(BB13=0,0,(BB13/$BB$17)*BD13*'2021 Pensjon tjeneste'!M13/'2021 Lønnsgr pensjon tjeneste'!M13)</f>
        <v>1.2959659523027205E-2</v>
      </c>
      <c r="BF13" s="5">
        <f>IF(BB13=0,0,'2021 Nto driftsutg landet'!$C$25*'2021 Lønnsand og pensjon landet'!$D$15*('2021 Pensjon tjeneste'!M13/'2021 Lønnsgr pensjon tjeneste'!M13-$BE$17))</f>
        <v>-0.40923429401959893</v>
      </c>
      <c r="BG13" s="5">
        <f t="shared" si="21"/>
        <v>-261.54245577651375</v>
      </c>
      <c r="BH13" s="55">
        <f>IF('2021 Lønnsgr pensjon tjeneste'!N13&lt;100,0,(C13/$C$17)*'2021 Pensjon tjeneste'!N13/'2021 Lønnsgr pensjon tjeneste'!N13)</f>
        <v>1.1540637091053189E-2</v>
      </c>
      <c r="BI13" s="5">
        <f>IF('2021 Lønnsgr pensjon tjeneste'!N13&lt;100,0,C13)</f>
        <v>639102</v>
      </c>
      <c r="BJ13" s="55">
        <f t="shared" si="9"/>
        <v>0.11831223706802793</v>
      </c>
      <c r="BK13" s="55">
        <f t="shared" si="10"/>
        <v>1</v>
      </c>
      <c r="BL13" s="55">
        <f>IF(BI13=0,0,(BI13/$BI$17)*BK13*'2021 Pensjon tjeneste'!N13/'2021 Lønnsgr pensjon tjeneste'!N13)</f>
        <v>1.1540637091053189E-2</v>
      </c>
      <c r="BM13" s="5">
        <f>IF(BI13=0,0,'2021 Nto driftsutg landet'!$C$26*'2021 Lønnsand og pensjon landet'!$D$16*('2021 Pensjon tjeneste'!N13/'2021 Lønnsgr pensjon tjeneste'!N13-$BL$17))</f>
        <v>-2.2627981887952959</v>
      </c>
      <c r="BN13" s="5">
        <f t="shared" si="22"/>
        <v>-1446.1588480554512</v>
      </c>
      <c r="BO13" s="55">
        <f>IF('2021 Lønnsgr pensjon tjeneste'!O13&lt;100,0,(C13/$C$17)*'2021 Pensjon tjeneste'!O13/'2021 Lønnsgr pensjon tjeneste'!O13)</f>
        <v>0</v>
      </c>
      <c r="BP13" s="5">
        <f>IF('2021 Lønnsgr pensjon tjeneste'!O13&lt;100,0,C13)</f>
        <v>0</v>
      </c>
      <c r="BQ13" s="55">
        <f t="shared" si="11"/>
        <v>0</v>
      </c>
      <c r="BR13" s="55">
        <f t="shared" si="12"/>
        <v>1</v>
      </c>
      <c r="BS13" s="55">
        <f>IF(BP13=0,0,(BP13/$BP$17)*BR13*'2021 Pensjon tjeneste'!O13/'2021 Lønnsgr pensjon tjeneste'!O13)</f>
        <v>0</v>
      </c>
      <c r="BT13" s="5">
        <f>IF(BP13=0,0,'2021 Nto driftsutg landet'!$C$27*'2021 Lønnsand og pensjon landet'!$D$17*('2021 Pensjon tjeneste'!O13/'2021 Lønnsgr pensjon tjeneste'!O13-$BS$17))</f>
        <v>0</v>
      </c>
      <c r="BU13" s="5">
        <f t="shared" si="23"/>
        <v>0</v>
      </c>
      <c r="BV13" s="55">
        <f>IF('2021 Lønnsgr pensjon tjeneste'!P13&lt;100,0,(C13/$C$17)*'2021 Pensjon tjeneste'!P13/'2021 Lønnsgr pensjon tjeneste'!P13)</f>
        <v>1.2061614088264016E-2</v>
      </c>
      <c r="BW13" s="5">
        <f>IF('2021 Lønnsgr pensjon tjeneste'!P13&lt;100,0,C13)</f>
        <v>639102</v>
      </c>
      <c r="BX13" s="55">
        <f t="shared" si="13"/>
        <v>0.20962885869563436</v>
      </c>
      <c r="BY13" s="55">
        <f t="shared" si="14"/>
        <v>1</v>
      </c>
      <c r="BZ13" s="55">
        <f>IF(BW13=0,0,(BW13/$BW$17)*BY13*'2021 Pensjon tjeneste'!P13/'2021 Lønnsgr pensjon tjeneste'!P13)</f>
        <v>2.137109785098678E-2</v>
      </c>
      <c r="CA13" s="5">
        <f>IF(BW13=0,0,'2021 Nto driftsutg landet'!$C$28*'2021 Lønnsand og pensjon landet'!$D$18*('2021 Pensjon tjeneste'!P13/'2021 Lønnsgr pensjon tjeneste'!P13-$BZ$17))</f>
        <v>-2.8852656758568051E-3</v>
      </c>
      <c r="CB13" s="5">
        <f t="shared" si="24"/>
        <v>-1.8439790639714357</v>
      </c>
      <c r="CC13" s="5"/>
      <c r="CD13" s="5"/>
      <c r="CE13" s="5"/>
    </row>
    <row r="14" spans="1:83" x14ac:dyDescent="0.3">
      <c r="A14" s="41">
        <v>5000</v>
      </c>
      <c r="B14" s="42" t="s">
        <v>388</v>
      </c>
      <c r="C14" s="42">
        <f>+'2021 Nto driftsutg'!W14</f>
        <v>470984</v>
      </c>
      <c r="D14" s="55">
        <f>IF('2021 Lønnsgr pensjon tjeneste'!D14&lt;100,0,(C14/$C$17)*'2021 Revekting utgiftsbehov'!D14*'2021 Pensjon tjeneste'!D14/'2021 Lønnsgr pensjon tjeneste'!D14)</f>
        <v>1.0415417833694127E-2</v>
      </c>
      <c r="E14" s="5">
        <f>IF('2021 Lønnsgr pensjon tjeneste'!D14&lt;100,0,C14)</f>
        <v>470984</v>
      </c>
      <c r="F14" s="55">
        <f>'2021 Revekting utgiftsbehov'!D14*E14/$E$17</f>
        <v>8.828599008815638E-2</v>
      </c>
      <c r="G14" s="55">
        <f>'2021 Revekting utgiftsbehov'!D14/$F$17</f>
        <v>1.0125725469509248</v>
      </c>
      <c r="H14" s="55">
        <f>IF(E14=0,0,(E14/$E$17)*G14*'2021 Pensjon tjeneste'!D14/'2021 Lønnsgr pensjon tjeneste'!D14)</f>
        <v>1.0415417834680817E-2</v>
      </c>
      <c r="I14" s="5">
        <f>IF(E14=0,0,'2021 Nto driftsutg landet'!$C$5*'2021 Lønnsand og pensjon landet'!$D$6*('2021 Pensjon tjeneste'!D14/'2021 Lønnsgr pensjon tjeneste'!D14-$H$17)*'2021 Revekting utgiftsbehov'!D14)</f>
        <v>13.031069707476915</v>
      </c>
      <c r="J14" s="5">
        <f t="shared" si="25"/>
        <v>6137.425335106308</v>
      </c>
      <c r="K14" s="55">
        <f>IF('2021 Lønnsgr pensjon tjeneste'!E14&lt;100,0,(C14/$C$17)*'2021 Revekting utgiftsbehov'!E14*'2021 Pensjon tjeneste'!E14/'2021 Lønnsgr pensjon tjeneste'!E14)</f>
        <v>5.0212968695650256E-2</v>
      </c>
      <c r="L14" s="5">
        <f>IF('2021 Lønnsgr pensjon tjeneste'!E14&lt;100,0,C14)</f>
        <v>470984</v>
      </c>
      <c r="M14" s="55">
        <f>'2021 Revekting utgiftsbehov'!E14*L14/$L$17</f>
        <v>0.12953736681829434</v>
      </c>
      <c r="N14" s="55">
        <f>'2021 Revekting utgiftsbehov'!E14/$M$17</f>
        <v>1.1686143511405822</v>
      </c>
      <c r="O14" s="55">
        <f>IF(L14=0,0,(L14/$L$17)*N14*'2021 Pensjon tjeneste'!E14/'2021 Lønnsgr pensjon tjeneste'!E14)</f>
        <v>5.2045969494364762E-2</v>
      </c>
      <c r="P14" s="5">
        <f>IF(L14=0,0,'2021 Nto driftsutg landet'!$C$6*'2021 Lønnsand og pensjon landet'!$D$7*('2021 Pensjon tjeneste'!E14/'2021 Lønnsgr pensjon tjeneste'!E14-$O$17)*'2021 Revekting utgiftsbehov'!E14)</f>
        <v>14.979941207015248</v>
      </c>
      <c r="Q14" s="5">
        <f t="shared" si="15"/>
        <v>7055.3126294448693</v>
      </c>
      <c r="R14" s="55">
        <f>IF('2021 Lønnsgr pensjon tjeneste'!F14&lt;100,0,(C14/$C$17)*'2021 Revekting utgiftsbehov'!F14*'2021 Pensjon tjeneste'!F14/'2021 Lønnsgr pensjon tjeneste'!F14)</f>
        <v>2.0343384038735726E-2</v>
      </c>
      <c r="S14" s="5">
        <f>IF('2021 Lønnsgr pensjon tjeneste'!F14&lt;100,0,C14)</f>
        <v>470984</v>
      </c>
      <c r="T14" s="55">
        <f>'2021 Revekting utgiftsbehov'!F14*S14/$S$17</f>
        <v>9.1997645338258452E-2</v>
      </c>
      <c r="U14" s="55">
        <f>'2021 Revekting utgiftsbehov'!F14/$T$17</f>
        <v>1.055142382556393</v>
      </c>
      <c r="V14" s="55">
        <f>IF(S14=0,0,(S14/$S$17)*U14*'2021 Pensjon tjeneste'!F14/'2021 Lønnsgr pensjon tjeneste'!F14)</f>
        <v>2.0343384013216285E-2</v>
      </c>
      <c r="W14" s="5">
        <f>IF(S14=0,0,'2021 Nto driftsutg landet'!$C$7*'2021 Lønnsand og pensjon landet'!$D$8*('2021 Pensjon tjeneste'!F14/'2021 Lønnsgr pensjon tjeneste'!F14-$V$17)*'2021 Revekting utgiftsbehov'!F14)</f>
        <v>0.11846151908747247</v>
      </c>
      <c r="X14" s="5">
        <f t="shared" si="16"/>
        <v>55.79348010589414</v>
      </c>
      <c r="Y14" s="55">
        <f>IF('2021 Lønnsgr pensjon tjeneste'!G14&lt;100,0,(C14/$C$17)*'2021 Revekting utgiftsbehov'!G14*'2021 Pensjon tjeneste'!G14/'2021 Lønnsgr pensjon tjeneste'!G14)</f>
        <v>1.5109655595476921E-2</v>
      </c>
      <c r="Z14" s="5">
        <f>IF('2021 Lønnsgr pensjon tjeneste'!G14&lt;100,0,C14)</f>
        <v>470984</v>
      </c>
      <c r="AA14" s="55">
        <f>'2021 Revekting utgiftsbehov'!G14*Z14/$Z$17</f>
        <v>0.22496356287256355</v>
      </c>
      <c r="AB14" s="55">
        <f>'2021 Revekting utgiftsbehov'!G14/$AA$17</f>
        <v>0.67632516728819636</v>
      </c>
      <c r="AC14" s="55">
        <f>IF(Z14=0,0,(Z14/$Z$17)*AB14*'2021 Pensjon tjeneste'!G14/'2021 Lønnsgr pensjon tjeneste'!G14)</f>
        <v>2.0355945783127206E-2</v>
      </c>
      <c r="AD14" s="5">
        <f>IF(Z14=0,0,'2021 Nto driftsutg landet'!$C$8*'2021 Lønnsand og pensjon landet'!$D$9*('2021 Pensjon tjeneste'!G14/'2021 Lønnsgr pensjon tjeneste'!G14-$AC$17)*'2021 Revekting utgiftsbehov'!G14)</f>
        <v>-0.23543274203353756</v>
      </c>
      <c r="AE14" s="5">
        <f t="shared" si="17"/>
        <v>-110.88505457392365</v>
      </c>
      <c r="AF14" s="55">
        <f>IF('2021 Lønnsgr pensjon tjeneste'!H14&lt;100,0,(C14/$C$17)*'2021 Revekting utgiftsbehov'!H14*'2021 Pensjon tjeneste'!H14/'2021 Lønnsgr pensjon tjeneste'!H14)</f>
        <v>1.8132275432980176E-2</v>
      </c>
      <c r="AG14" s="5">
        <f>IF('2021 Lønnsgr pensjon tjeneste'!H14&lt;100,0,C14)</f>
        <v>470984</v>
      </c>
      <c r="AH14" s="55">
        <f>'2021 Revekting utgiftsbehov'!H14*AG14/$AG$17</f>
        <v>8.6577545829989833E-2</v>
      </c>
      <c r="AI14" s="55">
        <f>'2021 Revekting utgiftsbehov'!H14/$AH$17</f>
        <v>0.99297800175960704</v>
      </c>
      <c r="AJ14" s="55">
        <f>IF(AG14=0,0,(AG14/$AG$17)*AI14*'2021 Pensjon tjeneste'!H14/'2021 Lønnsgr pensjon tjeneste'!H14)</f>
        <v>1.8132275420482818E-2</v>
      </c>
      <c r="AK14" s="5">
        <f>IF(AG14=0,0,'2021 Nto driftsutg landet'!$C$9*'2021 Lønnsand og pensjon landet'!$D$10*('2021 Pensjon tjeneste'!H14/'2021 Lønnsgr pensjon tjeneste'!H14-$AJ$17)*'2021 Revekting utgiftsbehov'!H14)</f>
        <v>0.2666013039095162</v>
      </c>
      <c r="AL14" s="5">
        <f t="shared" si="18"/>
        <v>125.56494852051958</v>
      </c>
      <c r="AM14" s="55">
        <f>IF('2021 Lønnsgr pensjon tjeneste'!K14&lt;100,0,(C14/$C$17)*'2021 Pensjon tjeneste'!K14/'2021 Lønnsgr pensjon tjeneste'!K14)</f>
        <v>5.079222524069333E-2</v>
      </c>
      <c r="AN14" s="5">
        <f>IF('2021 Lønnsgr pensjon tjeneste'!K14&lt;100,0,C14)</f>
        <v>470984</v>
      </c>
      <c r="AO14" s="55">
        <f t="shared" si="3"/>
        <v>8.7189792338700348E-2</v>
      </c>
      <c r="AP14" s="55">
        <f t="shared" si="4"/>
        <v>0.99999999931076733</v>
      </c>
      <c r="AQ14" s="55">
        <f>IF(AN14=0,0,(AN14/$AN$17)*AP14*'2021 Pensjon tjeneste'!K14/'2021 Lønnsgr pensjon tjeneste'!K14)</f>
        <v>5.0792225205685673E-2</v>
      </c>
      <c r="AR14" s="5">
        <f>IF(AN14=0,0,'2021 Nto driftsutg landet'!$C$23*'2021 Lønnsand og pensjon landet'!$D$13*('2021 Pensjon tjeneste'!K14/'2021 Lønnsgr pensjon tjeneste'!K14-$AQ$17))</f>
        <v>75.962675192959225</v>
      </c>
      <c r="AS14" s="5">
        <f t="shared" si="19"/>
        <v>35777.204613080707</v>
      </c>
      <c r="AT14" s="55">
        <f>IF('2021 Lønnsgr pensjon tjeneste'!L14&lt;100,0,(C14/$C$17)*'2021 Pensjon tjeneste'!L14/'2021 Lønnsgr pensjon tjeneste'!L14)</f>
        <v>1.9109474416720281E-2</v>
      </c>
      <c r="AU14" s="5">
        <f>IF('2021 Lønnsgr pensjon tjeneste'!L14&lt;100,0,C14)</f>
        <v>470984</v>
      </c>
      <c r="AV14" s="55">
        <f t="shared" si="5"/>
        <v>0.10008761682863632</v>
      </c>
      <c r="AW14" s="55">
        <f t="shared" si="6"/>
        <v>1</v>
      </c>
      <c r="AX14" s="55">
        <f>IF(AU14=0,0,(AU14/$AU$17)*AW14*'2021 Pensjon tjeneste'!L14/'2021 Lønnsgr pensjon tjeneste'!L14)</f>
        <v>2.1936303573100554E-2</v>
      </c>
      <c r="AY14" s="5">
        <f>IF(AU14=0,0,'2021 Nto driftsutg landet'!$C$24*'2021 Lønnsand og pensjon landet'!$D$14*('2021 Pensjon tjeneste'!L14/'2021 Lønnsgr pensjon tjeneste'!L14-$AX$17))</f>
        <v>1.4709453243568951</v>
      </c>
      <c r="AZ14" s="5">
        <f t="shared" si="20"/>
        <v>692.79171264690785</v>
      </c>
      <c r="BA14" s="55">
        <f>IF('2021 Lønnsgr pensjon tjeneste'!M14&lt;100,0,(C14/$C$17)*'2021 Pensjon tjeneste'!M14/'2021 Lønnsgr pensjon tjeneste'!M14)</f>
        <v>1.5759428942850595E-2</v>
      </c>
      <c r="BB14" s="5">
        <f>IF('2021 Lønnsgr pensjon tjeneste'!M14&lt;100,0,C14)</f>
        <v>470984</v>
      </c>
      <c r="BC14" s="55">
        <f t="shared" si="7"/>
        <v>0.10008761682863632</v>
      </c>
      <c r="BD14" s="55">
        <f t="shared" si="8"/>
        <v>1</v>
      </c>
      <c r="BE14" s="55">
        <f>IF(BB14=0,0,(BB14/$BB$17)*BD14*'2021 Pensjon tjeneste'!M14/'2021 Lønnsgr pensjon tjeneste'!M14)</f>
        <v>1.8090692077150819E-2</v>
      </c>
      <c r="BF14" s="5">
        <f>IF(BB14=0,0,'2021 Nto driftsutg landet'!$C$25*'2021 Lønnsand og pensjon landet'!$D$15*('2021 Pensjon tjeneste'!M14/'2021 Lønnsgr pensjon tjeneste'!M14-$BE$17))</f>
        <v>-5.6740259055710078E-4</v>
      </c>
      <c r="BG14" s="5">
        <f t="shared" si="21"/>
        <v>-0.26723754171094555</v>
      </c>
      <c r="BH14" s="55">
        <f>IF('2021 Lønnsgr pensjon tjeneste'!N14&lt;100,0,(C14/$C$17)*'2021 Pensjon tjeneste'!N14/'2021 Lønnsgr pensjon tjeneste'!N14)</f>
        <v>1.6765618337726371E-2</v>
      </c>
      <c r="BI14" s="5">
        <f>IF('2021 Lønnsgr pensjon tjeneste'!N14&lt;100,0,C14)</f>
        <v>470984</v>
      </c>
      <c r="BJ14" s="55">
        <f t="shared" si="9"/>
        <v>8.7189792338700348E-2</v>
      </c>
      <c r="BK14" s="55">
        <f t="shared" si="10"/>
        <v>1</v>
      </c>
      <c r="BL14" s="55">
        <f>IF(BI14=0,0,(BI14/$BI$17)*BK14*'2021 Pensjon tjeneste'!N14/'2021 Lønnsgr pensjon tjeneste'!N14)</f>
        <v>1.6765618337726371E-2</v>
      </c>
      <c r="BM14" s="5">
        <f>IF(BI14=0,0,'2021 Nto driftsutg landet'!$C$26*'2021 Lønnsand og pensjon landet'!$D$16*('2021 Pensjon tjeneste'!N14/'2021 Lønnsgr pensjon tjeneste'!N14-$BL$17))</f>
        <v>8.0823276135559785E-2</v>
      </c>
      <c r="BN14" s="5">
        <f t="shared" si="22"/>
        <v>38.066469887430486</v>
      </c>
      <c r="BO14" s="55">
        <f>IF('2021 Lønnsgr pensjon tjeneste'!O14&lt;100,0,(C14/$C$17)*'2021 Pensjon tjeneste'!O14/'2021 Lønnsgr pensjon tjeneste'!O14)</f>
        <v>0</v>
      </c>
      <c r="BP14" s="5">
        <f>IF('2021 Lønnsgr pensjon tjeneste'!O14&lt;100,0,C14)</f>
        <v>0</v>
      </c>
      <c r="BQ14" s="55">
        <f t="shared" si="11"/>
        <v>0</v>
      </c>
      <c r="BR14" s="55">
        <f t="shared" si="12"/>
        <v>1</v>
      </c>
      <c r="BS14" s="55">
        <f>IF(BP14=0,0,(BP14/$BP$17)*BR14*'2021 Pensjon tjeneste'!O14/'2021 Lønnsgr pensjon tjeneste'!O14)</f>
        <v>0</v>
      </c>
      <c r="BT14" s="5">
        <f>IF(BP14=0,0,'2021 Nto driftsutg landet'!$C$27*'2021 Lønnsand og pensjon landet'!$D$17*('2021 Pensjon tjeneste'!O14/'2021 Lønnsgr pensjon tjeneste'!O14-$BS$17))</f>
        <v>0</v>
      </c>
      <c r="BU14" s="5">
        <f t="shared" si="23"/>
        <v>0</v>
      </c>
      <c r="BV14" s="55">
        <f>IF('2021 Lønnsgr pensjon tjeneste'!P14&lt;100,0,(C14/$C$17)*'2021 Pensjon tjeneste'!P14/'2021 Lønnsgr pensjon tjeneste'!P14)</f>
        <v>0</v>
      </c>
      <c r="BW14" s="5">
        <f>IF('2021 Lønnsgr pensjon tjeneste'!P14&lt;100,0,C14)</f>
        <v>0</v>
      </c>
      <c r="BX14" s="55">
        <f t="shared" si="13"/>
        <v>0</v>
      </c>
      <c r="BY14" s="55">
        <f t="shared" si="14"/>
        <v>1</v>
      </c>
      <c r="BZ14" s="55">
        <f>IF(BW14=0,0,(BW14/$BW$17)*BY14*'2021 Pensjon tjeneste'!P14/'2021 Lønnsgr pensjon tjeneste'!P14)</f>
        <v>0</v>
      </c>
      <c r="CA14" s="5">
        <f>IF(BW14=0,0,'2021 Nto driftsutg landet'!$C$28*'2021 Lønnsand og pensjon landet'!$D$18*('2021 Pensjon tjeneste'!P14/'2021 Lønnsgr pensjon tjeneste'!P14-$BZ$17))</f>
        <v>0</v>
      </c>
      <c r="CB14" s="5">
        <f t="shared" si="24"/>
        <v>0</v>
      </c>
      <c r="CC14" s="5"/>
      <c r="CD14" s="5"/>
      <c r="CE14" s="5"/>
    </row>
    <row r="15" spans="1:83" x14ac:dyDescent="0.3">
      <c r="A15" s="41">
        <v>5400</v>
      </c>
      <c r="B15" s="42" t="s">
        <v>408</v>
      </c>
      <c r="C15" s="42">
        <f>+'2021 Nto driftsutg'!W15</f>
        <v>241663</v>
      </c>
      <c r="D15" s="55">
        <f>IF('2021 Lønnsgr pensjon tjeneste'!D15&lt;100,0,(C15/$C$17)*'2021 Revekting utgiftsbehov'!D15*'2021 Pensjon tjeneste'!D15/'2021 Lønnsgr pensjon tjeneste'!D15)</f>
        <v>5.6531924045892896E-3</v>
      </c>
      <c r="E15" s="5">
        <f>IF('2021 Lønnsgr pensjon tjeneste'!D15&lt;100,0,C15)</f>
        <v>241663</v>
      </c>
      <c r="F15" s="55">
        <f>'2021 Revekting utgiftsbehov'!D15*E15/$E$17</f>
        <v>4.7677669156109728E-2</v>
      </c>
      <c r="G15" s="55">
        <f>'2021 Revekting utgiftsbehov'!D15/$F$17</f>
        <v>1.0657255153399601</v>
      </c>
      <c r="H15" s="55">
        <f>IF(E15=0,0,(E15/$E$17)*G15*'2021 Pensjon tjeneste'!D15/'2021 Lønnsgr pensjon tjeneste'!D15)</f>
        <v>5.6531924051248369E-3</v>
      </c>
      <c r="I15" s="5">
        <f>IF(E15=0,0,'2021 Nto driftsutg landet'!$C$5*'2021 Lønnsand og pensjon landet'!$D$6*('2021 Pensjon tjeneste'!D15/'2021 Lønnsgr pensjon tjeneste'!D15-$H$17)*'2021 Revekting utgiftsbehov'!D15)</f>
        <v>15.887950181998148</v>
      </c>
      <c r="J15" s="5">
        <f t="shared" si="25"/>
        <v>3839.5297048322186</v>
      </c>
      <c r="K15" s="55">
        <f>IF('2021 Lønnsgr pensjon tjeneste'!E15&lt;100,0,(C15/$C$17)*'2021 Revekting utgiftsbehov'!E15*'2021 Pensjon tjeneste'!E15/'2021 Lønnsgr pensjon tjeneste'!E15)</f>
        <v>2.5072230099991918E-2</v>
      </c>
      <c r="L15" s="5">
        <f>IF('2021 Lønnsgr pensjon tjeneste'!E15&lt;100,0,C15)</f>
        <v>241663</v>
      </c>
      <c r="M15" s="55">
        <f>'2021 Revekting utgiftsbehov'!E15*L15/$L$17</f>
        <v>0.10569409464234809</v>
      </c>
      <c r="N15" s="55">
        <f>'2021 Revekting utgiftsbehov'!E15/$M$17</f>
        <v>1.8583301154726251</v>
      </c>
      <c r="O15" s="55">
        <f>IF(L15=0,0,(L15/$L$17)*N15*'2021 Pensjon tjeneste'!E15/'2021 Lønnsgr pensjon tjeneste'!E15)</f>
        <v>2.59874800641475E-2</v>
      </c>
      <c r="P15" s="5">
        <f>IF(L15=0,0,'2021 Nto driftsutg landet'!$C$6*'2021 Lønnsand og pensjon landet'!$D$7*('2021 Pensjon tjeneste'!E15/'2021 Lønnsgr pensjon tjeneste'!E15-$O$17)*'2021 Revekting utgiftsbehov'!E15)</f>
        <v>-14.311410332418037</v>
      </c>
      <c r="Q15" s="5">
        <f t="shared" si="15"/>
        <v>-3458.5383551631398</v>
      </c>
      <c r="R15" s="55">
        <f>IF('2021 Lønnsgr pensjon tjeneste'!F15&lt;100,0,(C15/$C$17)*'2021 Revekting utgiftsbehov'!F15*'2021 Pensjon tjeneste'!F15/'2021 Lønnsgr pensjon tjeneste'!F15)</f>
        <v>1.589282237412316E-2</v>
      </c>
      <c r="S15" s="5">
        <f>IF('2021 Lønnsgr pensjon tjeneste'!F15&lt;100,0,C15)</f>
        <v>241663</v>
      </c>
      <c r="T15" s="55">
        <f>'2021 Revekting utgiftsbehov'!F15*S15/$S$17</f>
        <v>5.0211467240084309E-2</v>
      </c>
      <c r="U15" s="55">
        <f>'2021 Revekting utgiftsbehov'!F15/$T$17</f>
        <v>1.1223627890240693</v>
      </c>
      <c r="V15" s="55">
        <f>IF(S15=0,0,(S15/$S$17)*U15*'2021 Pensjon tjeneste'!F15/'2021 Lønnsgr pensjon tjeneste'!F15)</f>
        <v>1.5892822354186657E-2</v>
      </c>
      <c r="W15" s="5">
        <f>IF(S15=0,0,'2021 Nto driftsutg landet'!$C$7*'2021 Lønnsand og pensjon landet'!$D$8*('2021 Pensjon tjeneste'!F15/'2021 Lønnsgr pensjon tjeneste'!F15-$V$17)*'2021 Revekting utgiftsbehov'!F15)</f>
        <v>3.8301537343069931</v>
      </c>
      <c r="X15" s="5">
        <f t="shared" si="16"/>
        <v>925.60644189383095</v>
      </c>
      <c r="Y15" s="55">
        <f>IF('2021 Lønnsgr pensjon tjeneste'!G15&lt;100,0,(C15/$C$17)*'2021 Revekting utgiftsbehov'!G15*'2021 Pensjon tjeneste'!G15/'2021 Lønnsgr pensjon tjeneste'!G15)</f>
        <v>2.7726833002851236E-2</v>
      </c>
      <c r="Z15" s="5">
        <f>IF('2021 Lønnsgr pensjon tjeneste'!G15&lt;100,0,C15)</f>
        <v>241663</v>
      </c>
      <c r="AA15" s="55">
        <f>'2021 Revekting utgiftsbehov'!G15*Z15/$Z$17</f>
        <v>0.34782882567197393</v>
      </c>
      <c r="AB15" s="55">
        <f>'2021 Revekting utgiftsbehov'!G15/$AA$17</f>
        <v>2.0380035155941685</v>
      </c>
      <c r="AC15" s="55">
        <f>IF(Z15=0,0,(Z15/$Z$17)*AB15*'2021 Pensjon tjeneste'!G15/'2021 Lønnsgr pensjon tjeneste'!G15)</f>
        <v>3.7353989028897319E-2</v>
      </c>
      <c r="AD15" s="5">
        <f>IF(Z15=0,0,'2021 Nto driftsutg landet'!$C$8*'2021 Lønnsand og pensjon landet'!$D$9*('2021 Pensjon tjeneste'!G15/'2021 Lønnsgr pensjon tjeneste'!G15-$AC$17)*'2021 Revekting utgiftsbehov'!G15)</f>
        <v>-0.25935067714722382</v>
      </c>
      <c r="AE15" s="5">
        <f t="shared" si="17"/>
        <v>-62.675462691429551</v>
      </c>
      <c r="AF15" s="55">
        <f>IF('2021 Lønnsgr pensjon tjeneste'!H15&lt;100,0,(C15/$C$17)*'2021 Revekting utgiftsbehov'!H15*'2021 Pensjon tjeneste'!H15/'2021 Lønnsgr pensjon tjeneste'!H15)</f>
        <v>1.0016368731703871E-2</v>
      </c>
      <c r="AG15" s="5">
        <f>IF('2021 Lønnsgr pensjon tjeneste'!H15&lt;100,0,C15)</f>
        <v>241663</v>
      </c>
      <c r="AH15" s="55">
        <f>'2021 Revekting utgiftsbehov'!H15*AG15/$AG$17</f>
        <v>4.2937921024037769E-2</v>
      </c>
      <c r="AI15" s="55">
        <f>'2021 Revekting utgiftsbehov'!H15/$AH$17</f>
        <v>0.95977925903348893</v>
      </c>
      <c r="AJ15" s="55">
        <f>IF(AG15=0,0,(AG15/$AG$17)*AI15*'2021 Pensjon tjeneste'!H15/'2021 Lønnsgr pensjon tjeneste'!H15)</f>
        <v>1.0016368724800263E-2</v>
      </c>
      <c r="AK15" s="5">
        <f>IF(AG15=0,0,'2021 Nto driftsutg landet'!$C$9*'2021 Lønnsand og pensjon landet'!$D$10*('2021 Pensjon tjeneste'!H15/'2021 Lønnsgr pensjon tjeneste'!H15-$AJ$17)*'2021 Revekting utgiftsbehov'!H15)</f>
        <v>6.3369180010825659</v>
      </c>
      <c r="AL15" s="5">
        <f t="shared" si="18"/>
        <v>1531.3986148956162</v>
      </c>
      <c r="AM15" s="55">
        <f>IF('2021 Lønnsgr pensjon tjeneste'!K15&lt;100,0,(C15/$C$17)*'2021 Pensjon tjeneste'!K15/'2021 Lønnsgr pensjon tjeneste'!K15)</f>
        <v>1.3942727819356295E-2</v>
      </c>
      <c r="AN15" s="5">
        <f>IF('2021 Lønnsgr pensjon tjeneste'!K15&lt;100,0,C15)</f>
        <v>241663</v>
      </c>
      <c r="AO15" s="55">
        <f t="shared" si="3"/>
        <v>4.4737287861046963E-2</v>
      </c>
      <c r="AP15" s="55">
        <f t="shared" si="4"/>
        <v>0.99999999931076733</v>
      </c>
      <c r="AQ15" s="55">
        <f>IF(AN15=0,0,(AN15/$AN$17)*AP15*'2021 Pensjon tjeneste'!K15/'2021 Lønnsgr pensjon tjeneste'!K15)</f>
        <v>1.3942727809746513E-2</v>
      </c>
      <c r="AR15" s="5">
        <f>IF(AN15=0,0,'2021 Nto driftsutg landet'!$C$23*'2021 Lønnsand og pensjon landet'!$D$13*('2021 Pensjon tjeneste'!K15/'2021 Lønnsgr pensjon tjeneste'!K15-$AQ$17))</f>
        <v>-10.45937932967542</v>
      </c>
      <c r="AS15" s="5">
        <f t="shared" si="19"/>
        <v>-2527.6449869473513</v>
      </c>
      <c r="AT15" s="55">
        <f>IF('2021 Lønnsgr pensjon tjeneste'!L15&lt;100,0,(C15/$C$17)*'2021 Pensjon tjeneste'!L15/'2021 Lønnsgr pensjon tjeneste'!L15)</f>
        <v>9.2189820286219058E-3</v>
      </c>
      <c r="AU15" s="5">
        <f>IF('2021 Lønnsgr pensjon tjeneste'!L15&lt;100,0,C15)</f>
        <v>241663</v>
      </c>
      <c r="AV15" s="55">
        <f t="shared" si="5"/>
        <v>5.1355191993058658E-2</v>
      </c>
      <c r="AW15" s="55">
        <f t="shared" si="6"/>
        <v>1</v>
      </c>
      <c r="AX15" s="55">
        <f>IF(AU15=0,0,(AU15/$AU$17)*AW15*'2021 Pensjon tjeneste'!L15/'2021 Lønnsgr pensjon tjeneste'!L15)</f>
        <v>1.0582728964950617E-2</v>
      </c>
      <c r="AY15" s="5">
        <f>IF(AU15=0,0,'2021 Nto driftsutg landet'!$C$24*'2021 Lønnsand og pensjon landet'!$D$14*('2021 Pensjon tjeneste'!L15/'2021 Lønnsgr pensjon tjeneste'!L15-$AX$17))</f>
        <v>0.90209351167923657</v>
      </c>
      <c r="AZ15" s="5">
        <f t="shared" si="20"/>
        <v>218.00262431293936</v>
      </c>
      <c r="BA15" s="55">
        <f>IF('2021 Lønnsgr pensjon tjeneste'!M15&lt;100,0,(C15/$C$17)*'2021 Pensjon tjeneste'!M15/'2021 Lønnsgr pensjon tjeneste'!M15)</f>
        <v>9.9600411328455117E-3</v>
      </c>
      <c r="BB15" s="5">
        <f>IF('2021 Lønnsgr pensjon tjeneste'!M15&lt;100,0,C15)</f>
        <v>241663</v>
      </c>
      <c r="BC15" s="55">
        <f t="shared" si="7"/>
        <v>5.1355191993058658E-2</v>
      </c>
      <c r="BD15" s="55">
        <f t="shared" si="8"/>
        <v>1</v>
      </c>
      <c r="BE15" s="55">
        <f>IF(BB15=0,0,(BB15/$BB$17)*BD15*'2021 Pensjon tjeneste'!M15/'2021 Lønnsgr pensjon tjeneste'!M15)</f>
        <v>1.1433411569891094E-2</v>
      </c>
      <c r="BF15" s="5">
        <f>IF(BB15=0,0,'2021 Nto driftsutg landet'!$C$25*'2021 Lønnsand og pensjon landet'!$D$15*('2021 Pensjon tjeneste'!M15/'2021 Lønnsgr pensjon tjeneste'!M15-$BE$17))</f>
        <v>0.20004100114109508</v>
      </c>
      <c r="BG15" s="5">
        <f t="shared" si="21"/>
        <v>48.342508458760456</v>
      </c>
      <c r="BH15" s="55">
        <f>IF('2021 Lønnsgr pensjon tjeneste'!N15&lt;100,0,(C15/$C$17)*'2021 Pensjon tjeneste'!N15/'2021 Lønnsgr pensjon tjeneste'!N15)</f>
        <v>1.0118454281230434E-2</v>
      </c>
      <c r="BI15" s="5">
        <f>IF('2021 Lønnsgr pensjon tjeneste'!N15&lt;100,0,C15)</f>
        <v>241663</v>
      </c>
      <c r="BJ15" s="55">
        <f t="shared" si="9"/>
        <v>4.4737287861046963E-2</v>
      </c>
      <c r="BK15" s="55">
        <f t="shared" si="10"/>
        <v>1</v>
      </c>
      <c r="BL15" s="55">
        <f>IF(BI15=0,0,(BI15/$BI$17)*BK15*'2021 Pensjon tjeneste'!N15/'2021 Lønnsgr pensjon tjeneste'!N15)</f>
        <v>1.0118454281230434E-2</v>
      </c>
      <c r="BM15" s="5">
        <f>IF(BI15=0,0,'2021 Nto driftsutg landet'!$C$26*'2021 Lønnsand og pensjon landet'!$D$16*('2021 Pensjon tjeneste'!N15/'2021 Lønnsgr pensjon tjeneste'!N15-$BL$17))</f>
        <v>0.91903633299914855</v>
      </c>
      <c r="BN15" s="5">
        <f t="shared" si="22"/>
        <v>222.09707734157323</v>
      </c>
      <c r="BO15" s="55">
        <f>IF('2021 Lønnsgr pensjon tjeneste'!O15&lt;100,0,(C15/$C$17)*'2021 Pensjon tjeneste'!O15/'2021 Lønnsgr pensjon tjeneste'!O15)</f>
        <v>0</v>
      </c>
      <c r="BP15" s="5">
        <f>IF('2021 Lønnsgr pensjon tjeneste'!O15&lt;100,0,C15)</f>
        <v>0</v>
      </c>
      <c r="BQ15" s="55">
        <f t="shared" si="11"/>
        <v>0</v>
      </c>
      <c r="BR15" s="55">
        <f t="shared" si="12"/>
        <v>1</v>
      </c>
      <c r="BS15" s="55">
        <f>IF(BP15=0,0,(BP15/$BP$17)*BR15*'2021 Pensjon tjeneste'!O15/'2021 Lønnsgr pensjon tjeneste'!O15)</f>
        <v>0</v>
      </c>
      <c r="BT15" s="5">
        <f>IF(BP15=0,0,'2021 Nto driftsutg landet'!$C$27*'2021 Lønnsand og pensjon landet'!$D$17*('2021 Pensjon tjeneste'!O15/'2021 Lønnsgr pensjon tjeneste'!O15-$BS$17))</f>
        <v>0</v>
      </c>
      <c r="BU15" s="5">
        <f t="shared" si="23"/>
        <v>0</v>
      </c>
      <c r="BV15" s="55">
        <f>IF('2021 Lønnsgr pensjon tjeneste'!P15&lt;100,0,(C15/$C$17)*'2021 Pensjon tjeneste'!P15/'2021 Lønnsgr pensjon tjeneste'!P15)</f>
        <v>1.0247400452800067E-2</v>
      </c>
      <c r="BW15" s="5">
        <f>IF('2021 Lønnsgr pensjon tjeneste'!P15&lt;100,0,C15)</f>
        <v>241663</v>
      </c>
      <c r="BX15" s="55">
        <f t="shared" si="13"/>
        <v>7.9266750657896679E-2</v>
      </c>
      <c r="BY15" s="55">
        <f t="shared" si="14"/>
        <v>1</v>
      </c>
      <c r="BZ15" s="55">
        <f>IF(BW15=0,0,(BW15/$BW$17)*BY15*'2021 Pensjon tjeneste'!P15/'2021 Lønnsgr pensjon tjeneste'!P15)</f>
        <v>1.8156624494239316E-2</v>
      </c>
      <c r="CA15" s="5">
        <f>IF(BW15=0,0,'2021 Nto driftsutg landet'!$C$28*'2021 Lønnsand og pensjon landet'!$D$18*('2021 Pensjon tjeneste'!P15/'2021 Lønnsgr pensjon tjeneste'!P15-$BZ$17))</f>
        <v>5.3251599412982723E-3</v>
      </c>
      <c r="CB15" s="5">
        <f t="shared" si="24"/>
        <v>1.2868941268939642</v>
      </c>
      <c r="CC15" s="5"/>
      <c r="CD15" s="5"/>
      <c r="CE15" s="5"/>
    </row>
    <row r="16" spans="1:83" x14ac:dyDescent="0.3">
      <c r="B16" s="43"/>
      <c r="C16" s="43"/>
      <c r="D16" s="43"/>
      <c r="E16" s="43"/>
      <c r="F16" s="43"/>
      <c r="G16" s="43"/>
    </row>
    <row r="17" spans="2:83" x14ac:dyDescent="0.3">
      <c r="B17" s="42" t="s">
        <v>3</v>
      </c>
      <c r="C17" s="5">
        <f>SUM(C5:C16)</f>
        <v>5401825</v>
      </c>
      <c r="D17" s="55">
        <f>SUM(D5:D16)</f>
        <v>0.11420245520849374</v>
      </c>
      <c r="E17" s="5">
        <f>SUM(E5:E16)</f>
        <v>5401825</v>
      </c>
      <c r="F17" s="55">
        <f>SUM(F5:F16)</f>
        <v>0.99999999990526622</v>
      </c>
      <c r="G17" s="5"/>
      <c r="H17" s="55">
        <f>SUM(H5:H16)</f>
        <v>0.11420245521931258</v>
      </c>
      <c r="I17" s="5"/>
      <c r="J17" s="5">
        <f>SUM(J5:J16)</f>
        <v>-1.4142642612569034E-10</v>
      </c>
      <c r="K17" s="55">
        <f>SUM(K5:K16)</f>
        <v>0.32523718338283159</v>
      </c>
      <c r="L17" s="5">
        <f>SUM(L5:L16)</f>
        <v>4705717</v>
      </c>
      <c r="M17" s="55">
        <f>SUM(M5:M16)</f>
        <v>1.1074994031545189</v>
      </c>
      <c r="N17" s="5"/>
      <c r="O17" s="55">
        <f>SUM(O5:O16)</f>
        <v>0.33710981374901883</v>
      </c>
      <c r="P17" s="5"/>
      <c r="Q17" s="5">
        <f>SUM(Q5:Q16)</f>
        <v>1.9099388737231493E-11</v>
      </c>
      <c r="R17" s="55">
        <f>SUM(R5:R16)</f>
        <v>0.21788445721871522</v>
      </c>
      <c r="S17" s="5">
        <f>SUM(S5:S16)</f>
        <v>5401825</v>
      </c>
      <c r="T17" s="55">
        <f>SUM(T5:T16)</f>
        <v>1.0000000012544346</v>
      </c>
      <c r="U17" s="5"/>
      <c r="V17" s="55">
        <f>SUM(V5:V16)</f>
        <v>0.21788445694539343</v>
      </c>
      <c r="W17" s="5"/>
      <c r="X17" s="5">
        <f>SUM(X5:X16)</f>
        <v>-3.2969182939268649E-12</v>
      </c>
      <c r="Y17" s="55">
        <f>SUM(Y5:Y16)</f>
        <v>0.14630933730779547</v>
      </c>
      <c r="Z17" s="5">
        <f>SUM(Z5:Z16)</f>
        <v>2382740</v>
      </c>
      <c r="AA17" s="55">
        <f>SUM(AA5:AA16)</f>
        <v>1.6827791978455671</v>
      </c>
      <c r="AB17" s="5"/>
      <c r="AC17" s="55">
        <f>SUM(AC5:AC16)</f>
        <v>0.19711004787523417</v>
      </c>
      <c r="AD17" s="5"/>
      <c r="AE17" s="5">
        <f>SUM(AE5:AE16)</f>
        <v>-6.4659388954169117E-13</v>
      </c>
      <c r="AF17" s="55">
        <f>SUM(AF5:AF16)</f>
        <v>0.20842332129446514</v>
      </c>
      <c r="AG17" s="5">
        <f>SUM(AG5:AG16)</f>
        <v>5401825</v>
      </c>
      <c r="AH17" s="55">
        <f>SUM(AH5:AH16)</f>
        <v>1.0000000006892327</v>
      </c>
      <c r="AI17" s="5"/>
      <c r="AJ17" s="55">
        <f>SUM(AJ5:AJ16)</f>
        <v>0.208423321150813</v>
      </c>
      <c r="AK17" s="5"/>
      <c r="AL17" s="5">
        <f>SUM(AL5:AL16)</f>
        <v>-3.3878677641041577E-11</v>
      </c>
      <c r="AM17" s="55">
        <f>SUM(AM5:AM16)</f>
        <v>0.34444279916892651</v>
      </c>
      <c r="AN17" s="5">
        <f>SUM(AN5:AN16)</f>
        <v>5401825</v>
      </c>
      <c r="AO17" s="55">
        <f>SUM(AO5:AO16)</f>
        <v>1</v>
      </c>
      <c r="AP17" s="5"/>
      <c r="AQ17" s="55">
        <f>SUM(AQ5:AQ16)</f>
        <v>0.3444427989315253</v>
      </c>
      <c r="AR17" s="5"/>
      <c r="AS17" s="5">
        <f>SUM(AS5:AS16)</f>
        <v>4.091241276000801E-4</v>
      </c>
      <c r="AT17" s="55">
        <f>SUM(AT5:AT16)</f>
        <v>0.16141467592125514</v>
      </c>
      <c r="AU17" s="5">
        <f>SUM(AU5:AU16)</f>
        <v>4705717</v>
      </c>
      <c r="AV17" s="55">
        <f>SUM(AV5:AV16)</f>
        <v>1</v>
      </c>
      <c r="AW17" s="5"/>
      <c r="AX17" s="55">
        <f>SUM(AX5:AX16)</f>
        <v>0.1852924499621065</v>
      </c>
      <c r="AY17" s="5"/>
      <c r="AZ17" s="5">
        <f>SUM(AZ5:AZ16)</f>
        <v>3.4106051316484809E-12</v>
      </c>
      <c r="BA17" s="55">
        <f>SUM(BA5:BA16)</f>
        <v>0.15755953376959933</v>
      </c>
      <c r="BB17" s="5">
        <f>SUM(BB5:BB16)</f>
        <v>4705717</v>
      </c>
      <c r="BC17" s="55">
        <f>SUM(BC5:BC16)</f>
        <v>1</v>
      </c>
      <c r="BD17" s="5"/>
      <c r="BE17" s="55">
        <f>SUM(BE5:BE16)</f>
        <v>0.18086702377235303</v>
      </c>
      <c r="BF17" s="5"/>
      <c r="BG17" s="5">
        <f>SUM(BG5:BG16)</f>
        <v>-1.2789769243681803E-13</v>
      </c>
      <c r="BH17" s="55">
        <f>SUM(BH5:BH16)</f>
        <v>0.18902135665891917</v>
      </c>
      <c r="BI17" s="5">
        <f>SUM(BI5:BI16)</f>
        <v>5401825</v>
      </c>
      <c r="BJ17" s="55">
        <f>SUM(BJ5:BJ16)</f>
        <v>1</v>
      </c>
      <c r="BK17" s="5"/>
      <c r="BL17" s="55">
        <f>SUM(BL5:BL16)</f>
        <v>0.18902135665891917</v>
      </c>
      <c r="BM17" s="5"/>
      <c r="BN17" s="5">
        <f>SUM(BN5:BN16)</f>
        <v>1.7053025658242404E-12</v>
      </c>
      <c r="BO17" s="55">
        <f>SUM(BO5:BO16)</f>
        <v>1.3394693868792901E-2</v>
      </c>
      <c r="BP17" s="5">
        <f>SUM(BP5:BP16)</f>
        <v>423144</v>
      </c>
      <c r="BQ17" s="55">
        <f>SUM(BQ5:BQ16)</f>
        <v>1</v>
      </c>
      <c r="BR17" s="5"/>
      <c r="BS17" s="55">
        <f>SUM(BS5:BS16)</f>
        <v>0.17099567099567101</v>
      </c>
      <c r="BT17" s="5"/>
      <c r="BU17" s="5">
        <f>SUM(BU5:BU16)</f>
        <v>0</v>
      </c>
      <c r="BV17" s="55">
        <f>SUM(BV5:BV16)</f>
        <v>8.2748262069727185E-2</v>
      </c>
      <c r="BW17" s="5">
        <f>SUM(BW5:BW16)</f>
        <v>3048731</v>
      </c>
      <c r="BX17" s="55">
        <f>SUM(BX5:BX16)</f>
        <v>1</v>
      </c>
      <c r="BY17" s="5"/>
      <c r="BZ17" s="55">
        <f>SUM(BZ5:BZ16)</f>
        <v>0.14661563475255904</v>
      </c>
      <c r="CA17" s="55"/>
      <c r="CB17" s="5">
        <f>SUM(CB5:CB16)</f>
        <v>-2.886579864025407E-15</v>
      </c>
      <c r="CC17" s="5"/>
      <c r="CD17" s="5"/>
      <c r="CE17" s="5"/>
    </row>
    <row r="18" spans="2:83" x14ac:dyDescent="0.3">
      <c r="CD18" s="5"/>
    </row>
  </sheetData>
  <sheetProtection algorithmName="SHA-512" hashValue="UdbvjlFDClfUiwNyDnf7aNRCXRugXcXzQlcz45Y2oWFpFHBP75YQk8q3tprOwnI6VWIVc68L2c245wSyZow8Ow==" saltValue="kBLTrW5WX9GMG94LuH9Yqw==" spinCount="100000" sheet="1" objects="1" scenarios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F9E2-53BF-4B9C-98D1-7B5DE0CDF2B2}">
  <dimension ref="A1:CE18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4"/>
      <c r="CB1" s="5"/>
    </row>
    <row r="2" spans="1:83" ht="79.8" x14ac:dyDescent="0.3">
      <c r="A2" s="22" t="s">
        <v>2</v>
      </c>
      <c r="B2" s="22" t="s">
        <v>1</v>
      </c>
      <c r="C2" s="22" t="s">
        <v>411</v>
      </c>
      <c r="D2" s="22" t="s">
        <v>319</v>
      </c>
      <c r="E2" s="22" t="s">
        <v>320</v>
      </c>
      <c r="F2" s="22" t="s">
        <v>322</v>
      </c>
      <c r="G2" s="22" t="s">
        <v>321</v>
      </c>
      <c r="H2" s="22" t="s">
        <v>323</v>
      </c>
      <c r="I2" s="22" t="s">
        <v>228</v>
      </c>
      <c r="J2" s="22" t="s">
        <v>227</v>
      </c>
      <c r="K2" s="101" t="s">
        <v>324</v>
      </c>
      <c r="L2" s="101" t="s">
        <v>325</v>
      </c>
      <c r="M2" s="101" t="s">
        <v>326</v>
      </c>
      <c r="N2" s="101" t="s">
        <v>327</v>
      </c>
      <c r="O2" s="101" t="s">
        <v>328</v>
      </c>
      <c r="P2" s="101" t="s">
        <v>230</v>
      </c>
      <c r="Q2" s="101" t="s">
        <v>229</v>
      </c>
      <c r="R2" s="22" t="s">
        <v>329</v>
      </c>
      <c r="S2" s="22" t="s">
        <v>330</v>
      </c>
      <c r="T2" s="22" t="s">
        <v>331</v>
      </c>
      <c r="U2" s="22" t="s">
        <v>332</v>
      </c>
      <c r="V2" s="22" t="s">
        <v>333</v>
      </c>
      <c r="W2" s="22" t="s">
        <v>309</v>
      </c>
      <c r="X2" s="22" t="s">
        <v>308</v>
      </c>
      <c r="Y2" s="101" t="s">
        <v>334</v>
      </c>
      <c r="Z2" s="101" t="s">
        <v>335</v>
      </c>
      <c r="AA2" s="101" t="s">
        <v>336</v>
      </c>
      <c r="AB2" s="101" t="s">
        <v>337</v>
      </c>
      <c r="AC2" s="101" t="s">
        <v>338</v>
      </c>
      <c r="AD2" s="101" t="s">
        <v>311</v>
      </c>
      <c r="AE2" s="101" t="s">
        <v>310</v>
      </c>
      <c r="AF2" s="22" t="s">
        <v>339</v>
      </c>
      <c r="AG2" s="22" t="s">
        <v>340</v>
      </c>
      <c r="AH2" s="22" t="s">
        <v>341</v>
      </c>
      <c r="AI2" s="22" t="s">
        <v>342</v>
      </c>
      <c r="AJ2" s="22" t="s">
        <v>343</v>
      </c>
      <c r="AK2" s="22" t="s">
        <v>344</v>
      </c>
      <c r="AL2" s="22" t="s">
        <v>345</v>
      </c>
      <c r="AM2" s="101" t="s">
        <v>346</v>
      </c>
      <c r="AN2" s="101" t="s">
        <v>347</v>
      </c>
      <c r="AO2" s="101" t="s">
        <v>348</v>
      </c>
      <c r="AP2" s="101" t="s">
        <v>349</v>
      </c>
      <c r="AQ2" s="101" t="s">
        <v>350</v>
      </c>
      <c r="AR2" s="101" t="s">
        <v>232</v>
      </c>
      <c r="AS2" s="101" t="s">
        <v>231</v>
      </c>
      <c r="AT2" s="22" t="s">
        <v>351</v>
      </c>
      <c r="AU2" s="22" t="s">
        <v>352</v>
      </c>
      <c r="AV2" s="22" t="s">
        <v>353</v>
      </c>
      <c r="AW2" s="22" t="s">
        <v>354</v>
      </c>
      <c r="AX2" s="22" t="s">
        <v>355</v>
      </c>
      <c r="AY2" s="22" t="s">
        <v>356</v>
      </c>
      <c r="AZ2" s="22" t="s">
        <v>357</v>
      </c>
      <c r="BA2" s="101" t="s">
        <v>358</v>
      </c>
      <c r="BB2" s="101" t="s">
        <v>359</v>
      </c>
      <c r="BC2" s="101" t="s">
        <v>360</v>
      </c>
      <c r="BD2" s="101" t="s">
        <v>361</v>
      </c>
      <c r="BE2" s="101" t="s">
        <v>362</v>
      </c>
      <c r="BF2" s="101" t="s">
        <v>234</v>
      </c>
      <c r="BG2" s="101" t="s">
        <v>233</v>
      </c>
      <c r="BH2" s="22" t="s">
        <v>363</v>
      </c>
      <c r="BI2" s="22" t="s">
        <v>364</v>
      </c>
      <c r="BJ2" s="22" t="s">
        <v>365</v>
      </c>
      <c r="BK2" s="22" t="s">
        <v>366</v>
      </c>
      <c r="BL2" s="22" t="s">
        <v>367</v>
      </c>
      <c r="BM2" s="22" t="s">
        <v>236</v>
      </c>
      <c r="BN2" s="22" t="s">
        <v>235</v>
      </c>
      <c r="BO2" s="101" t="s">
        <v>368</v>
      </c>
      <c r="BP2" s="101" t="s">
        <v>369</v>
      </c>
      <c r="BQ2" s="101" t="s">
        <v>370</v>
      </c>
      <c r="BR2" s="101" t="s">
        <v>371</v>
      </c>
      <c r="BS2" s="101" t="s">
        <v>372</v>
      </c>
      <c r="BT2" s="101" t="s">
        <v>373</v>
      </c>
      <c r="BU2" s="101" t="s">
        <v>374</v>
      </c>
      <c r="BV2" s="22" t="s">
        <v>375</v>
      </c>
      <c r="BW2" s="22" t="s">
        <v>376</v>
      </c>
      <c r="BX2" s="22" t="s">
        <v>377</v>
      </c>
      <c r="BY2" s="22" t="s">
        <v>378</v>
      </c>
      <c r="BZ2" s="22" t="s">
        <v>379</v>
      </c>
      <c r="CA2" s="22" t="s">
        <v>380</v>
      </c>
      <c r="CB2" s="22" t="s">
        <v>381</v>
      </c>
      <c r="CC2" s="101"/>
      <c r="CD2" s="101"/>
      <c r="CE2" s="101"/>
    </row>
    <row r="3" spans="1:83" x14ac:dyDescent="0.3">
      <c r="A3" s="107">
        <v>1</v>
      </c>
      <c r="B3" s="107">
        <f>+A3+1</f>
        <v>2</v>
      </c>
      <c r="C3" s="107">
        <f t="shared" ref="C3:BN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2">
        <f t="shared" si="0"/>
        <v>11</v>
      </c>
      <c r="L3" s="102">
        <f t="shared" si="0"/>
        <v>12</v>
      </c>
      <c r="M3" s="102">
        <f t="shared" si="0"/>
        <v>13</v>
      </c>
      <c r="N3" s="102">
        <f t="shared" si="0"/>
        <v>14</v>
      </c>
      <c r="O3" s="102">
        <f t="shared" si="0"/>
        <v>15</v>
      </c>
      <c r="P3" s="102">
        <f t="shared" si="0"/>
        <v>16</v>
      </c>
      <c r="Q3" s="102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2">
        <f t="shared" si="0"/>
        <v>25</v>
      </c>
      <c r="Z3" s="102">
        <f t="shared" si="0"/>
        <v>26</v>
      </c>
      <c r="AA3" s="102">
        <f t="shared" si="0"/>
        <v>27</v>
      </c>
      <c r="AB3" s="102">
        <f t="shared" si="0"/>
        <v>28</v>
      </c>
      <c r="AC3" s="102">
        <f t="shared" si="0"/>
        <v>29</v>
      </c>
      <c r="AD3" s="102">
        <f t="shared" si="0"/>
        <v>30</v>
      </c>
      <c r="AE3" s="102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2">
        <f t="shared" si="0"/>
        <v>39</v>
      </c>
      <c r="AN3" s="102">
        <f t="shared" si="0"/>
        <v>40</v>
      </c>
      <c r="AO3" s="102">
        <f t="shared" si="0"/>
        <v>41</v>
      </c>
      <c r="AP3" s="102">
        <f t="shared" si="0"/>
        <v>42</v>
      </c>
      <c r="AQ3" s="102">
        <f t="shared" si="0"/>
        <v>43</v>
      </c>
      <c r="AR3" s="102">
        <f t="shared" si="0"/>
        <v>44</v>
      </c>
      <c r="AS3" s="102">
        <f t="shared" si="0"/>
        <v>45</v>
      </c>
      <c r="AT3" s="107">
        <f t="shared" si="0"/>
        <v>46</v>
      </c>
      <c r="AU3" s="107">
        <f t="shared" si="0"/>
        <v>47</v>
      </c>
      <c r="AV3" s="107">
        <f t="shared" si="0"/>
        <v>48</v>
      </c>
      <c r="AW3" s="107">
        <f t="shared" si="0"/>
        <v>49</v>
      </c>
      <c r="AX3" s="107">
        <f t="shared" si="0"/>
        <v>50</v>
      </c>
      <c r="AY3" s="107">
        <f t="shared" si="0"/>
        <v>51</v>
      </c>
      <c r="AZ3" s="107">
        <f t="shared" si="0"/>
        <v>52</v>
      </c>
      <c r="BA3" s="102">
        <f t="shared" si="0"/>
        <v>53</v>
      </c>
      <c r="BB3" s="102">
        <f t="shared" si="0"/>
        <v>54</v>
      </c>
      <c r="BC3" s="102">
        <f t="shared" si="0"/>
        <v>55</v>
      </c>
      <c r="BD3" s="102">
        <f t="shared" si="0"/>
        <v>56</v>
      </c>
      <c r="BE3" s="102">
        <f t="shared" si="0"/>
        <v>57</v>
      </c>
      <c r="BF3" s="102">
        <f t="shared" si="0"/>
        <v>58</v>
      </c>
      <c r="BG3" s="102">
        <f t="shared" si="0"/>
        <v>59</v>
      </c>
      <c r="BH3" s="107">
        <f t="shared" si="0"/>
        <v>60</v>
      </c>
      <c r="BI3" s="107">
        <f t="shared" si="0"/>
        <v>61</v>
      </c>
      <c r="BJ3" s="107">
        <f t="shared" si="0"/>
        <v>62</v>
      </c>
      <c r="BK3" s="107">
        <f t="shared" si="0"/>
        <v>63</v>
      </c>
      <c r="BL3" s="107">
        <f t="shared" si="0"/>
        <v>64</v>
      </c>
      <c r="BM3" s="107">
        <f t="shared" si="0"/>
        <v>65</v>
      </c>
      <c r="BN3" s="107">
        <f t="shared" si="0"/>
        <v>66</v>
      </c>
      <c r="BO3" s="102">
        <f t="shared" ref="BO3:BR3" si="1">+BN3+1</f>
        <v>67</v>
      </c>
      <c r="BP3" s="102">
        <f t="shared" si="1"/>
        <v>68</v>
      </c>
      <c r="BQ3" s="102">
        <f t="shared" si="1"/>
        <v>69</v>
      </c>
      <c r="BR3" s="102">
        <f t="shared" si="1"/>
        <v>70</v>
      </c>
      <c r="BS3" s="102">
        <f>+BN3+1</f>
        <v>67</v>
      </c>
      <c r="BT3" s="102">
        <f t="shared" ref="BT3:CE3" si="2">+BS3+1</f>
        <v>68</v>
      </c>
      <c r="BU3" s="102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2">
        <f t="shared" si="2"/>
        <v>77</v>
      </c>
      <c r="CD3" s="102">
        <f t="shared" si="2"/>
        <v>78</v>
      </c>
      <c r="CE3" s="102">
        <f t="shared" si="2"/>
        <v>79</v>
      </c>
    </row>
    <row r="5" spans="1:83" x14ac:dyDescent="0.3">
      <c r="A5" s="41">
        <v>300</v>
      </c>
      <c r="B5" s="42" t="s">
        <v>0</v>
      </c>
      <c r="C5" s="42">
        <f>+'2021 Nto driftsutg'!W5</f>
        <v>696108</v>
      </c>
      <c r="D5" s="55">
        <f>IF('2021 Lønnsgr arbavg tjeneste'!D5&lt;100,0,(C5/$C$17)*'2021 Revekting utgiftsbehov'!D5*'2021 Arbavg tjeneste'!D5/'2021 Lønnsgr arbavg tjeneste'!D5)</f>
        <v>1.2421520087909109E-2</v>
      </c>
      <c r="E5" s="5">
        <f>IF('2021 Lønnsgr arbavg tjeneste'!D5&lt;100,0,C5)</f>
        <v>696108</v>
      </c>
      <c r="F5" s="55">
        <f>'2021 Revekting utgiftsbehov'!D5*E5/$E$17</f>
        <v>9.0196382698589025E-2</v>
      </c>
      <c r="G5" s="55">
        <f>'2021 Revekting utgiftsbehov'!D5/$F$17</f>
        <v>0.69992741789630675</v>
      </c>
      <c r="H5" s="55">
        <f>IF(E5=0,0,(E5/$E$17)*G5*'2021 Arbavg tjeneste'!D5/'2021 Lønnsgr arbavg tjeneste'!D5)</f>
        <v>1.2421520089085845E-2</v>
      </c>
      <c r="I5" s="5">
        <f>IF(E5=0,0,'2021 Nto driftsutg landet'!$C$5*'2021 Lønnsand og arbavg landet'!$D$6*('2021 Arbavg tjeneste'!D5/'2021 Lønnsgr arbavg tjeneste'!D5-$H$17)*'2021 Revekting utgiftsbehov'!D5)</f>
        <v>26.312231281517736</v>
      </c>
      <c r="J5" s="5">
        <f>I5*C5/1000</f>
        <v>18316.154692914748</v>
      </c>
      <c r="K5" s="55">
        <f>IF('2021 Lønnsgr arbavg tjeneste'!E5&lt;100,0,(C5/$C$17)*'2021 Revekting utgiftsbehov'!E5*'2021 Arbavg tjeneste'!E5/'2021 Lønnsgr arbavg tjeneste'!E5)</f>
        <v>0</v>
      </c>
      <c r="L5" s="5">
        <f>IF('2021 Lønnsgr arbavg tjeneste'!E5&lt;100,0,C5)</f>
        <v>0</v>
      </c>
      <c r="M5" s="55">
        <f>'2021 Revekting utgiftsbehov'!E5*L5/$L$17</f>
        <v>0</v>
      </c>
      <c r="N5" s="55">
        <f>'2021 Revekting utgiftsbehov'!E5/$M$17</f>
        <v>0.24677203184358656</v>
      </c>
      <c r="O5" s="55">
        <f>IF(L5=0,0,(L5/$L$17)*N5*'2021 Arbavg tjeneste'!E5/'2021 Lønnsgr arbavg tjeneste'!E5)</f>
        <v>0</v>
      </c>
      <c r="P5" s="5">
        <f>IF(L5=0,0,'2021 Nto driftsutg landet'!$C$6*'2021 Lønnsand og arbavg landet'!$D$7*('2021 Arbavg tjeneste'!E5/'2021 Lønnsgr arbavg tjeneste'!E5-$O$17)*'2021 Revekting utgiftsbehov'!E5)</f>
        <v>0</v>
      </c>
      <c r="Q5" s="5">
        <f>P5*C5/1000</f>
        <v>0</v>
      </c>
      <c r="R5" s="55">
        <f>IF('2021 Lønnsgr arbavg tjeneste'!F5&lt;100,0,(C5/$C$17)*'2021 Revekting utgiftsbehov'!F5*'2021 Arbavg tjeneste'!F5/'2021 Lønnsgr arbavg tjeneste'!F5)</f>
        <v>3.092300480970581E-2</v>
      </c>
      <c r="S5" s="5">
        <f>IF('2021 Lønnsgr arbavg tjeneste'!F5&lt;100,0,C5)</f>
        <v>696108</v>
      </c>
      <c r="T5" s="55">
        <f>'2021 Revekting utgiftsbehov'!F5*S5/$S$17</f>
        <v>0.22379765087286374</v>
      </c>
      <c r="U5" s="55">
        <f>'2021 Revekting utgiftsbehov'!F5/$T$17</f>
        <v>1.7366784233334505</v>
      </c>
      <c r="V5" s="55">
        <f>IF(S5=0,0,(S5/$S$17)*U5*'2021 Arbavg tjeneste'!F5/'2021 Lønnsgr arbavg tjeneste'!F5)</f>
        <v>3.0923004770914926E-2</v>
      </c>
      <c r="W5" s="5">
        <f>IF(S5=0,0,'2021 Nto driftsutg landet'!$C$7*'2021 Lønnsand og arbavg landet'!$D$8*('2021 Arbavg tjeneste'!F5/'2021 Lønnsgr arbavg tjeneste'!F5-$V$17)*'2021 Revekting utgiftsbehov'!F5)</f>
        <v>0.33655577995915414</v>
      </c>
      <c r="X5" s="5">
        <f>W5*C5/1000</f>
        <v>234.2791708758069</v>
      </c>
      <c r="Y5" s="55">
        <f>IF('2021 Lønnsgr arbavg tjeneste'!G5&lt;100,0,(C5/$C$17)*'2021 Revekting utgiftsbehov'!G5*'2021 Arbavg tjeneste'!G5/'2021 Lønnsgr arbavg tjeneste'!G5)</f>
        <v>0</v>
      </c>
      <c r="Z5" s="5">
        <f>IF('2021 Lønnsgr arbavg tjeneste'!G5&lt;100,0,C5)</f>
        <v>0</v>
      </c>
      <c r="AA5" s="55">
        <f>'2021 Revekting utgiftsbehov'!G5*Z5/$Z$17</f>
        <v>0</v>
      </c>
      <c r="AB5" s="55">
        <f>'2021 Revekting utgiftsbehov'!G5/$AA$17</f>
        <v>7.8219235279660044E-4</v>
      </c>
      <c r="AC5" s="55">
        <f>IF(Z5=0,0,(Z5/$Z$17)*AB5*'2021 Arbavg tjeneste'!G5/'2021 Lønnsgr arbavg tjeneste'!G5)</f>
        <v>0</v>
      </c>
      <c r="AD5" s="5">
        <f>IF(Z5=0,0,'2021 Nto driftsutg landet'!$C$8*'2021 Lønnsand og arbavg landet'!$D$9*('2021 Arbavg tjeneste'!G5/'2021 Lønnsgr arbavg tjeneste'!G5-$AC$17)*'2021 Revekting utgiftsbehov'!G5)</f>
        <v>0</v>
      </c>
      <c r="AE5" s="5">
        <f>+AD5*$C5/1000</f>
        <v>0</v>
      </c>
      <c r="AF5" s="55">
        <f>IF('2021 Lønnsgr arbavg tjeneste'!H5&lt;100,0,(C5/$C$17)*'2021 Revekting utgiftsbehov'!H5*'2021 Arbavg tjeneste'!H5/'2021 Lønnsgr arbavg tjeneste'!H5)</f>
        <v>1.4467403965313203E-2</v>
      </c>
      <c r="AG5" s="5">
        <f>IF('2021 Lønnsgr arbavg tjeneste'!H5&lt;100,0,C5)</f>
        <v>696108</v>
      </c>
      <c r="AH5" s="55">
        <f>'2021 Revekting utgiftsbehov'!H5*AG5/$AG$17</f>
        <v>0.1111006656179479</v>
      </c>
      <c r="AI5" s="55">
        <f>'2021 Revekting utgiftsbehov'!H5/$AH$17</f>
        <v>0.86214546110378132</v>
      </c>
      <c r="AJ5" s="55">
        <f>IF(AG5=0,0,(AG5/$AG$17)*AI5*'2021 Arbavg tjeneste'!H5/'2021 Lønnsgr arbavg tjeneste'!H5)</f>
        <v>1.4467403955341794E-2</v>
      </c>
      <c r="AK5" s="5">
        <f>IF(AG5=0,0,'2021 Nto driftsutg landet'!$C$9*'2021 Lønnsand og arbavg landet'!$D$10*('2021 Arbavg tjeneste'!H5/'2021 Lønnsgr arbavg tjeneste'!H5-$AJ$17)*'2021 Revekting utgiftsbehov'!H5)</f>
        <v>1.1440458735502139</v>
      </c>
      <c r="AL5" s="5">
        <f>+AK5*$C5/1000</f>
        <v>796.37948494529235</v>
      </c>
      <c r="AM5" s="55">
        <f>IF('2021 Lønnsgr arbavg tjeneste'!K5&lt;100,0,(C5/$C$17)*'2021 Arbavg tjeneste'!K5/'2021 Lønnsgr arbavg tjeneste'!K5)</f>
        <v>8.4558177892258019E-3</v>
      </c>
      <c r="AN5" s="5">
        <f>IF('2021 Lønnsgr arbavg tjeneste'!K5&lt;100,0,C5)</f>
        <v>696108</v>
      </c>
      <c r="AO5" s="55">
        <f t="shared" ref="AO5:AO15" si="3">AN5/$AN$17</f>
        <v>0.12886533717771309</v>
      </c>
      <c r="AP5" s="55">
        <f t="shared" ref="AP5:AP15" si="4">1/$AH$17</f>
        <v>0.99999999931076733</v>
      </c>
      <c r="AQ5" s="55">
        <f>IF(AN5=0,0,(AN5/$AN$17)*AP5*'2021 Arbavg tjeneste'!K5/'2021 Lønnsgr arbavg tjeneste'!K5)</f>
        <v>8.4558177833977746E-3</v>
      </c>
      <c r="AR5" s="5">
        <f>IF(AN5=0,0,'2021 Nto driftsutg landet'!$C$23*'2021 Lønnsand og arbavg landet'!$D$13*('2021 Arbavg tjeneste'!K5/'2021 Lønnsgr arbavg tjeneste'!K5-$AQ$17))</f>
        <v>-14.145589220100403</v>
      </c>
      <c r="AS5" s="5">
        <f>+AR5*$C5/1000</f>
        <v>-9846.8578208256513</v>
      </c>
      <c r="AT5" s="55">
        <f>IF('2021 Lønnsgr arbavg tjeneste'!L5&lt;100,0,(C5/$C$17)*'2021 Arbavg tjeneste'!L5/'2021 Lønnsgr arbavg tjeneste'!L5)</f>
        <v>0</v>
      </c>
      <c r="AU5" s="5">
        <f>IF('2021 Lønnsgr arbavg tjeneste'!L5&lt;100,0,C5)</f>
        <v>0</v>
      </c>
      <c r="AV5" s="55">
        <f t="shared" ref="AV5:AV15" si="5">AU5/$AU$17</f>
        <v>0</v>
      </c>
      <c r="AW5" s="55">
        <f t="shared" ref="AW5:AW15" si="6">1/$AV$17</f>
        <v>1</v>
      </c>
      <c r="AX5" s="55">
        <f>IF(AU5=0,0,(AU5/$AU$17)*AW5*'2021 Arbavg tjeneste'!L5/'2021 Lønnsgr arbavg tjeneste'!L5)</f>
        <v>0</v>
      </c>
      <c r="AY5" s="5">
        <f>IF(AU5=0,0,'2021 Nto driftsutg landet'!$C$24*'2021 Lønnsand og arbavg landet'!$D$14*('2021 Arbavg tjeneste'!L5/'2021 Lønnsgr arbavg tjeneste'!L5-$AX$17))</f>
        <v>0</v>
      </c>
      <c r="AZ5" s="5">
        <f>+AY5*$C5/1000</f>
        <v>0</v>
      </c>
      <c r="BA5" s="55">
        <f>IF('2021 Lønnsgr arbavg tjeneste'!M5&lt;100,0,(C5/$C$17)*'2021 Arbavg tjeneste'!M5/'2021 Lønnsgr arbavg tjeneste'!M5)</f>
        <v>0</v>
      </c>
      <c r="BB5" s="5">
        <f>IF('2021 Lønnsgr arbavg tjeneste'!M5&lt;100,0,C5)</f>
        <v>0</v>
      </c>
      <c r="BC5" s="55">
        <f t="shared" ref="BC5:BC15" si="7">BB5/$BB$17</f>
        <v>0</v>
      </c>
      <c r="BD5" s="55">
        <f t="shared" ref="BD5:BD15" si="8">1/$BC$17</f>
        <v>1</v>
      </c>
      <c r="BE5" s="55">
        <f>IF(BB5=0,0,(BB5/$BB$17)*BD5*'2021 Arbavg tjeneste'!M5/'2021 Lønnsgr arbavg tjeneste'!M5)</f>
        <v>0</v>
      </c>
      <c r="BF5" s="5">
        <f>IF(BB5=0,0,'2021 Nto driftsutg landet'!$C$25*'2021 Lønnsand og arbavg landet'!$D$15*('2021 Arbavg tjeneste'!M5/'2021 Lønnsgr arbavg tjeneste'!M5-$BE$17))</f>
        <v>0</v>
      </c>
      <c r="BG5" s="5">
        <f>+BF5*$C5/1000</f>
        <v>0</v>
      </c>
      <c r="BH5" s="55">
        <f>IF('2021 Lønnsgr arbavg tjeneste'!N5&lt;100,0,(C5/$C$17)*'2021 Arbavg tjeneste'!N5/'2021 Lønnsgr arbavg tjeneste'!N5)</f>
        <v>1.6461321594736952E-2</v>
      </c>
      <c r="BI5" s="5">
        <f>IF('2021 Lønnsgr arbavg tjeneste'!N5&lt;100,0,C5)</f>
        <v>696108</v>
      </c>
      <c r="BJ5" s="55">
        <f t="shared" ref="BJ5:BJ15" si="9">BI5/$BI$17</f>
        <v>0.12886533717771309</v>
      </c>
      <c r="BK5" s="55">
        <f t="shared" ref="BK5:BK15" si="10">1/$BJ$17</f>
        <v>1</v>
      </c>
      <c r="BL5" s="55">
        <f>IF(BI5=0,0,(BI5/$BI$17)*BK5*'2021 Arbavg tjeneste'!N5/'2021 Lønnsgr arbavg tjeneste'!N5)</f>
        <v>1.6461321594736952E-2</v>
      </c>
      <c r="BM5" s="5">
        <f>IF(BI5=0,0,'2021 Nto driftsutg landet'!$C$26*'2021 Lønnsand og arbavg landet'!$D$16*('2021 Arbavg tjeneste'!N5/'2021 Lønnsgr arbavg tjeneste'!N5-$BL$17))</f>
        <v>-5.1586985761077071E-2</v>
      </c>
      <c r="BN5" s="5">
        <f>+BM5*$C5/1000</f>
        <v>-35.910113484171838</v>
      </c>
      <c r="BO5" s="55">
        <f>IF('2021 Lønnsgr arbavg tjeneste'!O5&lt;100,0,(C5/$C$17)*'2021 Arbavg tjeneste'!O5/'2021 Lønnsgr arbavg tjeneste'!O5)</f>
        <v>0</v>
      </c>
      <c r="BP5" s="5">
        <f>IF('2021 Lønnsgr arbavg tjeneste'!O5&lt;100,0,C5)</f>
        <v>0</v>
      </c>
      <c r="BQ5" s="55">
        <f t="shared" ref="BQ5:BQ15" si="11">BP5/$BP$17</f>
        <v>0</v>
      </c>
      <c r="BR5" s="55">
        <f t="shared" ref="BR5:BR15" si="12">1/$BQ$17</f>
        <v>1</v>
      </c>
      <c r="BS5" s="55">
        <f>IF(BP5=0,0,(BP5/$BP$17)*BR5*'2021 Arbavg tjeneste'!O5/'2021 Lønnsgr arbavg tjeneste'!O5)</f>
        <v>0</v>
      </c>
      <c r="BT5" s="5">
        <f>IF(BP5=0,0,'2021 Nto driftsutg landet'!$C$27*'2021 Lønnsand og arbavg landet'!$D$17*('2021 Arbavg tjeneste'!O5/'2021 Lønnsgr arbavg tjeneste'!O5-$BS$17))</f>
        <v>0</v>
      </c>
      <c r="BU5" s="5">
        <f>+BT5*$C5/1000</f>
        <v>0</v>
      </c>
      <c r="BV5" s="55">
        <f>IF('2021 Lønnsgr arbavg tjeneste'!P5&lt;100,0,(C5/$C$17)*'2021 Arbavg tjeneste'!P5/'2021 Lønnsgr arbavg tjeneste'!P5)</f>
        <v>0</v>
      </c>
      <c r="BW5" s="5">
        <f>IF('2021 Lønnsgr arbavg tjeneste'!P5&lt;100,0,C5)</f>
        <v>0</v>
      </c>
      <c r="BX5" s="55">
        <f t="shared" ref="BX5:BX15" si="13">BW5/$BW$17</f>
        <v>0</v>
      </c>
      <c r="BY5" s="55">
        <f t="shared" ref="BY5:BY15" si="14">1/$BX$17</f>
        <v>1</v>
      </c>
      <c r="BZ5" s="55">
        <f>IF(BW5=0,0,(BW5/$BW$17)*BY5*'2021 Arbavg tjeneste'!P5/'2021 Lønnsgr arbavg tjeneste'!P5)</f>
        <v>0</v>
      </c>
      <c r="CA5" s="5">
        <f>IF(BW5=0,0,'2021 Nto driftsutg landet'!$C$28*'2021 Lønnsand og arbavg landet'!$D$18*('2021 Arbavg tjeneste'!P5/'2021 Lønnsgr arbavg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1">
        <v>1100</v>
      </c>
      <c r="B6" s="42" t="s">
        <v>139</v>
      </c>
      <c r="C6" s="42">
        <f>+'2021 Nto driftsutg'!W6</f>
        <v>484091</v>
      </c>
      <c r="D6" s="55">
        <f>IF('2021 Lønnsgr arbavg tjeneste'!D6&lt;100,0,(C6/$C$17)*'2021 Revekting utgiftsbehov'!D6*'2021 Arbavg tjeneste'!D6/'2021 Lønnsgr arbavg tjeneste'!D6)</f>
        <v>1.3399981675355839E-2</v>
      </c>
      <c r="E6" s="5">
        <f>IF('2021 Lønnsgr arbavg tjeneste'!D6&lt;100,0,C6)</f>
        <v>484091</v>
      </c>
      <c r="F6" s="55">
        <f>'2021 Revekting utgiftsbehov'!D6*E6/$E$17</f>
        <v>9.5649108947929912E-2</v>
      </c>
      <c r="G6" s="55">
        <f>'2021 Revekting utgiftsbehov'!D6/$F$17</f>
        <v>1.0673194667771111</v>
      </c>
      <c r="H6" s="55">
        <f>IF(E6=0,0,(E6/$E$17)*G6*'2021 Arbavg tjeneste'!D6/'2021 Lønnsgr arbavg tjeneste'!D6)</f>
        <v>1.3399981676625268E-2</v>
      </c>
      <c r="I6" s="5">
        <f>IF(E6=0,0,'2021 Nto driftsutg landet'!$C$5*'2021 Lønnsand og arbavg landet'!$D$6*('2021 Arbavg tjeneste'!D6/'2021 Lønnsgr arbavg tjeneste'!D6-$H$17)*'2021 Revekting utgiftsbehov'!D6)</f>
        <v>49.78143616281389</v>
      </c>
      <c r="J6" s="5">
        <f t="shared" ref="J6:J15" si="15">I6*C6/1000</f>
        <v>24098.745213492741</v>
      </c>
      <c r="K6" s="55">
        <f>IF('2021 Lønnsgr arbavg tjeneste'!E6&lt;100,0,(C6/$C$17)*'2021 Revekting utgiftsbehov'!E6*'2021 Arbavg tjeneste'!E6/'2021 Lønnsgr arbavg tjeneste'!E6)</f>
        <v>1.032786409403412E-2</v>
      </c>
      <c r="L6" s="5">
        <f>IF('2021 Lønnsgr arbavg tjeneste'!E6&lt;100,0,C6)</f>
        <v>484091</v>
      </c>
      <c r="M6" s="55">
        <f>'2021 Revekting utgiftsbehov'!E6*L6/$L$17</f>
        <v>8.4167334080264347E-2</v>
      </c>
      <c r="N6" s="55">
        <f>'2021 Revekting utgiftsbehov'!E6/$M$17</f>
        <v>0.73875233655710504</v>
      </c>
      <c r="O6" s="55">
        <f>IF(L6=0,0,(L6/$L$17)*N6*'2021 Arbavg tjeneste'!E6/'2021 Lønnsgr arbavg tjeneste'!E6)</f>
        <v>1.0704877913872647E-2</v>
      </c>
      <c r="P6" s="5">
        <f>IF(L6=0,0,'2021 Nto driftsutg landet'!$C$6*'2021 Lønnsand og arbavg landet'!$D$7*('2021 Arbavg tjeneste'!E6/'2021 Lønnsgr arbavg tjeneste'!E6-$O$17)*'2021 Revekting utgiftsbehov'!E6)</f>
        <v>-8.6752688691422701</v>
      </c>
      <c r="Q6" s="5">
        <f t="shared" ref="Q6:Q15" si="16">P6*C6/1000</f>
        <v>-4199.6195821319507</v>
      </c>
      <c r="R6" s="55">
        <f>IF('2021 Lønnsgr arbavg tjeneste'!F6&lt;100,0,(C6/$C$17)*'2021 Revekting utgiftsbehov'!F6*'2021 Arbavg tjeneste'!F6/'2021 Lønnsgr arbavg tjeneste'!F6)</f>
        <v>1.2829043785520489E-2</v>
      </c>
      <c r="S6" s="5">
        <f>IF('2021 Lønnsgr arbavg tjeneste'!F6&lt;100,0,C6)</f>
        <v>484091</v>
      </c>
      <c r="T6" s="55">
        <f>'2021 Revekting utgiftsbehov'!F6*S6/$S$17</f>
        <v>9.1853220285943643E-2</v>
      </c>
      <c r="U6" s="55">
        <f>'2021 Revekting utgiftsbehov'!F6/$T$17</f>
        <v>1.0249622923142516</v>
      </c>
      <c r="V6" s="55">
        <f>IF(S6=0,0,(S6/$S$17)*U6*'2021 Arbavg tjeneste'!F6/'2021 Lønnsgr arbavg tjeneste'!F6)</f>
        <v>1.2829043769427294E-2</v>
      </c>
      <c r="W6" s="5">
        <f>IF(S6=0,0,'2021 Nto driftsutg landet'!$C$7*'2021 Lønnsand og arbavg landet'!$D$8*('2021 Arbavg tjeneste'!F6/'2021 Lønnsgr arbavg tjeneste'!F6-$V$17)*'2021 Revekting utgiftsbehov'!F6)</f>
        <v>0.26265256949878507</v>
      </c>
      <c r="X6" s="5">
        <f t="shared" ref="X6:X15" si="17">W6*C6/1000</f>
        <v>127.14774502123636</v>
      </c>
      <c r="Y6" s="55">
        <f>IF('2021 Lønnsgr arbavg tjeneste'!G6&lt;100,0,(C6/$C$17)*'2021 Revekting utgiftsbehov'!G6*'2021 Arbavg tjeneste'!G6/'2021 Lønnsgr arbavg tjeneste'!G6)</f>
        <v>1.0765930795974861E-2</v>
      </c>
      <c r="Z6" s="5">
        <f>IF('2021 Lønnsgr arbavg tjeneste'!G6&lt;100,0,C6)</f>
        <v>484091</v>
      </c>
      <c r="AA6" s="55">
        <f>'2021 Revekting utgiftsbehov'!G6*Z6/$Z$17</f>
        <v>0.17084940818291894</v>
      </c>
      <c r="AB6" s="55">
        <f>'2021 Revekting utgiftsbehov'!G6/$AA$17</f>
        <v>0.49973065485040241</v>
      </c>
      <c r="AC6" s="55">
        <f>IF(Z6=0,0,(Z6/$Z$17)*AB6*'2021 Arbavg tjeneste'!G6/'2021 Lønnsgr arbavg tjeneste'!G6)</f>
        <v>1.4504017130169839E-2</v>
      </c>
      <c r="AD6" s="5">
        <f>IF(Z6=0,0,'2021 Nto driftsutg landet'!$C$8*'2021 Lønnsand og arbavg landet'!$D$9*('2021 Arbavg tjeneste'!G6/'2021 Lønnsgr arbavg tjeneste'!G6-$AC$17)*'2021 Revekting utgiftsbehov'!G6)</f>
        <v>0.23317364471168894</v>
      </c>
      <c r="AE6" s="5">
        <f t="shared" ref="AE6:AE15" si="18">+AD6*$C6/1000</f>
        <v>112.8772628421262</v>
      </c>
      <c r="AF6" s="55">
        <f>IF('2021 Lønnsgr arbavg tjeneste'!H6&lt;100,0,(C6/$C$17)*'2021 Revekting utgiftsbehov'!H6*'2021 Arbavg tjeneste'!H6/'2021 Lønnsgr arbavg tjeneste'!H6)</f>
        <v>1.3438954911256698E-2</v>
      </c>
      <c r="AG6" s="5">
        <f>IF('2021 Lønnsgr arbavg tjeneste'!H6&lt;100,0,C6)</f>
        <v>484091</v>
      </c>
      <c r="AH6" s="55">
        <f>'2021 Revekting utgiftsbehov'!H6*AG6/$AG$17</f>
        <v>9.6840658909156732E-2</v>
      </c>
      <c r="AI6" s="55">
        <f>'2021 Revekting utgiftsbehov'!H6/$AH$17</f>
        <v>1.0806156114272043</v>
      </c>
      <c r="AJ6" s="55">
        <f>IF(AG6=0,0,(AG6/$AG$17)*AI6*'2021 Arbavg tjeneste'!H6/'2021 Lønnsgr arbavg tjeneste'!H6)</f>
        <v>1.343895490199413E-2</v>
      </c>
      <c r="AK6" s="5">
        <f>IF(AG6=0,0,'2021 Nto driftsutg landet'!$C$9*'2021 Lønnsand og arbavg landet'!$D$10*('2021 Arbavg tjeneste'!H6/'2021 Lønnsgr arbavg tjeneste'!H6-$AJ$17)*'2021 Revekting utgiftsbehov'!H6)</f>
        <v>4.4060574157342547</v>
      </c>
      <c r="AL6" s="5">
        <f t="shared" ref="AL6:AL15" si="19">+AK6*$C6/1000</f>
        <v>2132.9327404402111</v>
      </c>
      <c r="AM6" s="55">
        <f>IF('2021 Lønnsgr arbavg tjeneste'!K6&lt;100,0,(C6/$C$17)*'2021 Arbavg tjeneste'!K6/'2021 Lønnsgr arbavg tjeneste'!K6)</f>
        <v>1.2745552349142443E-2</v>
      </c>
      <c r="AN6" s="5">
        <f>IF('2021 Lønnsgr arbavg tjeneste'!K6&lt;100,0,C6)</f>
        <v>484091</v>
      </c>
      <c r="AO6" s="55">
        <f t="shared" si="3"/>
        <v>8.9616194526849727E-2</v>
      </c>
      <c r="AP6" s="55">
        <f t="shared" si="4"/>
        <v>0.99999999931076733</v>
      </c>
      <c r="AQ6" s="55">
        <f>IF(AN6=0,0,(AN6/$AN$17)*AP6*'2021 Arbavg tjeneste'!K6/'2021 Lønnsgr arbavg tjeneste'!K6)</f>
        <v>1.2745552340357789E-2</v>
      </c>
      <c r="AR6" s="5">
        <f>IF(AN6=0,0,'2021 Nto driftsutg landet'!$C$23*'2021 Lønnsand og arbavg landet'!$D$13*('2021 Arbavg tjeneste'!K6/'2021 Lønnsgr arbavg tjeneste'!K6-$AQ$17))</f>
        <v>18.765823030598199</v>
      </c>
      <c r="AS6" s="5">
        <f t="shared" ref="AS6:AS15" si="20">+AR6*$C6/1000</f>
        <v>9084.3660367053126</v>
      </c>
      <c r="AT6" s="55">
        <f>IF('2021 Lønnsgr arbavg tjeneste'!L6&lt;100,0,(C6/$C$17)*'2021 Arbavg tjeneste'!L6/'2021 Lønnsgr arbavg tjeneste'!L6)</f>
        <v>1.2613040151280439E-2</v>
      </c>
      <c r="AU6" s="5">
        <f>IF('2021 Lønnsgr arbavg tjeneste'!L6&lt;100,0,C6)</f>
        <v>484091</v>
      </c>
      <c r="AV6" s="55">
        <f t="shared" si="5"/>
        <v>0.10287295219835788</v>
      </c>
      <c r="AW6" s="55">
        <f t="shared" si="6"/>
        <v>1</v>
      </c>
      <c r="AX6" s="55">
        <f>IF(AU6=0,0,(AU6/$AU$17)*AW6*'2021 Arbavg tjeneste'!L6/'2021 Lønnsgr arbavg tjeneste'!L6)</f>
        <v>1.4478863819305424E-2</v>
      </c>
      <c r="AY6" s="5">
        <f>IF(AU6=0,0,'2021 Nto driftsutg landet'!$C$24*'2021 Lønnsand og arbavg landet'!$D$14*('2021 Arbavg tjeneste'!L6/'2021 Lønnsgr arbavg tjeneste'!L6-$AX$17))</f>
        <v>0.48847166568010258</v>
      </c>
      <c r="AZ6" s="5">
        <f t="shared" ref="AZ6:AZ15" si="21">+AY6*$C6/1000</f>
        <v>236.46473711074654</v>
      </c>
      <c r="BA6" s="55">
        <f>IF('2021 Lønnsgr arbavg tjeneste'!M6&lt;100,0,(C6/$C$17)*'2021 Arbavg tjeneste'!M6/'2021 Lønnsgr arbavg tjeneste'!M6)</f>
        <v>1.2590193708121448E-2</v>
      </c>
      <c r="BB6" s="5">
        <f>IF('2021 Lønnsgr arbavg tjeneste'!M6&lt;100,0,C6)</f>
        <v>484091</v>
      </c>
      <c r="BC6" s="55">
        <f t="shared" si="7"/>
        <v>0.10287295219835788</v>
      </c>
      <c r="BD6" s="55">
        <f t="shared" si="8"/>
        <v>1</v>
      </c>
      <c r="BE6" s="55">
        <f>IF(BB6=0,0,(BB6/$BB$17)*BD6*'2021 Arbavg tjeneste'!M6/'2021 Lønnsgr arbavg tjeneste'!M6)</f>
        <v>1.4452637744125529E-2</v>
      </c>
      <c r="BF6" s="5">
        <f>IF(BB6=0,0,'2021 Nto driftsutg landet'!$C$25*'2021 Lønnsand og arbavg landet'!$D$15*('2021 Arbavg tjeneste'!M6/'2021 Lønnsgr arbavg tjeneste'!M6-$BE$17))</f>
        <v>4.8748764661449263E-2</v>
      </c>
      <c r="BG6" s="5">
        <f t="shared" ref="BG6:BG15" si="22">+BF6*$C6/1000</f>
        <v>23.598838233725637</v>
      </c>
      <c r="BH6" s="55">
        <f>IF('2021 Lønnsgr arbavg tjeneste'!N6&lt;100,0,(C6/$C$17)*'2021 Arbavg tjeneste'!N6/'2021 Lønnsgr arbavg tjeneste'!N6)</f>
        <v>1.2581843480842724E-2</v>
      </c>
      <c r="BI6" s="5">
        <f>IF('2021 Lønnsgr arbavg tjeneste'!N6&lt;100,0,C6)</f>
        <v>484091</v>
      </c>
      <c r="BJ6" s="55">
        <f t="shared" si="9"/>
        <v>8.9616194526849727E-2</v>
      </c>
      <c r="BK6" s="55">
        <f t="shared" si="10"/>
        <v>1</v>
      </c>
      <c r="BL6" s="55">
        <f>IF(BI6=0,0,(BI6/$BI$17)*BK6*'2021 Arbavg tjeneste'!N6/'2021 Lønnsgr arbavg tjeneste'!N6)</f>
        <v>1.2581843480842724E-2</v>
      </c>
      <c r="BM6" s="5">
        <f>IF(BI6=0,0,'2021 Nto driftsutg landet'!$C$26*'2021 Lønnsand og arbavg landet'!$D$16*('2021 Arbavg tjeneste'!N6/'2021 Lønnsgr arbavg tjeneste'!N6-$BL$17))</f>
        <v>0.31784729798966693</v>
      </c>
      <c r="BN6" s="5">
        <f t="shared" ref="BN6:BN15" si="23">+BM6*$C6/1000</f>
        <v>153.86701633111585</v>
      </c>
      <c r="BO6" s="55">
        <f>IF('2021 Lønnsgr arbavg tjeneste'!O6&lt;100,0,(C6/$C$17)*'2021 Arbavg tjeneste'!O6/'2021 Lønnsgr arbavg tjeneste'!O6)</f>
        <v>0</v>
      </c>
      <c r="BP6" s="5">
        <f>IF('2021 Lønnsgr arbavg tjeneste'!O6&lt;100,0,C6)</f>
        <v>0</v>
      </c>
      <c r="BQ6" s="55">
        <f t="shared" si="11"/>
        <v>0</v>
      </c>
      <c r="BR6" s="55">
        <f t="shared" si="12"/>
        <v>1</v>
      </c>
      <c r="BS6" s="55">
        <f>IF(BP6=0,0,(BP6/$BP$17)*BR6*'2021 Arbavg tjeneste'!O6/'2021 Lønnsgr arbavg tjeneste'!O6)</f>
        <v>0</v>
      </c>
      <c r="BT6" s="5">
        <f>IF(BP6=0,0,'2021 Nto driftsutg landet'!$C$27*'2021 Lønnsand og arbavg landet'!$D$17*('2021 Arbavg tjeneste'!O6/'2021 Lønnsgr arbavg tjeneste'!O6-$BS$17))</f>
        <v>0</v>
      </c>
      <c r="BU6" s="5">
        <f t="shared" ref="BU6:BU15" si="24">+BT6*$C6/1000</f>
        <v>0</v>
      </c>
      <c r="BV6" s="55">
        <f>IF('2021 Lønnsgr arbavg tjeneste'!P6&lt;100,0,(C6/$C$17)*'2021 Arbavg tjeneste'!P6/'2021 Lønnsgr arbavg tjeneste'!P6)</f>
        <v>1.2648791618951636E-2</v>
      </c>
      <c r="BW6" s="5">
        <f>IF('2021 Lønnsgr arbavg tjeneste'!P6&lt;100,0,C6)</f>
        <v>484091</v>
      </c>
      <c r="BX6" s="55">
        <f t="shared" si="13"/>
        <v>0.15878442538879292</v>
      </c>
      <c r="BY6" s="55">
        <f t="shared" si="14"/>
        <v>1</v>
      </c>
      <c r="BZ6" s="55">
        <f>IF(BW6=0,0,(BW6/$BW$17)*BY6*'2021 Arbavg tjeneste'!P6/'2021 Lønnsgr arbavg tjeneste'!P6)</f>
        <v>2.2411475065213501E-2</v>
      </c>
      <c r="CA6" s="5">
        <f>IF(BW6=0,0,'2021 Nto driftsutg landet'!$C$28*'2021 Lønnsand og arbavg landet'!$D$18*('2021 Arbavg tjeneste'!P6/'2021 Lønnsgr arbavg tjeneste'!P6-$BZ$17))</f>
        <v>2.8641865450515134E-4</v>
      </c>
      <c r="CB6" s="5">
        <f t="shared" ref="CB6:CB15" si="25">+CA6*$C6/1000</f>
        <v>0.13865269287805321</v>
      </c>
      <c r="CC6" s="5"/>
      <c r="CD6" s="5"/>
      <c r="CE6" s="5"/>
    </row>
    <row r="7" spans="1:83" x14ac:dyDescent="0.3">
      <c r="A7" s="41">
        <v>1500</v>
      </c>
      <c r="B7" s="42" t="s">
        <v>140</v>
      </c>
      <c r="C7" s="42">
        <f>+'2021 Nto driftsutg'!W7</f>
        <v>265297</v>
      </c>
      <c r="D7" s="55">
        <f>IF('2021 Lønnsgr arbavg tjeneste'!D7&lt;100,0,(C7/$C$17)*'2021 Revekting utgiftsbehov'!D7*'2021 Arbavg tjeneste'!D7/'2021 Lønnsgr arbavg tjeneste'!D7)</f>
        <v>7.3910363762190517E-3</v>
      </c>
      <c r="E7" s="5">
        <f>IF('2021 Lønnsgr arbavg tjeneste'!D7&lt;100,0,C7)</f>
        <v>265297</v>
      </c>
      <c r="F7" s="55">
        <f>'2021 Revekting utgiftsbehov'!D7*E7/$E$17</f>
        <v>5.4771655641091953E-2</v>
      </c>
      <c r="G7" s="55">
        <f>'2021 Revekting utgiftsbehov'!D7/$F$17</f>
        <v>1.1152289651276499</v>
      </c>
      <c r="H7" s="55">
        <f>IF(E7=0,0,(E7/$E$17)*G7*'2021 Arbavg tjeneste'!D7/'2021 Lønnsgr arbavg tjeneste'!D7)</f>
        <v>7.3910363769192329E-3</v>
      </c>
      <c r="I7" s="5">
        <f>IF(E7=0,0,'2021 Nto driftsutg landet'!$C$5*'2021 Lønnsand og arbavg landet'!$D$6*('2021 Arbavg tjeneste'!D7/'2021 Lønnsgr arbavg tjeneste'!D7-$H$17)*'2021 Revekting utgiftsbehov'!D7)</f>
        <v>30.158126593743564</v>
      </c>
      <c r="J7" s="5">
        <f t="shared" si="15"/>
        <v>8000.8605109403861</v>
      </c>
      <c r="K7" s="55">
        <f>IF('2021 Lønnsgr arbavg tjeneste'!E7&lt;100,0,(C7/$C$17)*'2021 Revekting utgiftsbehov'!E7*'2021 Arbavg tjeneste'!E7/'2021 Lønnsgr arbavg tjeneste'!E7)</f>
        <v>2.1937181754888735E-2</v>
      </c>
      <c r="L7" s="5">
        <f>IF('2021 Lønnsgr arbavg tjeneste'!E7&lt;100,0,C7)</f>
        <v>265297</v>
      </c>
      <c r="M7" s="55">
        <f>'2021 Revekting utgiftsbehov'!E7*L7/$L$17</f>
        <v>8.2249549104657108E-2</v>
      </c>
      <c r="N7" s="55">
        <f>'2021 Revekting utgiftsbehov'!E7/$M$17</f>
        <v>1.3172963586134345</v>
      </c>
      <c r="O7" s="55">
        <f>IF(L7=0,0,(L7/$L$17)*N7*'2021 Arbavg tjeneste'!E7/'2021 Lønnsgr arbavg tjeneste'!E7)</f>
        <v>2.273798825414158E-2</v>
      </c>
      <c r="P7" s="5">
        <f>IF(L7=0,0,'2021 Nto driftsutg landet'!$C$6*'2021 Lønnsand og arbavg landet'!$D$7*('2021 Arbavg tjeneste'!E7/'2021 Lønnsgr arbavg tjeneste'!E7-$O$17)*'2021 Revekting utgiftsbehov'!E7)</f>
        <v>18.368605594555419</v>
      </c>
      <c r="Q7" s="5">
        <f t="shared" si="16"/>
        <v>4873.1359584187685</v>
      </c>
      <c r="R7" s="55">
        <f>IF('2021 Lønnsgr arbavg tjeneste'!F7&lt;100,0,(C7/$C$17)*'2021 Revekting utgiftsbehov'!F7*'2021 Arbavg tjeneste'!F7/'2021 Lønnsgr arbavg tjeneste'!F7)</f>
        <v>6.805779864781941E-3</v>
      </c>
      <c r="S7" s="5">
        <f>IF('2021 Lønnsgr arbavg tjeneste'!F7&lt;100,0,C7)</f>
        <v>265297</v>
      </c>
      <c r="T7" s="55">
        <f>'2021 Revekting utgiftsbehov'!F7*S7/$S$17</f>
        <v>4.8941919920543704E-2</v>
      </c>
      <c r="U7" s="55">
        <f>'2021 Revekting utgiftsbehov'!F7/$T$17</f>
        <v>0.9965272364299218</v>
      </c>
      <c r="V7" s="55">
        <f>IF(S7=0,0,(S7/$S$17)*U7*'2021 Arbavg tjeneste'!F7/'2021 Lønnsgr arbavg tjeneste'!F7)</f>
        <v>6.805779856244535E-3</v>
      </c>
      <c r="W7" s="5">
        <f>IF(S7=0,0,'2021 Nto driftsutg landet'!$C$7*'2021 Lønnsand og arbavg landet'!$D$8*('2021 Arbavg tjeneste'!F7/'2021 Lønnsgr arbavg tjeneste'!F7-$V$17)*'2021 Revekting utgiftsbehov'!F7)</f>
        <v>0.22994029712929365</v>
      </c>
      <c r="X7" s="5">
        <f t="shared" si="17"/>
        <v>61.002471007510216</v>
      </c>
      <c r="Y7" s="55">
        <f>IF('2021 Lønnsgr arbavg tjeneste'!G7&lt;100,0,(C7/$C$17)*'2021 Revekting utgiftsbehov'!G7*'2021 Arbavg tjeneste'!G7/'2021 Lønnsgr arbavg tjeneste'!G7)</f>
        <v>2.1647270237515958E-2</v>
      </c>
      <c r="Z7" s="5">
        <f>IF('2021 Lønnsgr arbavg tjeneste'!G7&lt;100,0,C7)</f>
        <v>265297</v>
      </c>
      <c r="AA7" s="55">
        <f>'2021 Revekting utgiftsbehov'!G7*Z7/$Z$17</f>
        <v>0.34542645361586488</v>
      </c>
      <c r="AB7" s="55">
        <f>'2021 Revekting utgiftsbehov'!G7/$AA$17</f>
        <v>1.8436257941873588</v>
      </c>
      <c r="AC7" s="55">
        <f>IF(Z7=0,0,(Z7/$Z$17)*AB7*'2021 Arbavg tjeneste'!G7/'2021 Lønnsgr arbavg tjeneste'!G7)</f>
        <v>2.9163514450950619E-2</v>
      </c>
      <c r="AD7" s="5">
        <f>IF(Z7=0,0,'2021 Nto driftsutg landet'!$C$8*'2021 Lønnsand og arbavg landet'!$D$9*('2021 Arbavg tjeneste'!G7/'2021 Lønnsgr arbavg tjeneste'!G7-$AC$17)*'2021 Revekting utgiftsbehov'!G7)</f>
        <v>0.8471265646091507</v>
      </c>
      <c r="AE7" s="5">
        <f t="shared" si="18"/>
        <v>224.74013621111385</v>
      </c>
      <c r="AF7" s="55">
        <f>IF('2021 Lønnsgr arbavg tjeneste'!H7&lt;100,0,(C7/$C$17)*'2021 Revekting utgiftsbehov'!H7*'2021 Arbavg tjeneste'!H7/'2021 Lønnsgr arbavg tjeneste'!H7)</f>
        <v>6.4158731804193677E-3</v>
      </c>
      <c r="AG7" s="5">
        <f>IF('2021 Lønnsgr arbavg tjeneste'!H7&lt;100,0,C7)</f>
        <v>265297</v>
      </c>
      <c r="AH7" s="55">
        <f>'2021 Revekting utgiftsbehov'!H7*AG7/$AG$17</f>
        <v>5.0603622928165962E-2</v>
      </c>
      <c r="AI7" s="55">
        <f>'2021 Revekting utgiftsbehov'!H7/$AH$17</f>
        <v>1.0303618783308408</v>
      </c>
      <c r="AJ7" s="55">
        <f>IF(AG7=0,0,(AG7/$AG$17)*AI7*'2021 Arbavg tjeneste'!H7/'2021 Lønnsgr arbavg tjeneste'!H7)</f>
        <v>6.415873175997339E-3</v>
      </c>
      <c r="AK7" s="5">
        <f>IF(AG7=0,0,'2021 Nto driftsutg landet'!$C$9*'2021 Lønnsand og arbavg landet'!$D$10*('2021 Arbavg tjeneste'!H7/'2021 Lønnsgr arbavg tjeneste'!H7-$AJ$17)*'2021 Revekting utgiftsbehov'!H7)</f>
        <v>0.23038385289289326</v>
      </c>
      <c r="AL7" s="5">
        <f t="shared" si="19"/>
        <v>61.120145020925904</v>
      </c>
      <c r="AM7" s="55">
        <f>IF('2021 Lønnsgr arbavg tjeneste'!K7&lt;100,0,(C7/$C$17)*'2021 Arbavg tjeneste'!K7/'2021 Lønnsgr arbavg tjeneste'!K7)</f>
        <v>6.9419498839652267E-3</v>
      </c>
      <c r="AN7" s="5">
        <f>IF('2021 Lønnsgr arbavg tjeneste'!K7&lt;100,0,C7)</f>
        <v>265297</v>
      </c>
      <c r="AO7" s="55">
        <f t="shared" si="3"/>
        <v>4.9112475876208504E-2</v>
      </c>
      <c r="AP7" s="55">
        <f t="shared" si="4"/>
        <v>0.99999999931076733</v>
      </c>
      <c r="AQ7" s="55">
        <f>IF(AN7=0,0,(AN7/$AN$17)*AP7*'2021 Arbavg tjeneste'!K7/'2021 Lønnsgr arbavg tjeneste'!K7)</f>
        <v>6.9419498791806079E-3</v>
      </c>
      <c r="AR7" s="5">
        <f>IF(AN7=0,0,'2021 Nto driftsutg landet'!$C$23*'2021 Lønnsand og arbavg landet'!$D$13*('2021 Arbavg tjeneste'!K7/'2021 Lønnsgr arbavg tjeneste'!K7-$AQ$17))</f>
        <v>18.389576990627223</v>
      </c>
      <c r="AS7" s="5">
        <f t="shared" si="20"/>
        <v>4878.699606882431</v>
      </c>
      <c r="AT7" s="55">
        <f>IF('2021 Lønnsgr arbavg tjeneste'!L7&lt;100,0,(C7/$C$17)*'2021 Arbavg tjeneste'!L7/'2021 Lønnsgr arbavg tjeneste'!L7)</f>
        <v>6.7441660742044614E-3</v>
      </c>
      <c r="AU7" s="5">
        <f>IF('2021 Lønnsgr arbavg tjeneste'!L7&lt;100,0,C7)</f>
        <v>265297</v>
      </c>
      <c r="AV7" s="55">
        <f t="shared" si="5"/>
        <v>5.6377593467690473E-2</v>
      </c>
      <c r="AW7" s="55">
        <f t="shared" si="6"/>
        <v>1</v>
      </c>
      <c r="AX7" s="55">
        <f>IF(AU7=0,0,(AU7/$AU$17)*AW7*'2021 Arbavg tjeneste'!L7/'2021 Lønnsgr arbavg tjeneste'!L7)</f>
        <v>7.7418180701877125E-3</v>
      </c>
      <c r="AY7" s="5">
        <f>IF(AU7=0,0,'2021 Nto driftsutg landet'!$C$24*'2021 Lønnsand og arbavg landet'!$D$14*('2021 Arbavg tjeneste'!L7/'2021 Lønnsgr arbavg tjeneste'!L7-$AX$17))</f>
        <v>0.31022991016595386</v>
      </c>
      <c r="AZ7" s="5">
        <f t="shared" si="21"/>
        <v>82.303064477297056</v>
      </c>
      <c r="BA7" s="55">
        <f>IF('2021 Lønnsgr arbavg tjeneste'!M7&lt;100,0,(C7/$C$17)*'2021 Arbavg tjeneste'!M7/'2021 Lønnsgr arbavg tjeneste'!M7)</f>
        <v>6.7580261668593825E-3</v>
      </c>
      <c r="BB7" s="5">
        <f>IF('2021 Lønnsgr arbavg tjeneste'!M7&lt;100,0,C7)</f>
        <v>265297</v>
      </c>
      <c r="BC7" s="55">
        <f t="shared" si="7"/>
        <v>5.6377593467690473E-2</v>
      </c>
      <c r="BD7" s="55">
        <f t="shared" si="8"/>
        <v>1</v>
      </c>
      <c r="BE7" s="55">
        <f>IF(BB7=0,0,(BB7/$BB$17)*BD7*'2021 Arbavg tjeneste'!M7/'2021 Lønnsgr arbavg tjeneste'!M7)</f>
        <v>7.7577284606777635E-3</v>
      </c>
      <c r="BF7" s="5">
        <f>IF(BB7=0,0,'2021 Nto driftsutg landet'!$C$25*'2021 Lønnsand og arbavg landet'!$D$15*('2021 Arbavg tjeneste'!M7/'2021 Lønnsgr arbavg tjeneste'!M7-$BE$17))</f>
        <v>3.2404820420445145E-2</v>
      </c>
      <c r="BG7" s="5">
        <f t="shared" si="22"/>
        <v>8.5969016430828358</v>
      </c>
      <c r="BH7" s="55">
        <f>IF('2021 Lønnsgr arbavg tjeneste'!N7&lt;100,0,(C7/$C$17)*'2021 Arbavg tjeneste'!N7/'2021 Lønnsgr arbavg tjeneste'!N7)</f>
        <v>6.6130527173021919E-3</v>
      </c>
      <c r="BI7" s="5">
        <f>IF('2021 Lønnsgr arbavg tjeneste'!N7&lt;100,0,C7)</f>
        <v>265297</v>
      </c>
      <c r="BJ7" s="55">
        <f t="shared" si="9"/>
        <v>4.9112475876208504E-2</v>
      </c>
      <c r="BK7" s="55">
        <f t="shared" si="10"/>
        <v>1</v>
      </c>
      <c r="BL7" s="55">
        <f>IF(BI7=0,0,(BI7/$BI$17)*BK7*'2021 Arbavg tjeneste'!N7/'2021 Lønnsgr arbavg tjeneste'!N7)</f>
        <v>6.6130527173021919E-3</v>
      </c>
      <c r="BM7" s="5">
        <f>IF(BI7=0,0,'2021 Nto driftsutg landet'!$C$26*'2021 Lønnsand og arbavg landet'!$D$16*('2021 Arbavg tjeneste'!N7/'2021 Lønnsgr arbavg tjeneste'!N7-$BL$17))</f>
        <v>0.15013115880536512</v>
      </c>
      <c r="BN7" s="5">
        <f t="shared" si="23"/>
        <v>39.829346037586951</v>
      </c>
      <c r="BO7" s="55">
        <f>IF('2021 Lønnsgr arbavg tjeneste'!O7&lt;100,0,(C7/$C$17)*'2021 Arbavg tjeneste'!O7/'2021 Lønnsgr arbavg tjeneste'!O7)</f>
        <v>0</v>
      </c>
      <c r="BP7" s="5">
        <f>IF('2021 Lønnsgr arbavg tjeneste'!O7&lt;100,0,C7)</f>
        <v>0</v>
      </c>
      <c r="BQ7" s="55">
        <f t="shared" si="11"/>
        <v>0</v>
      </c>
      <c r="BR7" s="55">
        <f t="shared" si="12"/>
        <v>1</v>
      </c>
      <c r="BS7" s="55">
        <f>IF(BP7=0,0,(BP7/$BP$17)*BR7*'2021 Arbavg tjeneste'!O7/'2021 Lønnsgr arbavg tjeneste'!O7)</f>
        <v>0</v>
      </c>
      <c r="BT7" s="5">
        <f>IF(BP7=0,0,'2021 Nto driftsutg landet'!$C$27*'2021 Lønnsand og arbavg landet'!$D$17*('2021 Arbavg tjeneste'!O7/'2021 Lønnsgr arbavg tjeneste'!O7-$BS$17))</f>
        <v>0</v>
      </c>
      <c r="BU7" s="5">
        <f t="shared" si="24"/>
        <v>0</v>
      </c>
      <c r="BV7" s="55">
        <f>IF('2021 Lønnsgr arbavg tjeneste'!P7&lt;100,0,(C7/$C$17)*'2021 Arbavg tjeneste'!P7/'2021 Lønnsgr arbavg tjeneste'!P7)</f>
        <v>0</v>
      </c>
      <c r="BW7" s="5">
        <f>IF('2021 Lønnsgr arbavg tjeneste'!P7&lt;100,0,C7)</f>
        <v>0</v>
      </c>
      <c r="BX7" s="55">
        <f t="shared" si="13"/>
        <v>0</v>
      </c>
      <c r="BY7" s="55">
        <f t="shared" si="14"/>
        <v>1</v>
      </c>
      <c r="BZ7" s="55">
        <f>IF(BW7=0,0,(BW7/$BW$17)*BY7*'2021 Arbavg tjeneste'!P7/'2021 Lønnsgr arbavg tjeneste'!P7)</f>
        <v>0</v>
      </c>
      <c r="CA7" s="5">
        <f>IF(BW7=0,0,'2021 Nto driftsutg landet'!$C$28*'2021 Lønnsand og arbavg landet'!$D$18*('2021 Arbavg tjeneste'!P7/'2021 Lønnsgr arbavg tjeneste'!P7-$BZ$17))</f>
        <v>0</v>
      </c>
      <c r="CB7" s="5">
        <f t="shared" si="25"/>
        <v>0</v>
      </c>
      <c r="CC7" s="5"/>
      <c r="CD7" s="5"/>
      <c r="CE7" s="5"/>
    </row>
    <row r="8" spans="1:83" x14ac:dyDescent="0.3">
      <c r="A8" s="41">
        <v>1800</v>
      </c>
      <c r="B8" s="42" t="s">
        <v>141</v>
      </c>
      <c r="C8" s="42">
        <f>+'2021 Nto driftsutg'!W8</f>
        <v>240496</v>
      </c>
      <c r="D8" s="55">
        <f>IF('2021 Lønnsgr arbavg tjeneste'!D8&lt;100,0,(C8/$C$17)*'2021 Revekting utgiftsbehov'!D8*'2021 Arbavg tjeneste'!D8/'2021 Lønnsgr arbavg tjeneste'!D8)</f>
        <v>2.8211786181170672E-3</v>
      </c>
      <c r="E8" s="5">
        <f>IF('2021 Lønnsgr arbavg tjeneste'!D8&lt;100,0,C8)</f>
        <v>240496</v>
      </c>
      <c r="F8" s="55">
        <f>'2021 Revekting utgiftsbehov'!D8*E8/$E$17</f>
        <v>4.8909291560517279E-2</v>
      </c>
      <c r="G8" s="55">
        <f>'2021 Revekting utgiftsbehov'!D8/$F$17</f>
        <v>1.0985606160140704</v>
      </c>
      <c r="H8" s="55">
        <f>IF(E8=0,0,(E8/$E$17)*G8*'2021 Arbavg tjeneste'!D8/'2021 Lønnsgr arbavg tjeneste'!D8)</f>
        <v>2.8211786183843283E-3</v>
      </c>
      <c r="I8" s="5">
        <f>IF(E8=0,0,'2021 Nto driftsutg landet'!$C$5*'2021 Lønnsand og arbavg landet'!$D$6*('2021 Arbavg tjeneste'!D8/'2021 Lønnsgr arbavg tjeneste'!D8-$H$17)*'2021 Revekting utgiftsbehov'!D8)</f>
        <v>-293.15027517086031</v>
      </c>
      <c r="J8" s="5">
        <f t="shared" si="15"/>
        <v>-70501.468577491221</v>
      </c>
      <c r="K8" s="55">
        <f>IF('2021 Lønnsgr arbavg tjeneste'!E8&lt;100,0,(C8/$C$17)*'2021 Revekting utgiftsbehov'!E8*'2021 Arbavg tjeneste'!E8/'2021 Lønnsgr arbavg tjeneste'!E8)</f>
        <v>7.8917079961046896E-3</v>
      </c>
      <c r="L8" s="5">
        <f>IF('2021 Lønnsgr arbavg tjeneste'!E8&lt;100,0,C8)</f>
        <v>240496</v>
      </c>
      <c r="M8" s="55">
        <f>'2021 Revekting utgiftsbehov'!E8*L8/$L$17</f>
        <v>8.8967349640121027E-2</v>
      </c>
      <c r="N8" s="55">
        <f>'2021 Revekting utgiftsbehov'!E8/$M$17</f>
        <v>1.5718282864962618</v>
      </c>
      <c r="O8" s="55">
        <f>IF(L8=0,0,(L8/$L$17)*N8*'2021 Arbavg tjeneste'!E8/'2021 Lønnsgr arbavg tjeneste'!E8)</f>
        <v>8.1797910837181648E-3</v>
      </c>
      <c r="P8" s="5">
        <f>IF(L8=0,0,'2021 Nto driftsutg landet'!$C$6*'2021 Lønnsand og arbavg landet'!$D$7*('2021 Arbavg tjeneste'!E8/'2021 Lønnsgr arbavg tjeneste'!E8-$O$17)*'2021 Revekting utgiftsbehov'!E8)</f>
        <v>-27.991668780742632</v>
      </c>
      <c r="Q8" s="5">
        <f t="shared" si="16"/>
        <v>-6731.8843750934793</v>
      </c>
      <c r="R8" s="55">
        <f>IF('2021 Lønnsgr arbavg tjeneste'!F8&lt;100,0,(C8/$C$17)*'2021 Revekting utgiftsbehov'!F8*'2021 Arbavg tjeneste'!F8/'2021 Lønnsgr arbavg tjeneste'!F8)</f>
        <v>3.5574685555996633E-3</v>
      </c>
      <c r="S8" s="5">
        <f>IF('2021 Lønnsgr arbavg tjeneste'!F8&lt;100,0,C8)</f>
        <v>240496</v>
      </c>
      <c r="T8" s="55">
        <f>'2021 Revekting utgiftsbehov'!F8*S8/$S$17</f>
        <v>4.5255104798638028E-2</v>
      </c>
      <c r="U8" s="55">
        <f>'2021 Revekting utgiftsbehov'!F8/$T$17</f>
        <v>1.016483251996888</v>
      </c>
      <c r="V8" s="55">
        <f>IF(S8=0,0,(S8/$S$17)*U8*'2021 Arbavg tjeneste'!F8/'2021 Lønnsgr arbavg tjeneste'!F8)</f>
        <v>3.5574685511370516E-3</v>
      </c>
      <c r="W8" s="5">
        <f>IF(S8=0,0,'2021 Nto driftsutg landet'!$C$7*'2021 Lønnsand og arbavg landet'!$D$8*('2021 Arbavg tjeneste'!F8/'2021 Lønnsgr arbavg tjeneste'!F8-$V$17)*'2021 Revekting utgiftsbehov'!F8)</f>
        <v>-2.3327036494844156</v>
      </c>
      <c r="X8" s="5">
        <f t="shared" si="17"/>
        <v>-561.005896886404</v>
      </c>
      <c r="Y8" s="55">
        <f>IF('2021 Lønnsgr arbavg tjeneste'!G8&lt;100,0,(C8/$C$17)*'2021 Revekting utgiftsbehov'!G8*'2021 Arbavg tjeneste'!G8/'2021 Lønnsgr arbavg tjeneste'!G8)</f>
        <v>1.8244536286872958E-2</v>
      </c>
      <c r="Z8" s="5">
        <f>IF('2021 Lønnsgr arbavg tjeneste'!G8&lt;100,0,C8)</f>
        <v>240496</v>
      </c>
      <c r="AA8" s="55">
        <f>'2021 Revekting utgiftsbehov'!G8*Z8/$Z$17</f>
        <v>0.55684997250693613</v>
      </c>
      <c r="AB8" s="55">
        <f>'2021 Revekting utgiftsbehov'!G8/$AA$17</f>
        <v>3.2785353139754663</v>
      </c>
      <c r="AC8" s="55">
        <f>IF(Z8=0,0,(Z8/$Z$17)*AB8*'2021 Arbavg tjeneste'!G8/'2021 Lønnsgr arbavg tjeneste'!G8)</f>
        <v>2.4579302231419294E-2</v>
      </c>
      <c r="AD8" s="5">
        <f>IF(Z8=0,0,'2021 Nto driftsutg landet'!$C$8*'2021 Lønnsand og arbavg landet'!$D$9*('2021 Arbavg tjeneste'!G8/'2021 Lønnsgr arbavg tjeneste'!G8-$AC$17)*'2021 Revekting utgiftsbehov'!G8)</f>
        <v>-0.50856121881473548</v>
      </c>
      <c r="AE8" s="5">
        <f t="shared" si="18"/>
        <v>-122.30693888006863</v>
      </c>
      <c r="AF8" s="55">
        <f>IF('2021 Lønnsgr arbavg tjeneste'!H8&lt;100,0,(C8/$C$17)*'2021 Revekting utgiftsbehov'!H8*'2021 Arbavg tjeneste'!H8/'2021 Lønnsgr arbavg tjeneste'!H8)</f>
        <v>2.4706572026357877E-3</v>
      </c>
      <c r="AG8" s="5">
        <f>IF('2021 Lønnsgr arbavg tjeneste'!H8&lt;100,0,C8)</f>
        <v>240496</v>
      </c>
      <c r="AH8" s="55">
        <f>'2021 Revekting utgiftsbehov'!H8*AG8/$AG$17</f>
        <v>4.3873639457928361E-2</v>
      </c>
      <c r="AI8" s="55">
        <f>'2021 Revekting utgiftsbehov'!H8/$AH$17</f>
        <v>0.98545390485279294</v>
      </c>
      <c r="AJ8" s="55">
        <f>IF(AG8=0,0,(AG8/$AG$17)*AI8*'2021 Arbavg tjeneste'!H8/'2021 Lønnsgr arbavg tjeneste'!H8)</f>
        <v>2.4706572009329303E-3</v>
      </c>
      <c r="AK8" s="5">
        <f>IF(AG8=0,0,'2021 Nto driftsutg landet'!$C$9*'2021 Lønnsand og arbavg landet'!$D$10*('2021 Arbavg tjeneste'!H8/'2021 Lønnsgr arbavg tjeneste'!H8-$AJ$17)*'2021 Revekting utgiftsbehov'!H8)</f>
        <v>-22.106980655674302</v>
      </c>
      <c r="AL8" s="5">
        <f t="shared" si="19"/>
        <v>-5316.6404197670472</v>
      </c>
      <c r="AM8" s="55">
        <f>IF('2021 Lønnsgr arbavg tjeneste'!K8&lt;100,0,(C8/$C$17)*'2021 Arbavg tjeneste'!K8/'2021 Lønnsgr arbavg tjeneste'!K8)</f>
        <v>3.4700203102464946E-3</v>
      </c>
      <c r="AN8" s="5">
        <f>IF('2021 Lønnsgr arbavg tjeneste'!K8&lt;100,0,C8)</f>
        <v>240496</v>
      </c>
      <c r="AO8" s="55">
        <f t="shared" si="3"/>
        <v>4.4521249762811639E-2</v>
      </c>
      <c r="AP8" s="55">
        <f t="shared" si="4"/>
        <v>0.99999999931076733</v>
      </c>
      <c r="AQ8" s="55">
        <f>IF(AN8=0,0,(AN8/$AN$17)*AP8*'2021 Arbavg tjeneste'!K8/'2021 Lønnsgr arbavg tjeneste'!K8)</f>
        <v>3.4700203078548431E-3</v>
      </c>
      <c r="AR8" s="5">
        <f>IF(AN8=0,0,'2021 Nto driftsutg landet'!$C$23*'2021 Lønnsand og arbavg landet'!$D$13*('2021 Arbavg tjeneste'!K8/'2021 Lønnsgr arbavg tjeneste'!K8-$AQ$17))</f>
        <v>-8.8512853337734487</v>
      </c>
      <c r="AS8" s="5">
        <f t="shared" si="20"/>
        <v>-2128.6987176311795</v>
      </c>
      <c r="AT8" s="55">
        <f>IF('2021 Lønnsgr arbavg tjeneste'!L8&lt;100,0,(C8/$C$17)*'2021 Arbavg tjeneste'!L8/'2021 Lønnsgr arbavg tjeneste'!L8)</f>
        <v>3.2382518580883943E-3</v>
      </c>
      <c r="AU8" s="5">
        <f>IF('2021 Lønnsgr arbavg tjeneste'!L8&lt;100,0,C8)</f>
        <v>240496</v>
      </c>
      <c r="AV8" s="55">
        <f t="shared" si="5"/>
        <v>5.1107195779091688E-2</v>
      </c>
      <c r="AW8" s="55">
        <f t="shared" si="6"/>
        <v>1</v>
      </c>
      <c r="AX8" s="55">
        <f>IF(AU8=0,0,(AU8/$AU$17)*AW8*'2021 Arbavg tjeneste'!L8/'2021 Lønnsgr arbavg tjeneste'!L8)</f>
        <v>3.717280457647229E-3</v>
      </c>
      <c r="AY8" s="5">
        <f>IF(AU8=0,0,'2021 Nto driftsutg landet'!$C$24*'2021 Lønnsand og arbavg landet'!$D$14*('2021 Arbavg tjeneste'!L8/'2021 Lønnsgr arbavg tjeneste'!L8-$AX$17))</f>
        <v>-3.0516281478913214</v>
      </c>
      <c r="AZ8" s="5">
        <f t="shared" si="21"/>
        <v>-733.90436305527123</v>
      </c>
      <c r="BA8" s="55">
        <f>IF('2021 Lønnsgr arbavg tjeneste'!M8&lt;100,0,(C8/$C$17)*'2021 Arbavg tjeneste'!M8/'2021 Lønnsgr arbavg tjeneste'!M8)</f>
        <v>3.2708375234575845E-3</v>
      </c>
      <c r="BB8" s="5">
        <f>IF('2021 Lønnsgr arbavg tjeneste'!M8&lt;100,0,C8)</f>
        <v>240496</v>
      </c>
      <c r="BC8" s="55">
        <f t="shared" si="7"/>
        <v>5.1107195779091688E-2</v>
      </c>
      <c r="BD8" s="55">
        <f t="shared" si="8"/>
        <v>1</v>
      </c>
      <c r="BE8" s="55">
        <f>IF(BB8=0,0,(BB8/$BB$17)*BD8*'2021 Arbavg tjeneste'!M8/'2021 Lønnsgr arbavg tjeneste'!M8)</f>
        <v>3.7546864601401375E-3</v>
      </c>
      <c r="BF8" s="5">
        <f>IF(BB8=0,0,'2021 Nto driftsutg landet'!$C$25*'2021 Lønnsand og arbavg landet'!$D$15*('2021 Arbavg tjeneste'!M8/'2021 Lønnsgr arbavg tjeneste'!M8-$BE$17))</f>
        <v>-0.33066923195525127</v>
      </c>
      <c r="BG8" s="5">
        <f t="shared" si="22"/>
        <v>-79.524627608310112</v>
      </c>
      <c r="BH8" s="55">
        <f>IF('2021 Lønnsgr arbavg tjeneste'!N8&lt;100,0,(C8/$C$17)*'2021 Arbavg tjeneste'!N8/'2021 Lønnsgr arbavg tjeneste'!N8)</f>
        <v>2.7523916732879899E-3</v>
      </c>
      <c r="BI8" s="5">
        <f>IF('2021 Lønnsgr arbavg tjeneste'!N8&lt;100,0,C8)</f>
        <v>240496</v>
      </c>
      <c r="BJ8" s="55">
        <f t="shared" si="9"/>
        <v>4.4521249762811639E-2</v>
      </c>
      <c r="BK8" s="55">
        <f t="shared" si="10"/>
        <v>1</v>
      </c>
      <c r="BL8" s="55">
        <f>IF(BI8=0,0,(BI8/$BI$17)*BK8*'2021 Arbavg tjeneste'!N8/'2021 Lønnsgr arbavg tjeneste'!N8)</f>
        <v>2.7523916732879899E-3</v>
      </c>
      <c r="BM8" s="5">
        <f>IF(BI8=0,0,'2021 Nto driftsutg landet'!$C$26*'2021 Lønnsand og arbavg landet'!$D$16*('2021 Arbavg tjeneste'!N8/'2021 Lønnsgr arbavg tjeneste'!N8-$BL$17))</f>
        <v>-1.9757029809877571</v>
      </c>
      <c r="BN8" s="5">
        <f t="shared" si="23"/>
        <v>-475.14866411563162</v>
      </c>
      <c r="BO8" s="55">
        <f>IF('2021 Lønnsgr arbavg tjeneste'!O8&lt;100,0,(C8/$C$17)*'2021 Arbavg tjeneste'!O8/'2021 Lønnsgr arbavg tjeneste'!O8)</f>
        <v>0</v>
      </c>
      <c r="BP8" s="5">
        <f>IF('2021 Lønnsgr arbavg tjeneste'!O8&lt;100,0,C8)</f>
        <v>0</v>
      </c>
      <c r="BQ8" s="55">
        <f t="shared" si="11"/>
        <v>0</v>
      </c>
      <c r="BR8" s="55">
        <f t="shared" si="12"/>
        <v>1</v>
      </c>
      <c r="BS8" s="55">
        <f>IF(BP8=0,0,(BP8/$BP$17)*BR8*'2021 Arbavg tjeneste'!O8/'2021 Lønnsgr arbavg tjeneste'!O8)</f>
        <v>0</v>
      </c>
      <c r="BT8" s="5">
        <f>IF(BP8=0,0,'2021 Nto driftsutg landet'!$C$27*'2021 Lønnsand og arbavg landet'!$D$17*('2021 Arbavg tjeneste'!O8/'2021 Lønnsgr arbavg tjeneste'!O8-$BS$17))</f>
        <v>0</v>
      </c>
      <c r="BU8" s="5">
        <f t="shared" si="24"/>
        <v>0</v>
      </c>
      <c r="BV8" s="55">
        <f>IF('2021 Lønnsgr arbavg tjeneste'!P8&lt;100,0,(C8/$C$17)*'2021 Arbavg tjeneste'!P8/'2021 Lønnsgr arbavg tjeneste'!P8)</f>
        <v>0</v>
      </c>
      <c r="BW8" s="5">
        <f>IF('2021 Lønnsgr arbavg tjeneste'!P8&lt;100,0,C8)</f>
        <v>0</v>
      </c>
      <c r="BX8" s="55">
        <f t="shared" si="13"/>
        <v>0</v>
      </c>
      <c r="BY8" s="55">
        <f t="shared" si="14"/>
        <v>1</v>
      </c>
      <c r="BZ8" s="55">
        <f>IF(BW8=0,0,(BW8/$BW$17)*BY8*'2021 Arbavg tjeneste'!P8/'2021 Lønnsgr arbavg tjeneste'!P8)</f>
        <v>0</v>
      </c>
      <c r="CA8" s="5">
        <f>IF(BW8=0,0,'2021 Nto driftsutg landet'!$C$28*'2021 Lønnsand og arbavg landet'!$D$18*('2021 Arbavg tjeneste'!P8/'2021 Lønnsgr arbavg tjeneste'!P8-$BZ$17))</f>
        <v>0</v>
      </c>
      <c r="CB8" s="5">
        <f t="shared" si="25"/>
        <v>0</v>
      </c>
      <c r="CC8" s="5"/>
      <c r="CD8" s="5"/>
      <c r="CE8" s="5"/>
    </row>
    <row r="9" spans="1:83" x14ac:dyDescent="0.3">
      <c r="A9" s="41">
        <v>3000</v>
      </c>
      <c r="B9" s="42" t="s">
        <v>403</v>
      </c>
      <c r="C9" s="42">
        <f>+'2021 Nto driftsutg'!W9</f>
        <v>1260731</v>
      </c>
      <c r="D9" s="55">
        <f>IF('2021 Lønnsgr arbavg tjeneste'!D9&lt;100,0,(C9/$C$17)*'2021 Revekting utgiftsbehov'!D9*'2021 Arbavg tjeneste'!D9/'2021 Lønnsgr arbavg tjeneste'!D9)</f>
        <v>3.3560464769577969E-2</v>
      </c>
      <c r="E9" s="5">
        <f>IF('2021 Lønnsgr arbavg tjeneste'!D9&lt;100,0,C9)</f>
        <v>1260731</v>
      </c>
      <c r="F9" s="55">
        <f>'2021 Revekting utgiftsbehov'!D9*E9/$E$17</f>
        <v>0.23836733779887084</v>
      </c>
      <c r="G9" s="55">
        <f>'2021 Revekting utgiftsbehov'!D9/$F$17</f>
        <v>1.0213270274367541</v>
      </c>
      <c r="H9" s="55">
        <f>IF(E9=0,0,(E9/$E$17)*G9*'2021 Arbavg tjeneste'!D9/'2021 Lønnsgr arbavg tjeneste'!D9)</f>
        <v>3.3560464772757273E-2</v>
      </c>
      <c r="I9" s="5">
        <f>IF(E9=0,0,'2021 Nto driftsutg landet'!$C$5*'2021 Lønnsand og arbavg landet'!$D$6*('2021 Arbavg tjeneste'!D9/'2021 Lønnsgr arbavg tjeneste'!D9-$H$17)*'2021 Revekting utgiftsbehov'!D9)</f>
        <v>50.347411382744554</v>
      </c>
      <c r="J9" s="5">
        <f t="shared" si="15"/>
        <v>63474.54229997893</v>
      </c>
      <c r="K9" s="55">
        <f>IF('2021 Lønnsgr arbavg tjeneste'!E9&lt;100,0,(C9/$C$17)*'2021 Revekting utgiftsbehov'!E9*'2021 Arbavg tjeneste'!E9/'2021 Lønnsgr arbavg tjeneste'!E9)</f>
        <v>3.9007910035573717E-2</v>
      </c>
      <c r="L9" s="5">
        <f>IF('2021 Lønnsgr arbavg tjeneste'!E9&lt;100,0,C9)</f>
        <v>1260731</v>
      </c>
      <c r="M9" s="55">
        <f>'2021 Revekting utgiftsbehov'!E9*L9/$L$17</f>
        <v>0.17345081515173275</v>
      </c>
      <c r="N9" s="55">
        <f>'2021 Revekting utgiftsbehov'!E9/$M$17</f>
        <v>0.58456958836272432</v>
      </c>
      <c r="O9" s="55">
        <f>IF(L9=0,0,(L9/$L$17)*N9*'2021 Arbavg tjeneste'!E9/'2021 Lønnsgr arbavg tjeneste'!E9)</f>
        <v>4.0431875439506985E-2</v>
      </c>
      <c r="P9" s="5">
        <f>IF(L9=0,0,'2021 Nto driftsutg landet'!$C$6*'2021 Lønnsand og arbavg landet'!$D$7*('2021 Arbavg tjeneste'!E9/'2021 Lønnsgr arbavg tjeneste'!E9-$O$17)*'2021 Revekting utgiftsbehov'!E9)</f>
        <v>3.7905181362820448</v>
      </c>
      <c r="Q9" s="5">
        <f t="shared" si="16"/>
        <v>4778.8237204729985</v>
      </c>
      <c r="R9" s="55">
        <f>IF('2021 Lønnsgr arbavg tjeneste'!F9&lt;100,0,(C9/$C$17)*'2021 Revekting utgiftsbehov'!F9*'2021 Arbavg tjeneste'!F9/'2021 Lønnsgr arbavg tjeneste'!F9)</f>
        <v>2.1249910305262659E-2</v>
      </c>
      <c r="S9" s="5">
        <f>IF('2021 Lønnsgr arbavg tjeneste'!F9&lt;100,0,C9)</f>
        <v>1260731</v>
      </c>
      <c r="T9" s="55">
        <f>'2021 Revekting utgiftsbehov'!F9*S9/$S$17</f>
        <v>0.15667098049119729</v>
      </c>
      <c r="U9" s="55">
        <f>'2021 Revekting utgiftsbehov'!F9/$T$17</f>
        <v>0.67128453106191743</v>
      </c>
      <c r="V9" s="55">
        <f>IF(S9=0,0,(S9/$S$17)*U9*'2021 Arbavg tjeneste'!F9/'2021 Lønnsgr arbavg tjeneste'!F9)</f>
        <v>2.1249910278606034E-2</v>
      </c>
      <c r="W9" s="5">
        <f>IF(S9=0,0,'2021 Nto driftsutg landet'!$C$7*'2021 Lønnsand og arbavg landet'!$D$8*('2021 Arbavg tjeneste'!F9/'2021 Lønnsgr arbavg tjeneste'!F9-$V$17)*'2021 Revekting utgiftsbehov'!F9)</f>
        <v>5.8852228743677293E-2</v>
      </c>
      <c r="X9" s="5">
        <f t="shared" si="17"/>
        <v>74.196829196245019</v>
      </c>
      <c r="Y9" s="55">
        <f>IF('2021 Lønnsgr arbavg tjeneste'!G9&lt;100,0,(C9/$C$17)*'2021 Revekting utgiftsbehov'!G9*'2021 Arbavg tjeneste'!G9/'2021 Lønnsgr arbavg tjeneste'!G9)</f>
        <v>0</v>
      </c>
      <c r="Z9" s="5">
        <f>IF('2021 Lønnsgr arbavg tjeneste'!G9&lt;100,0,C9)</f>
        <v>0</v>
      </c>
      <c r="AA9" s="55">
        <f>'2021 Revekting utgiftsbehov'!G9*Z9/$Z$17</f>
        <v>0</v>
      </c>
      <c r="AB9" s="55">
        <f>'2021 Revekting utgiftsbehov'!G9/$AA$17</f>
        <v>3.792928663945698E-2</v>
      </c>
      <c r="AC9" s="55">
        <f>IF(Z9=0,0,(Z9/$Z$17)*AB9*'2021 Arbavg tjeneste'!G9/'2021 Lønnsgr arbavg tjeneste'!G9)</f>
        <v>0</v>
      </c>
      <c r="AD9" s="5">
        <f>IF(Z9=0,0,'2021 Nto driftsutg landet'!$C$8*'2021 Lønnsand og arbavg landet'!$D$9*('2021 Arbavg tjeneste'!G9/'2021 Lønnsgr arbavg tjeneste'!G9-$AC$17)*'2021 Revekting utgiftsbehov'!G9)</f>
        <v>0</v>
      </c>
      <c r="AE9" s="5">
        <f t="shared" si="18"/>
        <v>0</v>
      </c>
      <c r="AF9" s="55">
        <f>IF('2021 Lønnsgr arbavg tjeneste'!H9&lt;100,0,(C9/$C$17)*'2021 Revekting utgiftsbehov'!H9*'2021 Arbavg tjeneste'!H9/'2021 Lønnsgr arbavg tjeneste'!H9)</f>
        <v>3.3853318746798713E-2</v>
      </c>
      <c r="AG9" s="5">
        <f>IF('2021 Lønnsgr arbavg tjeneste'!H9&lt;100,0,C9)</f>
        <v>1260731</v>
      </c>
      <c r="AH9" s="55">
        <f>'2021 Revekting utgiftsbehov'!H9*AG9/$AG$17</f>
        <v>0.24206864814899379</v>
      </c>
      <c r="AI9" s="55">
        <f>'2021 Revekting utgiftsbehov'!H9/$AH$17</f>
        <v>1.0371859456031376</v>
      </c>
      <c r="AJ9" s="55">
        <f>IF(AG9=0,0,(AG9/$AG$17)*AI9*'2021 Arbavg tjeneste'!H9/'2021 Lønnsgr arbavg tjeneste'!H9)</f>
        <v>3.3853318723465899E-2</v>
      </c>
      <c r="AK9" s="5">
        <f>IF(AG9=0,0,'2021 Nto driftsutg landet'!$C$9*'2021 Lønnsand og arbavg landet'!$D$10*('2021 Arbavg tjeneste'!H9/'2021 Lønnsgr arbavg tjeneste'!H9-$AJ$17)*'2021 Revekting utgiftsbehov'!H9)</f>
        <v>4.5878320481391572</v>
      </c>
      <c r="AL9" s="5">
        <f t="shared" si="19"/>
        <v>5784.0220858825278</v>
      </c>
      <c r="AM9" s="55">
        <f>IF('2021 Lønnsgr arbavg tjeneste'!K9&lt;100,0,(C9/$C$17)*'2021 Arbavg tjeneste'!K9/'2021 Lønnsgr arbavg tjeneste'!K9)</f>
        <v>8.9602675865139061E-3</v>
      </c>
      <c r="AN9" s="5">
        <f>IF('2021 Lønnsgr arbavg tjeneste'!K9&lt;100,0,C9)</f>
        <v>1260731</v>
      </c>
      <c r="AO9" s="55">
        <f t="shared" si="3"/>
        <v>0.23338982658638516</v>
      </c>
      <c r="AP9" s="55">
        <f t="shared" si="4"/>
        <v>0.99999999931076733</v>
      </c>
      <c r="AQ9" s="55">
        <f>IF(AN9=0,0,(AN9/$AN$17)*AP9*'2021 Arbavg tjeneste'!K9/'2021 Lønnsgr arbavg tjeneste'!K9)</f>
        <v>8.9602675803381968E-3</v>
      </c>
      <c r="AR9" s="5">
        <f>IF(AN9=0,0,'2021 Nto driftsutg landet'!$C$23*'2021 Lønnsand og arbavg landet'!$D$13*('2021 Arbavg tjeneste'!K9/'2021 Lønnsgr arbavg tjeneste'!K9-$AQ$17))</f>
        <v>-25.842196118724043</v>
      </c>
      <c r="AS9" s="5">
        <f t="shared" si="20"/>
        <v>-32580.057754955084</v>
      </c>
      <c r="AT9" s="55">
        <f>IF('2021 Lønnsgr arbavg tjeneste'!L9&lt;100,0,(C9/$C$17)*'2021 Arbavg tjeneste'!L9/'2021 Lønnsgr arbavg tjeneste'!L9)</f>
        <v>3.2796322068896017E-2</v>
      </c>
      <c r="AU9" s="5">
        <f>IF('2021 Lønnsgr arbavg tjeneste'!L9&lt;100,0,C9)</f>
        <v>1260731</v>
      </c>
      <c r="AV9" s="55">
        <f t="shared" si="5"/>
        <v>0.26791475135457571</v>
      </c>
      <c r="AW9" s="55">
        <f t="shared" si="6"/>
        <v>1</v>
      </c>
      <c r="AX9" s="55">
        <f>IF(AU9=0,0,(AU9/$AU$17)*AW9*'2021 Arbavg tjeneste'!L9/'2021 Lønnsgr arbavg tjeneste'!L9)</f>
        <v>3.7647821248029623E-2</v>
      </c>
      <c r="AY9" s="5">
        <f>IF(AU9=0,0,'2021 Nto driftsutg landet'!$C$24*'2021 Lønnsand og arbavg landet'!$D$14*('2021 Arbavg tjeneste'!L9/'2021 Lønnsgr arbavg tjeneste'!L9-$AX$17))</f>
        <v>0.4768402642487567</v>
      </c>
      <c r="AZ9" s="5">
        <f t="shared" si="21"/>
        <v>601.16730318659927</v>
      </c>
      <c r="BA9" s="55">
        <f>IF('2021 Lønnsgr arbavg tjeneste'!M9&lt;100,0,(C9/$C$17)*'2021 Arbavg tjeneste'!M9/'2021 Lønnsgr arbavg tjeneste'!M9)</f>
        <v>3.395355479904142E-2</v>
      </c>
      <c r="BB9" s="5">
        <f>IF('2021 Lønnsgr arbavg tjeneste'!M9&lt;100,0,C9)</f>
        <v>1260731</v>
      </c>
      <c r="BC9" s="55">
        <f t="shared" si="7"/>
        <v>0.26791475135457571</v>
      </c>
      <c r="BD9" s="55">
        <f t="shared" si="8"/>
        <v>1</v>
      </c>
      <c r="BE9" s="55">
        <f>IF(BB9=0,0,(BB9/$BB$17)*BD9*'2021 Arbavg tjeneste'!M9/'2021 Lønnsgr arbavg tjeneste'!M9)</f>
        <v>3.8976241272548243E-2</v>
      </c>
      <c r="BF9" s="5">
        <f>IF(BB9=0,0,'2021 Nto driftsutg landet'!$C$25*'2021 Lønnsand og arbavg landet'!$D$15*('2021 Arbavg tjeneste'!M9/'2021 Lønnsgr arbavg tjeneste'!M9-$BE$17))</f>
        <v>7.699624693375122E-2</v>
      </c>
      <c r="BG9" s="5">
        <f t="shared" si="22"/>
        <v>97.071555393035098</v>
      </c>
      <c r="BH9" s="55">
        <f>IF('2021 Lønnsgr arbavg tjeneste'!N9&lt;100,0,(C9/$C$17)*'2021 Arbavg tjeneste'!N9/'2021 Lønnsgr arbavg tjeneste'!N9)</f>
        <v>3.2805710849688266E-2</v>
      </c>
      <c r="BI9" s="5">
        <f>IF('2021 Lønnsgr arbavg tjeneste'!N9&lt;100,0,C9)</f>
        <v>1260731</v>
      </c>
      <c r="BJ9" s="55">
        <f t="shared" si="9"/>
        <v>0.23338982658638516</v>
      </c>
      <c r="BK9" s="55">
        <f t="shared" si="10"/>
        <v>1</v>
      </c>
      <c r="BL9" s="55">
        <f>IF(BI9=0,0,(BI9/$BI$17)*BK9*'2021 Arbavg tjeneste'!N9/'2021 Lønnsgr arbavg tjeneste'!N9)</f>
        <v>3.2805710849688266E-2</v>
      </c>
      <c r="BM9" s="5">
        <f>IF(BI9=0,0,'2021 Nto driftsutg landet'!$C$26*'2021 Lønnsand og arbavg landet'!$D$16*('2021 Arbavg tjeneste'!N9/'2021 Lønnsgr arbavg tjeneste'!N9-$BL$17))</f>
        <v>0.3226602379996768</v>
      </c>
      <c r="BN9" s="5">
        <f t="shared" si="23"/>
        <v>406.78776451357055</v>
      </c>
      <c r="BO9" s="55">
        <f>IF('2021 Lønnsgr arbavg tjeneste'!O9&lt;100,0,(C9/$C$17)*'2021 Arbavg tjeneste'!O9/'2021 Lønnsgr arbavg tjeneste'!O9)</f>
        <v>0</v>
      </c>
      <c r="BP9" s="5">
        <f>IF('2021 Lønnsgr arbavg tjeneste'!O9&lt;100,0,C9)</f>
        <v>0</v>
      </c>
      <c r="BQ9" s="55">
        <f t="shared" si="11"/>
        <v>0</v>
      </c>
      <c r="BR9" s="55">
        <f t="shared" si="12"/>
        <v>1</v>
      </c>
      <c r="BS9" s="55">
        <f>IF(BP9=0,0,(BP9/$BP$17)*BR9*'2021 Arbavg tjeneste'!O9/'2021 Lønnsgr arbavg tjeneste'!O9)</f>
        <v>0</v>
      </c>
      <c r="BT9" s="5">
        <f>IF(BP9=0,0,'2021 Nto driftsutg landet'!$C$27*'2021 Lønnsand og arbavg landet'!$D$17*('2021 Arbavg tjeneste'!O9/'2021 Lønnsgr arbavg tjeneste'!O9-$BS$17))</f>
        <v>0</v>
      </c>
      <c r="BU9" s="5">
        <f t="shared" si="24"/>
        <v>0</v>
      </c>
      <c r="BV9" s="55">
        <f>IF('2021 Lønnsgr arbavg tjeneste'!P9&lt;100,0,(C9/$C$17)*'2021 Arbavg tjeneste'!P9/'2021 Lønnsgr arbavg tjeneste'!P9)</f>
        <v>3.2777406802257866E-2</v>
      </c>
      <c r="BW9" s="5">
        <f>IF('2021 Lønnsgr arbavg tjeneste'!P9&lt;100,0,C9)</f>
        <v>1260731</v>
      </c>
      <c r="BX9" s="55">
        <f t="shared" si="13"/>
        <v>0.41352648036182921</v>
      </c>
      <c r="BY9" s="55">
        <f t="shared" si="14"/>
        <v>1</v>
      </c>
      <c r="BZ9" s="55">
        <f>IF(BW9=0,0,(BW9/$BW$17)*BY9*'2021 Arbavg tjeneste'!P9/'2021 Lønnsgr arbavg tjeneste'!P9)</f>
        <v>5.8075906171979948E-2</v>
      </c>
      <c r="CA9" s="5">
        <f>IF(BW9=0,0,'2021 Nto driftsutg landet'!$C$28*'2021 Lønnsand og arbavg landet'!$D$18*('2021 Arbavg tjeneste'!P9/'2021 Lønnsgr arbavg tjeneste'!P9-$BZ$17))</f>
        <v>2.3114068035029291E-4</v>
      </c>
      <c r="CB9" s="5">
        <f t="shared" si="25"/>
        <v>0.29140622107870512</v>
      </c>
      <c r="CC9" s="5"/>
      <c r="CD9" s="5"/>
      <c r="CE9" s="5"/>
    </row>
    <row r="10" spans="1:83" x14ac:dyDescent="0.3">
      <c r="A10" s="41">
        <v>3400</v>
      </c>
      <c r="B10" s="42" t="s">
        <v>404</v>
      </c>
      <c r="C10" s="42">
        <f>+'2021 Nto driftsutg'!W10</f>
        <v>370701</v>
      </c>
      <c r="D10" s="55">
        <f>IF('2021 Lønnsgr arbavg tjeneste'!D10&lt;100,0,(C10/$C$17)*'2021 Revekting utgiftsbehov'!D10*'2021 Arbavg tjeneste'!D10/'2021 Lønnsgr arbavg tjeneste'!D10)</f>
        <v>8.7558014642111354E-3</v>
      </c>
      <c r="E10" s="5">
        <f>IF('2021 Lønnsgr arbavg tjeneste'!D10&lt;100,0,C10)</f>
        <v>370701</v>
      </c>
      <c r="F10" s="55">
        <f>'2021 Revekting utgiftsbehov'!D10*E10/$E$17</f>
        <v>7.0418712583136728E-2</v>
      </c>
      <c r="G10" s="55">
        <f>'2021 Revekting utgiftsbehov'!D10/$F$17</f>
        <v>1.0261357863492095</v>
      </c>
      <c r="H10" s="55">
        <f>IF(E10=0,0,(E10/$E$17)*G10*'2021 Arbavg tjeneste'!D10/'2021 Lønnsgr arbavg tjeneste'!D10)</f>
        <v>8.7558014650406073E-3</v>
      </c>
      <c r="I10" s="5">
        <f>IF(E10=0,0,'2021 Nto driftsutg landet'!$C$5*'2021 Lønnsand og arbavg landet'!$D$6*('2021 Arbavg tjeneste'!D10/'2021 Lønnsgr arbavg tjeneste'!D10-$H$17)*'2021 Revekting utgiftsbehov'!D10)</f>
        <v>-13.640180904265378</v>
      </c>
      <c r="J10" s="5">
        <f t="shared" si="15"/>
        <v>-5056.4287013920793</v>
      </c>
      <c r="K10" s="55">
        <f>IF('2021 Lønnsgr arbavg tjeneste'!E10&lt;100,0,(C10/$C$17)*'2021 Revekting utgiftsbehov'!E10*'2021 Arbavg tjeneste'!E10/'2021 Lønnsgr arbavg tjeneste'!E10)</f>
        <v>1.262568973616479E-2</v>
      </c>
      <c r="L10" s="5">
        <f>IF('2021 Lønnsgr arbavg tjeneste'!E10&lt;100,0,C10)</f>
        <v>370701</v>
      </c>
      <c r="M10" s="55">
        <f>'2021 Revekting utgiftsbehov'!E10*L10/$L$17</f>
        <v>0.11975629469149665</v>
      </c>
      <c r="N10" s="55">
        <f>'2021 Revekting utgiftsbehov'!E10/$M$17</f>
        <v>1.3726407797475817</v>
      </c>
      <c r="O10" s="55">
        <f>IF(L10=0,0,(L10/$L$17)*N10*'2021 Arbavg tjeneste'!E10/'2021 Lønnsgr arbavg tjeneste'!E10)</f>
        <v>1.3086584600019283E-2</v>
      </c>
      <c r="P10" s="5">
        <f>IF(L10=0,0,'2021 Nto driftsutg landet'!$C$6*'2021 Lønnsand og arbavg landet'!$D$7*('2021 Arbavg tjeneste'!E10/'2021 Lønnsgr arbavg tjeneste'!E10-$O$17)*'2021 Revekting utgiftsbehov'!E10)</f>
        <v>-20.349529833681981</v>
      </c>
      <c r="Q10" s="5">
        <f t="shared" si="16"/>
        <v>-7543.5910588757442</v>
      </c>
      <c r="R10" s="55">
        <f>IF('2021 Lønnsgr arbavg tjeneste'!F10&lt;100,0,(C10/$C$17)*'2021 Revekting utgiftsbehov'!F10*'2021 Arbavg tjeneste'!F10/'2021 Lønnsgr arbavg tjeneste'!F10)</f>
        <v>9.7830235920348969E-3</v>
      </c>
      <c r="S10" s="5">
        <f>IF('2021 Lønnsgr arbavg tjeneste'!F10&lt;100,0,C10)</f>
        <v>370701</v>
      </c>
      <c r="T10" s="55">
        <f>'2021 Revekting utgiftsbehov'!F10*S10/$S$17</f>
        <v>6.9292817763818931E-2</v>
      </c>
      <c r="U10" s="55">
        <f>'2021 Revekting utgiftsbehov'!F10/$T$17</f>
        <v>1.0097293367093605</v>
      </c>
      <c r="V10" s="55">
        <f>IF(S10=0,0,(S10/$S$17)*U10*'2021 Arbavg tjeneste'!F10/'2021 Lønnsgr arbavg tjeneste'!F10)</f>
        <v>9.7830235797627344E-3</v>
      </c>
      <c r="W10" s="5">
        <f>IF(S10=0,0,'2021 Nto driftsutg landet'!$C$7*'2021 Lønnsand og arbavg landet'!$D$8*('2021 Arbavg tjeneste'!F10/'2021 Lønnsgr arbavg tjeneste'!F10-$V$17)*'2021 Revekting utgiftsbehov'!F10)</f>
        <v>0.32265638424980048</v>
      </c>
      <c r="X10" s="5">
        <f t="shared" si="17"/>
        <v>119.60904429778527</v>
      </c>
      <c r="Y10" s="55">
        <f>IF('2021 Lønnsgr arbavg tjeneste'!G10&lt;100,0,(C10/$C$17)*'2021 Revekting utgiftsbehov'!G10*'2021 Arbavg tjeneste'!G10/'2021 Lønnsgr arbavg tjeneste'!G10)</f>
        <v>3.7247786154813065E-4</v>
      </c>
      <c r="Z10" s="5">
        <f>IF('2021 Lønnsgr arbavg tjeneste'!G10&lt;100,0,C10)</f>
        <v>370701</v>
      </c>
      <c r="AA10" s="55">
        <f>'2021 Revekting utgiftsbehov'!G10*Z10/$Z$17</f>
        <v>5.9970554629092919E-3</v>
      </c>
      <c r="AB10" s="55">
        <f>'2021 Revekting utgiftsbehov'!G10/$AA$17</f>
        <v>2.2906768596468924E-2</v>
      </c>
      <c r="AC10" s="55">
        <f>IF(Z10=0,0,(Z10/$Z$17)*AB10*'2021 Arbavg tjeneste'!G10/'2021 Lønnsgr arbavg tjeneste'!G10)</f>
        <v>5.0180754334060564E-4</v>
      </c>
      <c r="AD10" s="5">
        <f>IF(Z10=0,0,'2021 Nto driftsutg landet'!$C$8*'2021 Lønnsand og arbavg landet'!$D$9*('2021 Arbavg tjeneste'!G10/'2021 Lønnsgr arbavg tjeneste'!G10-$AC$17)*'2021 Revekting utgiftsbehov'!G10)</f>
        <v>1.0262660068823445E-2</v>
      </c>
      <c r="AE10" s="5">
        <f t="shared" si="18"/>
        <v>3.8043783501729198</v>
      </c>
      <c r="AF10" s="55">
        <f>IF('2021 Lønnsgr arbavg tjeneste'!H10&lt;100,0,(C10/$C$17)*'2021 Revekting utgiftsbehov'!H10*'2021 Arbavg tjeneste'!H10/'2021 Lønnsgr arbavg tjeneste'!H10)</f>
        <v>7.9499267050784569E-3</v>
      </c>
      <c r="AG10" s="5">
        <f>IF('2021 Lønnsgr arbavg tjeneste'!H10&lt;100,0,C10)</f>
        <v>370701</v>
      </c>
      <c r="AH10" s="55">
        <f>'2021 Revekting utgiftsbehov'!H10*AG10/$AG$17</f>
        <v>6.6137160338762754E-2</v>
      </c>
      <c r="AI10" s="55">
        <f>'2021 Revekting utgiftsbehov'!H10/$AH$17</f>
        <v>0.96374535245575521</v>
      </c>
      <c r="AJ10" s="55">
        <f>IF(AG10=0,0,(AG10/$AG$17)*AI10*'2021 Arbavg tjeneste'!H10/'2021 Lønnsgr arbavg tjeneste'!H10)</f>
        <v>7.9499266995991073E-3</v>
      </c>
      <c r="AK10" s="5">
        <f>IF(AG10=0,0,'2021 Nto driftsutg landet'!$C$9*'2021 Lønnsand og arbavg landet'!$D$10*('2021 Arbavg tjeneste'!H10/'2021 Lønnsgr arbavg tjeneste'!H10-$AJ$17)*'2021 Revekting utgiftsbehov'!H10)</f>
        <v>-1.8242393939540269</v>
      </c>
      <c r="AL10" s="5">
        <f t="shared" si="19"/>
        <v>-676.24736757815174</v>
      </c>
      <c r="AM10" s="55">
        <f>IF('2021 Lønnsgr arbavg tjeneste'!K10&lt;100,0,(C10/$C$17)*'2021 Arbavg tjeneste'!K10/'2021 Lønnsgr arbavg tjeneste'!K10)</f>
        <v>9.6719413305197503E-3</v>
      </c>
      <c r="AN10" s="5">
        <f>IF('2021 Lønnsgr arbavg tjeneste'!K10&lt;100,0,C10)</f>
        <v>370701</v>
      </c>
      <c r="AO10" s="55">
        <f t="shared" si="3"/>
        <v>6.8625140577490015E-2</v>
      </c>
      <c r="AP10" s="55">
        <f t="shared" si="4"/>
        <v>0.99999999931076733</v>
      </c>
      <c r="AQ10" s="55">
        <f>IF(AN10=0,0,(AN10/$AN$17)*AP10*'2021 Arbavg tjeneste'!K10/'2021 Lønnsgr arbavg tjeneste'!K10)</f>
        <v>9.6719413238535307E-3</v>
      </c>
      <c r="AR10" s="5">
        <f>IF(AN10=0,0,'2021 Nto driftsutg landet'!$C$23*'2021 Lønnsand og arbavg landet'!$D$13*('2021 Arbavg tjeneste'!K10/'2021 Lønnsgr arbavg tjeneste'!K10-$AQ$17))</f>
        <v>18.213757833682241</v>
      </c>
      <c r="AS10" s="5">
        <f t="shared" si="20"/>
        <v>6751.85824270384</v>
      </c>
      <c r="AT10" s="55">
        <f>IF('2021 Lønnsgr arbavg tjeneste'!L10&lt;100,0,(C10/$C$17)*'2021 Arbavg tjeneste'!L10/'2021 Lønnsgr arbavg tjeneste'!L10)</f>
        <v>9.6951889425632709E-3</v>
      </c>
      <c r="AU10" s="5">
        <f>IF('2021 Lønnsgr arbavg tjeneste'!L10&lt;100,0,C10)</f>
        <v>370701</v>
      </c>
      <c r="AV10" s="55">
        <f t="shared" si="5"/>
        <v>7.8776730517368554E-2</v>
      </c>
      <c r="AW10" s="55">
        <f t="shared" si="6"/>
        <v>1</v>
      </c>
      <c r="AX10" s="55">
        <f>IF(AU10=0,0,(AU10/$AU$17)*AW10*'2021 Arbavg tjeneste'!L10/'2021 Lønnsgr arbavg tjeneste'!L10)</f>
        <v>1.1129380285652928E-2</v>
      </c>
      <c r="AY10" s="5">
        <f>IF(AU10=0,0,'2021 Nto driftsutg landet'!$C$24*'2021 Lønnsand og arbavg landet'!$D$14*('2021 Arbavg tjeneste'!L10/'2021 Lønnsgr arbavg tjeneste'!L10-$AX$17))</f>
        <v>0.51618499003707485</v>
      </c>
      <c r="AZ10" s="5">
        <f t="shared" si="21"/>
        <v>191.35029199173368</v>
      </c>
      <c r="BA10" s="55">
        <f>IF('2021 Lønnsgr arbavg tjeneste'!M10&lt;100,0,(C10/$C$17)*'2021 Arbavg tjeneste'!M10/'2021 Lønnsgr arbavg tjeneste'!M10)</f>
        <v>9.6390218934371795E-3</v>
      </c>
      <c r="BB10" s="5">
        <f>IF('2021 Lønnsgr arbavg tjeneste'!M10&lt;100,0,C10)</f>
        <v>370701</v>
      </c>
      <c r="BC10" s="55">
        <f t="shared" si="7"/>
        <v>7.8776730517368554E-2</v>
      </c>
      <c r="BD10" s="55">
        <f t="shared" si="8"/>
        <v>1</v>
      </c>
      <c r="BE10" s="55">
        <f>IF(BB10=0,0,(BB10/$BB$17)*BD10*'2021 Arbavg tjeneste'!M10/'2021 Lønnsgr arbavg tjeneste'!M10)</f>
        <v>1.10649045489808E-2</v>
      </c>
      <c r="BF10" s="5">
        <f>IF(BB10=0,0,'2021 Nto driftsutg landet'!$C$25*'2021 Lønnsand og arbavg landet'!$D$15*('2021 Arbavg tjeneste'!M10/'2021 Lønnsgr arbavg tjeneste'!M10-$BE$17))</f>
        <v>4.8572625600227085E-2</v>
      </c>
      <c r="BG10" s="5">
        <f t="shared" si="22"/>
        <v>18.005920882629781</v>
      </c>
      <c r="BH10" s="55">
        <f>IF('2021 Lønnsgr arbavg tjeneste'!N10&lt;100,0,(C10/$C$17)*'2021 Arbavg tjeneste'!N10/'2021 Lønnsgr arbavg tjeneste'!N10)</f>
        <v>9.7088862766691424E-3</v>
      </c>
      <c r="BI10" s="5">
        <f>IF('2021 Lønnsgr arbavg tjeneste'!N10&lt;100,0,C10)</f>
        <v>370701</v>
      </c>
      <c r="BJ10" s="55">
        <f t="shared" si="9"/>
        <v>6.8625140577490015E-2</v>
      </c>
      <c r="BK10" s="55">
        <f t="shared" si="10"/>
        <v>1</v>
      </c>
      <c r="BL10" s="55">
        <f>IF(BI10=0,0,(BI10/$BI$17)*BK10*'2021 Arbavg tjeneste'!N10/'2021 Lønnsgr arbavg tjeneste'!N10)</f>
        <v>9.7088862766691424E-3</v>
      </c>
      <c r="BM10" s="5">
        <f>IF(BI10=0,0,'2021 Nto driftsutg landet'!$C$26*'2021 Lønnsand og arbavg landet'!$D$16*('2021 Arbavg tjeneste'!N10/'2021 Lønnsgr arbavg tjeneste'!N10-$BL$17))</f>
        <v>0.34937529261671874</v>
      </c>
      <c r="BN10" s="5">
        <f t="shared" si="23"/>
        <v>129.51377034831026</v>
      </c>
      <c r="BO10" s="55">
        <f>IF('2021 Lønnsgr arbavg tjeneste'!O10&lt;100,0,(C10/$C$17)*'2021 Arbavg tjeneste'!O10/'2021 Lønnsgr arbavg tjeneste'!O10)</f>
        <v>0</v>
      </c>
      <c r="BP10" s="5">
        <f>IF('2021 Lønnsgr arbavg tjeneste'!O10&lt;100,0,C10)</f>
        <v>0</v>
      </c>
      <c r="BQ10" s="55">
        <f t="shared" si="11"/>
        <v>0</v>
      </c>
      <c r="BR10" s="55">
        <f t="shared" si="12"/>
        <v>1</v>
      </c>
      <c r="BS10" s="55">
        <f>IF(BP10=0,0,(BP10/$BP$17)*BR10*'2021 Arbavg tjeneste'!O10/'2021 Lønnsgr arbavg tjeneste'!O10)</f>
        <v>0</v>
      </c>
      <c r="BT10" s="5">
        <f>IF(BP10=0,0,'2021 Nto driftsutg landet'!$C$27*'2021 Lønnsand og arbavg landet'!$D$17*('2021 Arbavg tjeneste'!O10/'2021 Lønnsgr arbavg tjeneste'!O10-$BS$17))</f>
        <v>0</v>
      </c>
      <c r="BU10" s="5">
        <f t="shared" si="24"/>
        <v>0</v>
      </c>
      <c r="BV10" s="55">
        <f>IF('2021 Lønnsgr arbavg tjeneste'!P10&lt;100,0,(C10/$C$17)*'2021 Arbavg tjeneste'!P10/'2021 Lønnsgr arbavg tjeneste'!P10)</f>
        <v>0</v>
      </c>
      <c r="BW10" s="5">
        <f>IF('2021 Lønnsgr arbavg tjeneste'!P10&lt;100,0,C10)</f>
        <v>0</v>
      </c>
      <c r="BX10" s="55">
        <f t="shared" si="13"/>
        <v>0</v>
      </c>
      <c r="BY10" s="55">
        <f t="shared" si="14"/>
        <v>1</v>
      </c>
      <c r="BZ10" s="55">
        <f>IF(BW10=0,0,(BW10/$BW$17)*BY10*'2021 Arbavg tjeneste'!P10/'2021 Lønnsgr arbavg tjeneste'!P10)</f>
        <v>0</v>
      </c>
      <c r="CA10" s="5">
        <f>IF(BW10=0,0,'2021 Nto driftsutg landet'!$C$28*'2021 Lønnsand og arbavg landet'!$D$18*('2021 Arbavg tjeneste'!P10/'2021 Lønnsgr arbavg tjeneste'!P10-$BZ$17))</f>
        <v>0</v>
      </c>
      <c r="CB10" s="5">
        <f t="shared" si="25"/>
        <v>0</v>
      </c>
      <c r="CC10" s="5"/>
      <c r="CD10" s="5"/>
      <c r="CE10" s="5"/>
    </row>
    <row r="11" spans="1:83" x14ac:dyDescent="0.3">
      <c r="A11" s="41">
        <v>3800</v>
      </c>
      <c r="B11" s="42" t="s">
        <v>405</v>
      </c>
      <c r="C11" s="42">
        <f>+'2021 Nto driftsutg'!W11</f>
        <v>423144</v>
      </c>
      <c r="D11" s="55">
        <f>IF('2021 Lønnsgr arbavg tjeneste'!D11&lt;100,0,(C11/$C$17)*'2021 Revekting utgiftsbehov'!D11*'2021 Arbavg tjeneste'!D11/'2021 Lønnsgr arbavg tjeneste'!D11)</f>
        <v>1.1092948490317302E-2</v>
      </c>
      <c r="E11" s="5">
        <f>IF('2021 Lønnsgr arbavg tjeneste'!D11&lt;100,0,C11)</f>
        <v>423144</v>
      </c>
      <c r="F11" s="55">
        <f>'2021 Revekting utgiftsbehov'!D11*E11/$E$17</f>
        <v>7.9813111221490041E-2</v>
      </c>
      <c r="G11" s="55">
        <f>'2021 Revekting utgiftsbehov'!D11/$F$17</f>
        <v>1.0188882734125231</v>
      </c>
      <c r="H11" s="55">
        <f>IF(E11=0,0,(E11/$E$17)*G11*'2021 Arbavg tjeneste'!D11/'2021 Lønnsgr arbavg tjeneste'!D11)</f>
        <v>1.1092948491368181E-2</v>
      </c>
      <c r="I11" s="5">
        <f>IF(E11=0,0,'2021 Nto driftsutg landet'!$C$5*'2021 Lønnsand og arbavg landet'!$D$6*('2021 Arbavg tjeneste'!D11/'2021 Lønnsgr arbavg tjeneste'!D11-$H$17)*'2021 Revekting utgiftsbehov'!D11)</f>
        <v>43.225648042624258</v>
      </c>
      <c r="J11" s="5">
        <f t="shared" si="15"/>
        <v>18290.673615348198</v>
      </c>
      <c r="K11" s="55">
        <f>IF('2021 Lønnsgr arbavg tjeneste'!E11&lt;100,0,(C11/$C$17)*'2021 Revekting utgiftsbehov'!E11*'2021 Arbavg tjeneste'!E11/'2021 Lønnsgr arbavg tjeneste'!E11)</f>
        <v>1.0720459664575677E-2</v>
      </c>
      <c r="L11" s="5">
        <f>IF('2021 Lønnsgr arbavg tjeneste'!E11&lt;100,0,C11)</f>
        <v>423144</v>
      </c>
      <c r="M11" s="55">
        <f>'2021 Revekting utgiftsbehov'!E11*L11/$L$17</f>
        <v>8.681166708292902E-2</v>
      </c>
      <c r="N11" s="55">
        <f>'2021 Revekting utgiftsbehov'!E11/$M$17</f>
        <v>0.87171037226762682</v>
      </c>
      <c r="O11" s="55">
        <f>IF(L11=0,0,(L11/$L$17)*N11*'2021 Arbavg tjeneste'!E11/'2021 Lønnsgr arbavg tjeneste'!E11)</f>
        <v>1.1111805001013756E-2</v>
      </c>
      <c r="P11" s="5">
        <f>IF(L11=0,0,'2021 Nto driftsutg landet'!$C$6*'2021 Lønnsand og arbavg landet'!$D$7*('2021 Arbavg tjeneste'!E11/'2021 Lønnsgr arbavg tjeneste'!E11-$O$17)*'2021 Revekting utgiftsbehov'!E11)</f>
        <v>-10.114603583417226</v>
      </c>
      <c r="Q11" s="5">
        <f t="shared" si="16"/>
        <v>-4279.9338187014991</v>
      </c>
      <c r="R11" s="55">
        <f>IF('2021 Lønnsgr arbavg tjeneste'!F11&lt;100,0,(C11/$C$17)*'2021 Revekting utgiftsbehov'!F11*'2021 Arbavg tjeneste'!F11/'2021 Lønnsgr arbavg tjeneste'!F11)</f>
        <v>9.1096817938828584E-3</v>
      </c>
      <c r="S11" s="5">
        <f>IF('2021 Lønnsgr arbavg tjeneste'!F11&lt;100,0,C11)</f>
        <v>423144</v>
      </c>
      <c r="T11" s="55">
        <f>'2021 Revekting utgiftsbehov'!F11*S11/$S$17</f>
        <v>5.6996427666748083E-2</v>
      </c>
      <c r="U11" s="55">
        <f>'2021 Revekting utgiftsbehov'!F11/$T$17</f>
        <v>0.72761217811125811</v>
      </c>
      <c r="V11" s="55">
        <f>IF(S11=0,0,(S11/$S$17)*U11*'2021 Arbavg tjeneste'!F11/'2021 Lønnsgr arbavg tjeneste'!F11)</f>
        <v>9.1096817824553589E-3</v>
      </c>
      <c r="W11" s="5">
        <f>IF(S11=0,0,'2021 Nto driftsutg landet'!$C$7*'2021 Lønnsand og arbavg landet'!$D$8*('2021 Arbavg tjeneste'!F11/'2021 Lønnsgr arbavg tjeneste'!F11-$V$17)*'2021 Revekting utgiftsbehov'!F11)</f>
        <v>0.79932620815392674</v>
      </c>
      <c r="X11" s="5">
        <f t="shared" si="17"/>
        <v>338.23008902308521</v>
      </c>
      <c r="Y11" s="55">
        <f>IF('2021 Lønnsgr arbavg tjeneste'!G11&lt;100,0,(C11/$C$17)*'2021 Revekting utgiftsbehov'!G11*'2021 Arbavg tjeneste'!G11/'2021 Lønnsgr arbavg tjeneste'!G11)</f>
        <v>0</v>
      </c>
      <c r="Z11" s="5">
        <f>IF('2021 Lønnsgr arbavg tjeneste'!G11&lt;100,0,C11)</f>
        <v>0</v>
      </c>
      <c r="AA11" s="55">
        <f>'2021 Revekting utgiftsbehov'!G11*Z11/$Z$17</f>
        <v>0</v>
      </c>
      <c r="AB11" s="55">
        <f>'2021 Revekting utgiftsbehov'!G11/$AA$17</f>
        <v>9.508947147603436E-2</v>
      </c>
      <c r="AC11" s="55">
        <f>IF(Z11=0,0,(Z11/$Z$17)*AB11*'2021 Arbavg tjeneste'!G11/'2021 Lønnsgr arbavg tjeneste'!G11)</f>
        <v>0</v>
      </c>
      <c r="AD11" s="5">
        <f>IF(Z11=0,0,'2021 Nto driftsutg landet'!$C$8*'2021 Lønnsand og arbavg landet'!$D$9*('2021 Arbavg tjeneste'!G11/'2021 Lønnsgr arbavg tjeneste'!G11-$AC$17)*'2021 Revekting utgiftsbehov'!G11)</f>
        <v>0</v>
      </c>
      <c r="AE11" s="5">
        <f t="shared" si="18"/>
        <v>0</v>
      </c>
      <c r="AF11" s="55">
        <f>IF('2021 Lønnsgr arbavg tjeneste'!H11&lt;100,0,(C11/$C$17)*'2021 Revekting utgiftsbehov'!H11*'2021 Arbavg tjeneste'!H11/'2021 Lønnsgr arbavg tjeneste'!H11)</f>
        <v>1.0822977518206796E-2</v>
      </c>
      <c r="AG11" s="5">
        <f>IF('2021 Lønnsgr arbavg tjeneste'!H11&lt;100,0,C11)</f>
        <v>423144</v>
      </c>
      <c r="AH11" s="55">
        <f>'2021 Revekting utgiftsbehov'!H11*AG11/$AG$17</f>
        <v>7.8225472319578632E-2</v>
      </c>
      <c r="AI11" s="55">
        <f>'2021 Revekting utgiftsbehov'!H11/$AH$17</f>
        <v>0.9986205918587181</v>
      </c>
      <c r="AJ11" s="55">
        <f>IF(AG11=0,0,(AG11/$AG$17)*AI11*'2021 Arbavg tjeneste'!H11/'2021 Lønnsgr arbavg tjeneste'!H11)</f>
        <v>1.0822977510747244E-2</v>
      </c>
      <c r="AK11" s="5">
        <f>IF(AG11=0,0,'2021 Nto driftsutg landet'!$C$9*'2021 Lønnsand og arbavg landet'!$D$10*('2021 Arbavg tjeneste'!H11/'2021 Lønnsgr arbavg tjeneste'!H11-$AJ$17)*'2021 Revekting utgiftsbehov'!H11)</f>
        <v>3.9376284633904128</v>
      </c>
      <c r="AL11" s="5">
        <f t="shared" si="19"/>
        <v>1666.1838585128728</v>
      </c>
      <c r="AM11" s="55">
        <f>IF('2021 Lønnsgr arbavg tjeneste'!K11&lt;100,0,(C11/$C$17)*'2021 Arbavg tjeneste'!K11/'2021 Lønnsgr arbavg tjeneste'!K11)</f>
        <v>1.0753593527831434E-2</v>
      </c>
      <c r="AN11" s="5">
        <f>IF('2021 Lønnsgr arbavg tjeneste'!K11&lt;100,0,C11)</f>
        <v>423144</v>
      </c>
      <c r="AO11" s="55">
        <f t="shared" si="3"/>
        <v>7.8333526169396456E-2</v>
      </c>
      <c r="AP11" s="55">
        <f t="shared" si="4"/>
        <v>0.99999999931076733</v>
      </c>
      <c r="AQ11" s="55">
        <f>IF(AN11=0,0,(AN11/$AN$17)*AP11*'2021 Arbavg tjeneste'!K11/'2021 Lønnsgr arbavg tjeneste'!K11)</f>
        <v>1.0753593520419708E-2</v>
      </c>
      <c r="AR11" s="5">
        <f>IF(AN11=0,0,'2021 Nto driftsutg landet'!$C$23*'2021 Lønnsand og arbavg landet'!$D$13*('2021 Arbavg tjeneste'!K11/'2021 Lønnsgr arbavg tjeneste'!K11-$AQ$17))</f>
        <v>16.641714913139374</v>
      </c>
      <c r="AS11" s="5">
        <f t="shared" si="20"/>
        <v>7041.8418152054473</v>
      </c>
      <c r="AT11" s="55">
        <f>IF('2021 Lønnsgr arbavg tjeneste'!L11&lt;100,0,(C11/$C$17)*'2021 Arbavg tjeneste'!L11/'2021 Lønnsgr arbavg tjeneste'!L11)</f>
        <v>1.0939425697009961E-2</v>
      </c>
      <c r="AU11" s="5">
        <f>IF('2021 Lønnsgr arbavg tjeneste'!L11&lt;100,0,C11)</f>
        <v>423144</v>
      </c>
      <c r="AV11" s="55">
        <f t="shared" si="5"/>
        <v>8.9921259608259488E-2</v>
      </c>
      <c r="AW11" s="55">
        <f t="shared" si="6"/>
        <v>1</v>
      </c>
      <c r="AX11" s="55">
        <f>IF(AU11=0,0,(AU11/$AU$17)*AW11*'2021 Arbavg tjeneste'!L11/'2021 Lønnsgr arbavg tjeneste'!L11)</f>
        <v>1.2557674678641073E-2</v>
      </c>
      <c r="AY11" s="5">
        <f>IF(AU11=0,0,'2021 Nto driftsutg landet'!$C$24*'2021 Lønnsand og arbavg landet'!$D$14*('2021 Arbavg tjeneste'!L11/'2021 Lønnsgr arbavg tjeneste'!L11-$AX$17))</f>
        <v>0.43156784869716086</v>
      </c>
      <c r="AZ11" s="5">
        <f t="shared" si="21"/>
        <v>182.61534576911146</v>
      </c>
      <c r="BA11" s="55">
        <f>IF('2021 Lønnsgr arbavg tjeneste'!M11&lt;100,0,(C11/$C$17)*'2021 Arbavg tjeneste'!M11/'2021 Lønnsgr arbavg tjeneste'!M11)</f>
        <v>1.1094405662647846E-2</v>
      </c>
      <c r="BB11" s="5">
        <f>IF('2021 Lønnsgr arbavg tjeneste'!M11&lt;100,0,C11)</f>
        <v>423144</v>
      </c>
      <c r="BC11" s="55">
        <f t="shared" si="7"/>
        <v>8.9921259608259488E-2</v>
      </c>
      <c r="BD11" s="55">
        <f t="shared" si="8"/>
        <v>1</v>
      </c>
      <c r="BE11" s="55">
        <f>IF(BB11=0,0,(BB11/$BB$17)*BD11*'2021 Arbavg tjeneste'!M11/'2021 Lønnsgr arbavg tjeneste'!M11)</f>
        <v>1.27355805435458E-2</v>
      </c>
      <c r="BF11" s="5">
        <f>IF(BB11=0,0,'2021 Nto driftsutg landet'!$C$25*'2021 Lønnsand og arbavg landet'!$D$15*('2021 Arbavg tjeneste'!M11/'2021 Lønnsgr arbavg tjeneste'!M11-$BE$17))</f>
        <v>5.5203421900128204E-2</v>
      </c>
      <c r="BG11" s="5">
        <f t="shared" si="22"/>
        <v>23.358996756507846</v>
      </c>
      <c r="BH11" s="55">
        <f>IF('2021 Lønnsgr arbavg tjeneste'!N11&lt;100,0,(C11/$C$17)*'2021 Arbavg tjeneste'!N11/'2021 Lønnsgr arbavg tjeneste'!N11)</f>
        <v>1.1163086159263546E-2</v>
      </c>
      <c r="BI11" s="5">
        <f>IF('2021 Lønnsgr arbavg tjeneste'!N11&lt;100,0,C11)</f>
        <v>423144</v>
      </c>
      <c r="BJ11" s="55">
        <f t="shared" si="9"/>
        <v>7.8333526169396456E-2</v>
      </c>
      <c r="BK11" s="55">
        <f t="shared" si="10"/>
        <v>1</v>
      </c>
      <c r="BL11" s="55">
        <f>IF(BI11=0,0,(BI11/$BI$17)*BK11*'2021 Arbavg tjeneste'!N11/'2021 Lønnsgr arbavg tjeneste'!N11)</f>
        <v>1.1163086159263546E-2</v>
      </c>
      <c r="BM11" s="5">
        <f>IF(BI11=0,0,'2021 Nto driftsutg landet'!$C$26*'2021 Lønnsand og arbavg landet'!$D$16*('2021 Arbavg tjeneste'!N11/'2021 Lønnsgr arbavg tjeneste'!N11-$BL$17))</f>
        <v>0.37944104784271254</v>
      </c>
      <c r="BN11" s="5">
        <f t="shared" si="23"/>
        <v>160.55820274835676</v>
      </c>
      <c r="BO11" s="55">
        <f>IF('2021 Lønnsgr arbavg tjeneste'!O11&lt;100,0,(C11/$C$17)*'2021 Arbavg tjeneste'!O11/'2021 Lønnsgr arbavg tjeneste'!O11)</f>
        <v>8.3497843667933377E-3</v>
      </c>
      <c r="BP11" s="5">
        <f>IF('2021 Lønnsgr arbavg tjeneste'!O11&lt;100,0,C11)</f>
        <v>423144</v>
      </c>
      <c r="BQ11" s="55">
        <f t="shared" si="11"/>
        <v>1</v>
      </c>
      <c r="BR11" s="55">
        <f t="shared" si="12"/>
        <v>1</v>
      </c>
      <c r="BS11" s="55">
        <f>IF(BP11=0,0,(BP11/$BP$17)*BR11*'2021 Arbavg tjeneste'!O11/'2021 Lønnsgr arbavg tjeneste'!O11)</f>
        <v>0.10659272951324707</v>
      </c>
      <c r="BT11" s="5">
        <f>IF(BP11=0,0,'2021 Nto driftsutg landet'!$C$27*'2021 Lønnsand og arbavg landet'!$D$17*('2021 Arbavg tjeneste'!O11/'2021 Lønnsgr arbavg tjeneste'!O11-$BS$17))</f>
        <v>0</v>
      </c>
      <c r="BU11" s="5">
        <f t="shared" si="24"/>
        <v>0</v>
      </c>
      <c r="BV11" s="55">
        <f>IF('2021 Lønnsgr arbavg tjeneste'!P11&lt;100,0,(C11/$C$17)*'2021 Arbavg tjeneste'!P11/'2021 Lønnsgr arbavg tjeneste'!P11)</f>
        <v>1.1959316972426939E-2</v>
      </c>
      <c r="BW11" s="5">
        <f>IF('2021 Lønnsgr arbavg tjeneste'!P11&lt;100,0,C11)</f>
        <v>423144</v>
      </c>
      <c r="BX11" s="55">
        <f t="shared" si="13"/>
        <v>0.13879348489584684</v>
      </c>
      <c r="BY11" s="55">
        <f t="shared" si="14"/>
        <v>1</v>
      </c>
      <c r="BZ11" s="55">
        <f>IF(BW11=0,0,(BW11/$BW$17)*BY11*'2021 Arbavg tjeneste'!P11/'2021 Lønnsgr arbavg tjeneste'!P11)</f>
        <v>2.1189845022266694E-2</v>
      </c>
      <c r="CA11" s="5">
        <f>IF(BW11=0,0,'2021 Nto driftsutg landet'!$C$28*'2021 Lønnsand og arbavg landet'!$D$18*('2021 Arbavg tjeneste'!P11/'2021 Lønnsgr arbavg tjeneste'!P11-$BZ$17))</f>
        <v>1.1922930292134635E-3</v>
      </c>
      <c r="CB11" s="5">
        <f t="shared" si="25"/>
        <v>0.50451164155350181</v>
      </c>
      <c r="CC11" s="5"/>
      <c r="CD11" s="5"/>
      <c r="CE11" s="5"/>
    </row>
    <row r="12" spans="1:83" x14ac:dyDescent="0.3">
      <c r="A12" s="41">
        <v>4200</v>
      </c>
      <c r="B12" s="42" t="s">
        <v>406</v>
      </c>
      <c r="C12" s="42">
        <f>+'2021 Nto driftsutg'!W12</f>
        <v>309508</v>
      </c>
      <c r="D12" s="55">
        <f>IF('2021 Lønnsgr arbavg tjeneste'!D12&lt;100,0,(C12/$C$17)*'2021 Revekting utgiftsbehov'!D12*'2021 Arbavg tjeneste'!D12/'2021 Lønnsgr arbavg tjeneste'!D12)</f>
        <v>8.3845715371986176E-3</v>
      </c>
      <c r="E12" s="5">
        <f>IF('2021 Lønnsgr arbavg tjeneste'!D12&lt;100,0,C12)</f>
        <v>309508</v>
      </c>
      <c r="F12" s="55">
        <f>'2021 Revekting utgiftsbehov'!D12*E12/$E$17</f>
        <v>6.0179007367751322E-2</v>
      </c>
      <c r="G12" s="55">
        <f>'2021 Revekting utgiftsbehov'!D12/$F$17</f>
        <v>1.0503006917594988</v>
      </c>
      <c r="H12" s="55">
        <f>IF(E12=0,0,(E12/$E$17)*G12*'2021 Arbavg tjeneste'!D12/'2021 Lønnsgr arbavg tjeneste'!D12)</f>
        <v>8.384571537992918E-3</v>
      </c>
      <c r="I12" s="5">
        <f>IF(E12=0,0,'2021 Nto driftsutg landet'!$C$5*'2021 Lønnsand og arbavg landet'!$D$6*('2021 Arbavg tjeneste'!D12/'2021 Lønnsgr arbavg tjeneste'!D12-$H$17)*'2021 Revekting utgiftsbehov'!D12)</f>
        <v>45.919225670762984</v>
      </c>
      <c r="J12" s="5">
        <f t="shared" si="15"/>
        <v>14212.36769890651</v>
      </c>
      <c r="K12" s="55">
        <f>IF('2021 Lønnsgr arbavg tjeneste'!E12&lt;100,0,(C12/$C$17)*'2021 Revekting utgiftsbehov'!E12*'2021 Arbavg tjeneste'!E12/'2021 Lønnsgr arbavg tjeneste'!E12)</f>
        <v>1.383195344901776E-2</v>
      </c>
      <c r="L12" s="5">
        <f>IF('2021 Lønnsgr arbavg tjeneste'!E12&lt;100,0,C12)</f>
        <v>309508</v>
      </c>
      <c r="M12" s="55">
        <f>'2021 Revekting utgiftsbehov'!E12*L12/$L$17</f>
        <v>7.6648688833172426E-2</v>
      </c>
      <c r="N12" s="55">
        <f>'2021 Revekting utgiftsbehov'!E12/$M$17</f>
        <v>1.0522408445717317</v>
      </c>
      <c r="O12" s="55">
        <f>IF(L12=0,0,(L12/$L$17)*N12*'2021 Arbavg tjeneste'!E12/'2021 Lønnsgr arbavg tjeneste'!E12)</f>
        <v>1.4336882402203269E-2</v>
      </c>
      <c r="P12" s="5">
        <f>IF(L12=0,0,'2021 Nto driftsutg landet'!$C$6*'2021 Lønnsand og arbavg landet'!$D$7*('2021 Arbavg tjeneste'!E12/'2021 Lønnsgr arbavg tjeneste'!E12-$O$17)*'2021 Revekting utgiftsbehov'!E12)</f>
        <v>-1.5168838847022128</v>
      </c>
      <c r="Q12" s="5">
        <f t="shared" si="16"/>
        <v>-469.48769738641249</v>
      </c>
      <c r="R12" s="55">
        <f>IF('2021 Lønnsgr arbavg tjeneste'!F12&lt;100,0,(C12/$C$17)*'2021 Revekting utgiftsbehov'!F12*'2021 Arbavg tjeneste'!F12/'2021 Lønnsgr arbavg tjeneste'!F12)</f>
        <v>6.5903943731185823E-3</v>
      </c>
      <c r="S12" s="5">
        <f>IF('2021 Lønnsgr arbavg tjeneste'!F12&lt;100,0,C12)</f>
        <v>309508</v>
      </c>
      <c r="T12" s="55">
        <f>'2021 Revekting utgiftsbehov'!F12*S12/$S$17</f>
        <v>4.6625742868086975E-2</v>
      </c>
      <c r="U12" s="55">
        <f>'2021 Revekting utgiftsbehov'!F12/$T$17</f>
        <v>0.8137563589711958</v>
      </c>
      <c r="V12" s="55">
        <f>IF(S12=0,0,(S12/$S$17)*U12*'2021 Arbavg tjeneste'!F12/'2021 Lønnsgr arbavg tjeneste'!F12)</f>
        <v>6.5903943648513621E-3</v>
      </c>
      <c r="W12" s="5">
        <f>IF(S12=0,0,'2021 Nto driftsutg landet'!$C$7*'2021 Lønnsand og arbavg landet'!$D$8*('2021 Arbavg tjeneste'!F12/'2021 Lønnsgr arbavg tjeneste'!F12-$V$17)*'2021 Revekting utgiftsbehov'!F12)</f>
        <v>0.26557173867080158</v>
      </c>
      <c r="X12" s="5">
        <f t="shared" si="17"/>
        <v>82.196577692522453</v>
      </c>
      <c r="Y12" s="55">
        <f>IF('2021 Lønnsgr arbavg tjeneste'!G12&lt;100,0,(C12/$C$17)*'2021 Revekting utgiftsbehov'!G12*'2021 Arbavg tjeneste'!G12/'2021 Lønnsgr arbavg tjeneste'!G12)</f>
        <v>1.923254159112531E-3</v>
      </c>
      <c r="Z12" s="5">
        <f>IF('2021 Lønnsgr arbavg tjeneste'!G12&lt;100,0,C12)</f>
        <v>309508</v>
      </c>
      <c r="AA12" s="55">
        <f>'2021 Revekting utgiftsbehov'!G12*Z12/$Z$17</f>
        <v>3.086391953240062E-2</v>
      </c>
      <c r="AB12" s="55">
        <f>'2021 Revekting utgiftsbehov'!G12/$AA$17</f>
        <v>0.14119805681232675</v>
      </c>
      <c r="AC12" s="55">
        <f>IF(Z12=0,0,(Z12/$Z$17)*AB12*'2021 Arbavg tjeneste'!G12/'2021 Lønnsgr arbavg tjeneste'!G12)</f>
        <v>2.5910357216737652E-3</v>
      </c>
      <c r="AD12" s="5">
        <f>IF(Z12=0,0,'2021 Nto driftsutg landet'!$C$8*'2021 Lønnsand og arbavg landet'!$D$9*('2021 Arbavg tjeneste'!G12/'2021 Lønnsgr arbavg tjeneste'!G12-$AC$17)*'2021 Revekting utgiftsbehov'!G12)</f>
        <v>6.3850993033519085E-2</v>
      </c>
      <c r="AE12" s="5">
        <f t="shared" si="18"/>
        <v>19.762393151818426</v>
      </c>
      <c r="AF12" s="55">
        <f>IF('2021 Lønnsgr arbavg tjeneste'!H12&lt;100,0,(C12/$C$17)*'2021 Revekting utgiftsbehov'!H12*'2021 Arbavg tjeneste'!H12/'2021 Lønnsgr arbavg tjeneste'!H12)</f>
        <v>8.2705238977788861E-3</v>
      </c>
      <c r="AG12" s="5">
        <f>IF('2021 Lønnsgr arbavg tjeneste'!H12&lt;100,0,C12)</f>
        <v>309508</v>
      </c>
      <c r="AH12" s="55">
        <f>'2021 Revekting utgiftsbehov'!H12*AG12/$AG$17</f>
        <v>6.0086267547513679E-2</v>
      </c>
      <c r="AI12" s="55">
        <f>'2021 Revekting utgiftsbehov'!H12/$AH$17</f>
        <v>1.048682108285214</v>
      </c>
      <c r="AJ12" s="55">
        <f>IF(AG12=0,0,(AG12/$AG$17)*AI12*'2021 Arbavg tjeneste'!H12/'2021 Lønnsgr arbavg tjeneste'!H12)</f>
        <v>8.2705238920785708E-3</v>
      </c>
      <c r="AK12" s="5">
        <f>IF(AG12=0,0,'2021 Nto driftsutg landet'!$C$9*'2021 Lønnsand og arbavg landet'!$D$10*('2021 Arbavg tjeneste'!H12/'2021 Lønnsgr arbavg tjeneste'!H12-$AJ$17)*'2021 Revekting utgiftsbehov'!H12)</f>
        <v>3.8949710414185073</v>
      </c>
      <c r="AL12" s="5">
        <f t="shared" si="19"/>
        <v>1205.5246970873593</v>
      </c>
      <c r="AM12" s="55">
        <f>IF('2021 Lønnsgr arbavg tjeneste'!K12&lt;100,0,(C12/$C$17)*'2021 Arbavg tjeneste'!K12/'2021 Lønnsgr arbavg tjeneste'!K12)</f>
        <v>7.109815959341158E-3</v>
      </c>
      <c r="AN12" s="5">
        <f>IF('2021 Lønnsgr arbavg tjeneste'!K12&lt;100,0,C12)</f>
        <v>309508</v>
      </c>
      <c r="AO12" s="55">
        <f t="shared" si="3"/>
        <v>5.7296932055370176E-2</v>
      </c>
      <c r="AP12" s="55">
        <f t="shared" si="4"/>
        <v>0.99999999931076733</v>
      </c>
      <c r="AQ12" s="55">
        <f>IF(AN12=0,0,(AN12/$AN$17)*AP12*'2021 Arbavg tjeneste'!K12/'2021 Lønnsgr arbavg tjeneste'!K12)</f>
        <v>7.10981595444084E-3</v>
      </c>
      <c r="AR12" s="5">
        <f>IF(AN12=0,0,'2021 Nto driftsutg landet'!$C$23*'2021 Lønnsand og arbavg landet'!$D$13*('2021 Arbavg tjeneste'!K12/'2021 Lønnsgr arbavg tjeneste'!K12-$AQ$17))</f>
        <v>10.974036849526613</v>
      </c>
      <c r="AS12" s="5">
        <f t="shared" si="20"/>
        <v>3396.5521972232827</v>
      </c>
      <c r="AT12" s="55">
        <f>IF('2021 Lønnsgr arbavg tjeneste'!L12&lt;100,0,(C12/$C$17)*'2021 Arbavg tjeneste'!L12/'2021 Lønnsgr arbavg tjeneste'!L12)</f>
        <v>8.0998328158230146E-3</v>
      </c>
      <c r="AU12" s="5">
        <f>IF('2021 Lønnsgr arbavg tjeneste'!L12&lt;100,0,C12)</f>
        <v>309508</v>
      </c>
      <c r="AV12" s="55">
        <f t="shared" si="5"/>
        <v>6.5772761090392817E-2</v>
      </c>
      <c r="AW12" s="55">
        <f t="shared" si="6"/>
        <v>1</v>
      </c>
      <c r="AX12" s="55">
        <f>IF(AU12=0,0,(AU12/$AU$17)*AW12*'2021 Arbavg tjeneste'!L12/'2021 Lønnsgr arbavg tjeneste'!L12)</f>
        <v>9.2980260819622504E-3</v>
      </c>
      <c r="AY12" s="5">
        <f>IF(AU12=0,0,'2021 Nto driftsutg landet'!$C$24*'2021 Lønnsand og arbavg landet'!$D$14*('2021 Arbavg tjeneste'!L12/'2021 Lønnsgr arbavg tjeneste'!L12-$AX$17))</f>
        <v>0.52078635310281352</v>
      </c>
      <c r="AZ12" s="5">
        <f t="shared" si="21"/>
        <v>161.1875425761456</v>
      </c>
      <c r="BA12" s="55">
        <f>IF('2021 Lønnsgr arbavg tjeneste'!M12&lt;100,0,(C12/$C$17)*'2021 Arbavg tjeneste'!M12/'2021 Lønnsgr arbavg tjeneste'!M12)</f>
        <v>8.1275824325238756E-3</v>
      </c>
      <c r="BB12" s="5">
        <f>IF('2021 Lønnsgr arbavg tjeneste'!M12&lt;100,0,C12)</f>
        <v>309508</v>
      </c>
      <c r="BC12" s="55">
        <f t="shared" si="7"/>
        <v>6.5772761090392817E-2</v>
      </c>
      <c r="BD12" s="55">
        <f t="shared" si="8"/>
        <v>1</v>
      </c>
      <c r="BE12" s="55">
        <f>IF(BB12=0,0,(BB12/$BB$17)*BD12*'2021 Arbavg tjeneste'!M12/'2021 Lønnsgr arbavg tjeneste'!M12)</f>
        <v>9.3298806480645331E-3</v>
      </c>
      <c r="BF12" s="5">
        <f>IF(BB12=0,0,'2021 Nto driftsutg landet'!$C$25*'2021 Lønnsand og arbavg landet'!$D$15*('2021 Arbavg tjeneste'!M12/'2021 Lønnsgr arbavg tjeneste'!M12-$BE$17))</f>
        <v>5.6448037378691279E-2</v>
      </c>
      <c r="BG12" s="5">
        <f t="shared" si="22"/>
        <v>17.471119153003979</v>
      </c>
      <c r="BH12" s="55">
        <f>IF('2021 Lønnsgr arbavg tjeneste'!N12&lt;100,0,(C12/$C$17)*'2021 Arbavg tjeneste'!N12/'2021 Lønnsgr arbavg tjeneste'!N12)</f>
        <v>8.1460552162448616E-3</v>
      </c>
      <c r="BI12" s="5">
        <f>IF('2021 Lønnsgr arbavg tjeneste'!N12&lt;100,0,C12)</f>
        <v>309508</v>
      </c>
      <c r="BJ12" s="55">
        <f t="shared" si="9"/>
        <v>5.7296932055370176E-2</v>
      </c>
      <c r="BK12" s="55">
        <f t="shared" si="10"/>
        <v>1</v>
      </c>
      <c r="BL12" s="55">
        <f>IF(BI12=0,0,(BI12/$BI$17)*BK12*'2021 Arbavg tjeneste'!N12/'2021 Lønnsgr arbavg tjeneste'!N12)</f>
        <v>8.1460552162448616E-3</v>
      </c>
      <c r="BM12" s="5">
        <f>IF(BI12=0,0,'2021 Nto driftsutg landet'!$C$26*'2021 Lønnsand og arbavg landet'!$D$16*('2021 Arbavg tjeneste'!N12/'2021 Lønnsgr arbavg tjeneste'!N12-$BL$17))</f>
        <v>0.36967700778375323</v>
      </c>
      <c r="BN12" s="5">
        <f t="shared" si="23"/>
        <v>114.4179913251339</v>
      </c>
      <c r="BO12" s="55">
        <f>IF('2021 Lønnsgr arbavg tjeneste'!O12&lt;100,0,(C12/$C$17)*'2021 Arbavg tjeneste'!O12/'2021 Lønnsgr arbavg tjeneste'!O12)</f>
        <v>0</v>
      </c>
      <c r="BP12" s="5">
        <f>IF('2021 Lønnsgr arbavg tjeneste'!O12&lt;100,0,C12)</f>
        <v>0</v>
      </c>
      <c r="BQ12" s="55">
        <f t="shared" si="11"/>
        <v>0</v>
      </c>
      <c r="BR12" s="55">
        <f t="shared" si="12"/>
        <v>1</v>
      </c>
      <c r="BS12" s="55">
        <f>IF(BP12=0,0,(BP12/$BP$17)*BR12*'2021 Arbavg tjeneste'!O12/'2021 Lønnsgr arbavg tjeneste'!O12)</f>
        <v>0</v>
      </c>
      <c r="BT12" s="5">
        <f>IF(BP12=0,0,'2021 Nto driftsutg landet'!$C$27*'2021 Lønnsand og arbavg landet'!$D$17*('2021 Arbavg tjeneste'!O12/'2021 Lønnsgr arbavg tjeneste'!O12-$BS$17))</f>
        <v>0</v>
      </c>
      <c r="BU12" s="5">
        <f t="shared" si="24"/>
        <v>0</v>
      </c>
      <c r="BV12" s="55">
        <f>IF('2021 Lønnsgr arbavg tjeneste'!P12&lt;100,0,(C12/$C$17)*'2021 Arbavg tjeneste'!P12/'2021 Lønnsgr arbavg tjeneste'!P12)</f>
        <v>0</v>
      </c>
      <c r="BW12" s="5">
        <f>IF('2021 Lønnsgr arbavg tjeneste'!P12&lt;100,0,C12)</f>
        <v>0</v>
      </c>
      <c r="BX12" s="55">
        <f t="shared" si="13"/>
        <v>0</v>
      </c>
      <c r="BY12" s="55">
        <f t="shared" si="14"/>
        <v>1</v>
      </c>
      <c r="BZ12" s="55">
        <f>IF(BW12=0,0,(BW12/$BW$17)*BY12*'2021 Arbavg tjeneste'!P12/'2021 Lønnsgr arbavg tjeneste'!P12)</f>
        <v>0</v>
      </c>
      <c r="CA12" s="5">
        <f>IF(BW12=0,0,'2021 Nto driftsutg landet'!$C$28*'2021 Lønnsand og arbavg landet'!$D$18*('2021 Arbavg tjeneste'!P12/'2021 Lønnsgr arbavg tjeneste'!P12-$BZ$17))</f>
        <v>0</v>
      </c>
      <c r="CB12" s="5">
        <f t="shared" si="25"/>
        <v>0</v>
      </c>
      <c r="CC12" s="5"/>
      <c r="CD12" s="5"/>
      <c r="CE12" s="5"/>
    </row>
    <row r="13" spans="1:83" x14ac:dyDescent="0.3">
      <c r="A13" s="41">
        <v>4600</v>
      </c>
      <c r="B13" s="42" t="s">
        <v>407</v>
      </c>
      <c r="C13" s="42">
        <f>+'2021 Nto driftsutg'!W13</f>
        <v>639102</v>
      </c>
      <c r="D13" s="55">
        <f>IF('2021 Lønnsgr arbavg tjeneste'!D13&lt;100,0,(C13/$C$17)*'2021 Revekting utgiftsbehov'!D13*'2021 Arbavg tjeneste'!D13/'2021 Lønnsgr arbavg tjeneste'!D13)</f>
        <v>1.7018850487831257E-2</v>
      </c>
      <c r="E13" s="5">
        <f>IF('2021 Lønnsgr arbavg tjeneste'!D13&lt;100,0,C13)</f>
        <v>639102</v>
      </c>
      <c r="F13" s="55">
        <f>'2021 Revekting utgiftsbehov'!D13*E13/$E$17</f>
        <v>0.12573173284162306</v>
      </c>
      <c r="G13" s="55">
        <f>'2021 Revekting utgiftsbehov'!D13/$F$17</f>
        <v>1.0627111444206745</v>
      </c>
      <c r="H13" s="55">
        <f>IF(E13=0,0,(E13/$E$17)*G13*'2021 Arbavg tjeneste'!D13/'2021 Lønnsgr arbavg tjeneste'!D13)</f>
        <v>1.7018850489443522E-2</v>
      </c>
      <c r="I13" s="5">
        <f>IF(E13=0,0,'2021 Nto driftsutg landet'!$C$5*'2021 Lønnsand og arbavg landet'!$D$6*('2021 Arbavg tjeneste'!D13/'2021 Lønnsgr arbavg tjeneste'!D13-$H$17)*'2021 Revekting utgiftsbehov'!D13)</f>
        <v>30.418417442356827</v>
      </c>
      <c r="J13" s="5">
        <f t="shared" si="15"/>
        <v>19440.471424245134</v>
      </c>
      <c r="K13" s="55">
        <f>IF('2021 Lønnsgr arbavg tjeneste'!E13&lt;100,0,(C13/$C$17)*'2021 Revekting utgiftsbehov'!E13*'2021 Arbavg tjeneste'!E13/'2021 Lønnsgr arbavg tjeneste'!E13)</f>
        <v>5.9769532095977788E-2</v>
      </c>
      <c r="L13" s="5">
        <f>IF('2021 Lønnsgr arbavg tjeneste'!E13&lt;100,0,C13)</f>
        <v>639102</v>
      </c>
      <c r="M13" s="55">
        <f>'2021 Revekting utgiftsbehov'!E13*L13/$L$17</f>
        <v>0.16021624310950314</v>
      </c>
      <c r="N13" s="55">
        <f>'2021 Revekting utgiftsbehov'!E13/$M$17</f>
        <v>1.0651693755715832</v>
      </c>
      <c r="O13" s="55">
        <f>IF(L13=0,0,(L13/$L$17)*N13*'2021 Arbavg tjeneste'!E13/'2021 Lønnsgr arbavg tjeneste'!E13)</f>
        <v>6.1951390745578212E-2</v>
      </c>
      <c r="P13" s="5">
        <f>IF(L13=0,0,'2021 Nto driftsutg landet'!$C$6*'2021 Lønnsand og arbavg landet'!$D$7*('2021 Arbavg tjeneste'!E13/'2021 Lønnsgr arbavg tjeneste'!E13-$O$17)*'2021 Revekting utgiftsbehov'!E13)</f>
        <v>35.057370260577471</v>
      </c>
      <c r="Q13" s="5">
        <f t="shared" si="16"/>
        <v>22405.235448275584</v>
      </c>
      <c r="R13" s="55">
        <f>IF('2021 Lønnsgr arbavg tjeneste'!F13&lt;100,0,(C13/$C$17)*'2021 Revekting utgiftsbehov'!F13*'2021 Arbavg tjeneste'!F13/'2021 Lønnsgr arbavg tjeneste'!F13)</f>
        <v>1.6862380722911206E-2</v>
      </c>
      <c r="S13" s="5">
        <f>IF('2021 Lønnsgr arbavg tjeneste'!F13&lt;100,0,C13)</f>
        <v>639102</v>
      </c>
      <c r="T13" s="55">
        <f>'2021 Revekting utgiftsbehov'!F13*S13/$S$17</f>
        <v>0.11835702400825136</v>
      </c>
      <c r="U13" s="55">
        <f>'2021 Revekting utgiftsbehov'!F13/$T$17</f>
        <v>1.0003785474170903</v>
      </c>
      <c r="V13" s="55">
        <f>IF(S13=0,0,(S13/$S$17)*U13*'2021 Arbavg tjeneste'!F13/'2021 Lønnsgr arbavg tjeneste'!F13)</f>
        <v>1.686238070175845E-2</v>
      </c>
      <c r="W13" s="5">
        <f>IF(S13=0,0,'2021 Nto driftsutg landet'!$C$7*'2021 Lønnsand og arbavg landet'!$D$8*('2021 Arbavg tjeneste'!F13/'2021 Lønnsgr arbavg tjeneste'!F13-$V$17)*'2021 Revekting utgiftsbehov'!F13)</f>
        <v>0.37344677638821355</v>
      </c>
      <c r="X13" s="5">
        <f t="shared" si="17"/>
        <v>238.67058168326008</v>
      </c>
      <c r="Y13" s="55">
        <f>IF('2021 Lønnsgr arbavg tjeneste'!G13&lt;100,0,(C13/$C$17)*'2021 Revekting utgiftsbehov'!G13*'2021 Arbavg tjeneste'!G13/'2021 Lønnsgr arbavg tjeneste'!G13)</f>
        <v>0</v>
      </c>
      <c r="Z13" s="5">
        <f>IF('2021 Lønnsgr arbavg tjeneste'!G13&lt;100,0,C13)</f>
        <v>0</v>
      </c>
      <c r="AA13" s="55">
        <f>'2021 Revekting utgiftsbehov'!G13*Z13/$Z$17</f>
        <v>0</v>
      </c>
      <c r="AB13" s="55">
        <f>'2021 Revekting utgiftsbehov'!G13/$AA$17</f>
        <v>1.1558749755762698</v>
      </c>
      <c r="AC13" s="55">
        <f>IF(Z13=0,0,(Z13/$Z$17)*AB13*'2021 Arbavg tjeneste'!G13/'2021 Lønnsgr arbavg tjeneste'!G13)</f>
        <v>0</v>
      </c>
      <c r="AD13" s="5">
        <f>IF(Z13=0,0,'2021 Nto driftsutg landet'!$C$8*'2021 Lønnsand og arbavg landet'!$D$9*('2021 Arbavg tjeneste'!G13/'2021 Lønnsgr arbavg tjeneste'!G13-$AC$17)*'2021 Revekting utgiftsbehov'!G13)</f>
        <v>0</v>
      </c>
      <c r="AE13" s="5">
        <f t="shared" si="18"/>
        <v>0</v>
      </c>
      <c r="AF13" s="55">
        <f>IF('2021 Lønnsgr arbavg tjeneste'!H13&lt;100,0,(C13/$C$17)*'2021 Revekting utgiftsbehov'!H13*'2021 Arbavg tjeneste'!H13/'2021 Lønnsgr arbavg tjeneste'!H13)</f>
        <v>1.6477953939729943E-2</v>
      </c>
      <c r="AG13" s="5">
        <f>IF('2021 Lønnsgr arbavg tjeneste'!H13&lt;100,0,C13)</f>
        <v>639102</v>
      </c>
      <c r="AH13" s="55">
        <f>'2021 Revekting utgiftsbehov'!H13*AG13/$AG$17</f>
        <v>0.12154839856715724</v>
      </c>
      <c r="AI13" s="55">
        <f>'2021 Revekting utgiftsbehov'!H13/$AH$17</f>
        <v>1.0273527193429148</v>
      </c>
      <c r="AJ13" s="55">
        <f>IF(AG13=0,0,(AG13/$AG$17)*AI13*'2021 Arbavg tjeneste'!H13/'2021 Lønnsgr arbavg tjeneste'!H13)</f>
        <v>1.6477953928372799E-2</v>
      </c>
      <c r="AK13" s="5">
        <f>IF(AG13=0,0,'2021 Nto driftsutg landet'!$C$9*'2021 Lønnsand og arbavg landet'!$D$10*('2021 Arbavg tjeneste'!H13/'2021 Lønnsgr arbavg tjeneste'!H13-$AJ$17)*'2021 Revekting utgiftsbehov'!H13)</f>
        <v>3.1296958676674764</v>
      </c>
      <c r="AL13" s="5">
        <f t="shared" si="19"/>
        <v>2000.1948884180194</v>
      </c>
      <c r="AM13" s="55">
        <f>IF('2021 Lønnsgr arbavg tjeneste'!K13&lt;100,0,(C13/$C$17)*'2021 Arbavg tjeneste'!K13/'2021 Lønnsgr arbavg tjeneste'!K13)</f>
        <v>1.661234777151983E-2</v>
      </c>
      <c r="AN13" s="5">
        <f>IF('2021 Lønnsgr arbavg tjeneste'!K13&lt;100,0,C13)</f>
        <v>639102</v>
      </c>
      <c r="AO13" s="55">
        <f t="shared" si="3"/>
        <v>0.11831223706802793</v>
      </c>
      <c r="AP13" s="55">
        <f t="shared" si="4"/>
        <v>0.99999999931076733</v>
      </c>
      <c r="AQ13" s="55">
        <f>IF(AN13=0,0,(AN13/$AN$17)*AP13*'2021 Arbavg tjeneste'!K13/'2021 Lønnsgr arbavg tjeneste'!K13)</f>
        <v>1.6612347760070055E-2</v>
      </c>
      <c r="AR13" s="5">
        <f>IF(AN13=0,0,'2021 Nto driftsutg landet'!$C$23*'2021 Lønnsand og arbavg landet'!$D$13*('2021 Arbavg tjeneste'!K13/'2021 Lønnsgr arbavg tjeneste'!K13-$AQ$17))</f>
        <v>17.987058356183464</v>
      </c>
      <c r="AS13" s="5">
        <f t="shared" si="20"/>
        <v>11495.564969553563</v>
      </c>
      <c r="AT13" s="55">
        <f>IF('2021 Lønnsgr arbavg tjeneste'!L13&lt;100,0,(C13/$C$17)*'2021 Arbavg tjeneste'!L13/'2021 Lønnsgr arbavg tjeneste'!L13)</f>
        <v>1.6201726771838513E-2</v>
      </c>
      <c r="AU13" s="5">
        <f>IF('2021 Lønnsgr arbavg tjeneste'!L13&lt;100,0,C13)</f>
        <v>639102</v>
      </c>
      <c r="AV13" s="55">
        <f t="shared" si="5"/>
        <v>0.13581394716256842</v>
      </c>
      <c r="AW13" s="55">
        <f t="shared" si="6"/>
        <v>1</v>
      </c>
      <c r="AX13" s="55">
        <f>IF(AU13=0,0,(AU13/$AU$17)*AW13*'2021 Arbavg tjeneste'!L13/'2021 Lønnsgr arbavg tjeneste'!L13)</f>
        <v>1.8598418204768066E-2</v>
      </c>
      <c r="AY13" s="5">
        <f>IF(AU13=0,0,'2021 Nto driftsutg landet'!$C$24*'2021 Lønnsand og arbavg landet'!$D$14*('2021 Arbavg tjeneste'!L13/'2021 Lønnsgr arbavg tjeneste'!L13-$AX$17))</f>
        <v>0.29042818078754995</v>
      </c>
      <c r="AZ13" s="5">
        <f t="shared" si="21"/>
        <v>185.61323119768474</v>
      </c>
      <c r="BA13" s="55">
        <f>IF('2021 Lønnsgr arbavg tjeneste'!M13&lt;100,0,(C13/$C$17)*'2021 Arbavg tjeneste'!M13/'2021 Lønnsgr arbavg tjeneste'!M13)</f>
        <v>1.6104121842629125E-2</v>
      </c>
      <c r="BB13" s="5">
        <f>IF('2021 Lønnsgr arbavg tjeneste'!M13&lt;100,0,C13)</f>
        <v>639102</v>
      </c>
      <c r="BC13" s="55">
        <f t="shared" si="7"/>
        <v>0.13581394716256842</v>
      </c>
      <c r="BD13" s="55">
        <f t="shared" si="8"/>
        <v>1</v>
      </c>
      <c r="BE13" s="55">
        <f>IF(BB13=0,0,(BB13/$BB$17)*BD13*'2021 Arbavg tjeneste'!M13/'2021 Lønnsgr arbavg tjeneste'!M13)</f>
        <v>1.8486374759162115E-2</v>
      </c>
      <c r="BF13" s="5">
        <f>IF(BB13=0,0,'2021 Nto driftsutg landet'!$C$25*'2021 Lønnsand og arbavg landet'!$D$15*('2021 Arbavg tjeneste'!M13/'2021 Lønnsgr arbavg tjeneste'!M13-$BE$17))</f>
        <v>2.3983495443643584E-2</v>
      </c>
      <c r="BG13" s="5">
        <f t="shared" si="22"/>
        <v>15.327899905023502</v>
      </c>
      <c r="BH13" s="55">
        <f>IF('2021 Lønnsgr arbavg tjeneste'!N13&lt;100,0,(C13/$C$17)*'2021 Arbavg tjeneste'!N13/'2021 Lønnsgr arbavg tjeneste'!N13)</f>
        <v>1.5643527864068436E-2</v>
      </c>
      <c r="BI13" s="5">
        <f>IF('2021 Lønnsgr arbavg tjeneste'!N13&lt;100,0,C13)</f>
        <v>639102</v>
      </c>
      <c r="BJ13" s="55">
        <f t="shared" si="9"/>
        <v>0.11831223706802793</v>
      </c>
      <c r="BK13" s="55">
        <f t="shared" si="10"/>
        <v>1</v>
      </c>
      <c r="BL13" s="55">
        <f>IF(BI13=0,0,(BI13/$BI$17)*BK13*'2021 Arbavg tjeneste'!N13/'2021 Lønnsgr arbavg tjeneste'!N13)</f>
        <v>1.5643527864068436E-2</v>
      </c>
      <c r="BM13" s="5">
        <f>IF(BI13=0,0,'2021 Nto driftsutg landet'!$C$26*'2021 Lønnsand og arbavg landet'!$D$16*('2021 Arbavg tjeneste'!N13/'2021 Lønnsgr arbavg tjeneste'!N13-$BL$17))</f>
        <v>7.9236795095055101E-2</v>
      </c>
      <c r="BN13" s="5">
        <f t="shared" si="23"/>
        <v>50.640394218839909</v>
      </c>
      <c r="BO13" s="55">
        <f>IF('2021 Lønnsgr arbavg tjeneste'!O13&lt;100,0,(C13/$C$17)*'2021 Arbavg tjeneste'!O13/'2021 Lønnsgr arbavg tjeneste'!O13)</f>
        <v>0</v>
      </c>
      <c r="BP13" s="5">
        <f>IF('2021 Lønnsgr arbavg tjeneste'!O13&lt;100,0,C13)</f>
        <v>0</v>
      </c>
      <c r="BQ13" s="55">
        <f t="shared" si="11"/>
        <v>0</v>
      </c>
      <c r="BR13" s="55">
        <f t="shared" si="12"/>
        <v>1</v>
      </c>
      <c r="BS13" s="55">
        <f>IF(BP13=0,0,(BP13/$BP$17)*BR13*'2021 Arbavg tjeneste'!O13/'2021 Lønnsgr arbavg tjeneste'!O13)</f>
        <v>0</v>
      </c>
      <c r="BT13" s="5">
        <f>IF(BP13=0,0,'2021 Nto driftsutg landet'!$C$27*'2021 Lønnsand og arbavg landet'!$D$17*('2021 Arbavg tjeneste'!O13/'2021 Lønnsgr arbavg tjeneste'!O13-$BS$17))</f>
        <v>0</v>
      </c>
      <c r="BU13" s="5">
        <f t="shared" si="24"/>
        <v>0</v>
      </c>
      <c r="BV13" s="55">
        <f>IF('2021 Lønnsgr arbavg tjeneste'!P13&lt;100,0,(C13/$C$17)*'2021 Arbavg tjeneste'!P13/'2021 Lønnsgr arbavg tjeneste'!P13)</f>
        <v>1.672605430483555E-2</v>
      </c>
      <c r="BW13" s="5">
        <f>IF('2021 Lønnsgr arbavg tjeneste'!P13&lt;100,0,C13)</f>
        <v>639102</v>
      </c>
      <c r="BX13" s="55">
        <f t="shared" si="13"/>
        <v>0.20962885869563436</v>
      </c>
      <c r="BY13" s="55">
        <f t="shared" si="14"/>
        <v>1</v>
      </c>
      <c r="BZ13" s="55">
        <f>IF(BW13=0,0,(BW13/$BW$17)*BY13*'2021 Arbavg tjeneste'!P13/'2021 Lønnsgr arbavg tjeneste'!P13)</f>
        <v>2.9635680647199868E-2</v>
      </c>
      <c r="CA13" s="5">
        <f>IF(BW13=0,0,'2021 Nto driftsutg landet'!$C$28*'2021 Lønnsand og arbavg landet'!$D$18*('2021 Arbavg tjeneste'!P13/'2021 Lønnsgr arbavg tjeneste'!P13-$BZ$17))</f>
        <v>3.0434349245022068E-4</v>
      </c>
      <c r="CB13" s="5">
        <f t="shared" si="25"/>
        <v>0.19450653471192095</v>
      </c>
      <c r="CC13" s="5"/>
      <c r="CD13" s="5"/>
      <c r="CE13" s="5"/>
    </row>
    <row r="14" spans="1:83" x14ac:dyDescent="0.3">
      <c r="A14" s="41">
        <v>5000</v>
      </c>
      <c r="B14" s="42" t="s">
        <v>388</v>
      </c>
      <c r="C14" s="42">
        <f>+'2021 Nto driftsutg'!W14</f>
        <v>470984</v>
      </c>
      <c r="D14" s="55">
        <f>IF('2021 Lønnsgr arbavg tjeneste'!D14&lt;100,0,(C14/$C$17)*'2021 Revekting utgiftsbehov'!D14*'2021 Arbavg tjeneste'!D14/'2021 Lønnsgr arbavg tjeneste'!D14)</f>
        <v>1.1055276779480715E-2</v>
      </c>
      <c r="E14" s="5">
        <f>IF('2021 Lønnsgr arbavg tjeneste'!D14&lt;100,0,C14)</f>
        <v>470984</v>
      </c>
      <c r="F14" s="55">
        <f>'2021 Revekting utgiftsbehov'!D14*E14/$E$17</f>
        <v>8.828599008815638E-2</v>
      </c>
      <c r="G14" s="55">
        <f>'2021 Revekting utgiftsbehov'!D14/$F$17</f>
        <v>1.0125725469509248</v>
      </c>
      <c r="H14" s="55">
        <f>IF(E14=0,0,(E14/$E$17)*G14*'2021 Arbavg tjeneste'!D14/'2021 Lønnsgr arbavg tjeneste'!D14)</f>
        <v>1.1055276780528023E-2</v>
      </c>
      <c r="I14" s="5">
        <f>IF(E14=0,0,'2021 Nto driftsutg landet'!$C$5*'2021 Lønnsand og arbavg landet'!$D$6*('2021 Arbavg tjeneste'!D14/'2021 Lønnsgr arbavg tjeneste'!D14-$H$17)*'2021 Revekting utgiftsbehov'!D14)</f>
        <v>-10.062446896319006</v>
      </c>
      <c r="J14" s="5">
        <f t="shared" si="15"/>
        <v>-4739.2514890159109</v>
      </c>
      <c r="K14" s="55">
        <f>IF('2021 Lønnsgr arbavg tjeneste'!E14&lt;100,0,(C14/$C$17)*'2021 Revekting utgiftsbehov'!E14*'2021 Arbavg tjeneste'!E14/'2021 Lønnsgr arbavg tjeneste'!E14)</f>
        <v>2.8566268054908417E-2</v>
      </c>
      <c r="L14" s="5">
        <f>IF('2021 Lønnsgr arbavg tjeneste'!E14&lt;100,0,C14)</f>
        <v>470984</v>
      </c>
      <c r="M14" s="55">
        <f>'2021 Revekting utgiftsbehov'!E14*L14/$L$17</f>
        <v>0.12953736681829434</v>
      </c>
      <c r="N14" s="55">
        <f>'2021 Revekting utgiftsbehov'!E14/$M$17</f>
        <v>1.1686143511405822</v>
      </c>
      <c r="O14" s="55">
        <f>IF(L14=0,0,(L14/$L$17)*N14*'2021 Arbavg tjeneste'!E14/'2021 Lønnsgr arbavg tjeneste'!E14)</f>
        <v>2.9609066230780377E-2</v>
      </c>
      <c r="P14" s="5">
        <f>IF(L14=0,0,'2021 Nto driftsutg landet'!$C$6*'2021 Lønnsand og arbavg landet'!$D$7*('2021 Arbavg tjeneste'!E14/'2021 Lønnsgr arbavg tjeneste'!E14-$O$17)*'2021 Revekting utgiftsbehov'!E14)</f>
        <v>6.667146309679473</v>
      </c>
      <c r="Q14" s="5">
        <f t="shared" si="16"/>
        <v>3140.1192375180767</v>
      </c>
      <c r="R14" s="55">
        <f>IF('2021 Lønnsgr arbavg tjeneste'!F14&lt;100,0,(C14/$C$17)*'2021 Revekting utgiftsbehov'!F14*'2021 Arbavg tjeneste'!F14/'2021 Lønnsgr arbavg tjeneste'!F14)</f>
        <v>1.2798313600013052E-2</v>
      </c>
      <c r="S14" s="5">
        <f>IF('2021 Lønnsgr arbavg tjeneste'!F14&lt;100,0,C14)</f>
        <v>470984</v>
      </c>
      <c r="T14" s="55">
        <f>'2021 Revekting utgiftsbehov'!F14*S14/$S$17</f>
        <v>9.1997645338258452E-2</v>
      </c>
      <c r="U14" s="55">
        <f>'2021 Revekting utgiftsbehov'!F14/$T$17</f>
        <v>1.055142382556393</v>
      </c>
      <c r="V14" s="55">
        <f>IF(S14=0,0,(S14/$S$17)*U14*'2021 Arbavg tjeneste'!F14/'2021 Lønnsgr arbavg tjeneste'!F14)</f>
        <v>1.2798313583958405E-2</v>
      </c>
      <c r="W14" s="5">
        <f>IF(S14=0,0,'2021 Nto driftsutg landet'!$C$7*'2021 Lønnsand og arbavg landet'!$D$8*('2021 Arbavg tjeneste'!F14/'2021 Lønnsgr arbavg tjeneste'!F14-$V$17)*'2021 Revekting utgiftsbehov'!F14)</f>
        <v>0.24599445817518412</v>
      </c>
      <c r="X14" s="5">
        <f t="shared" si="17"/>
        <v>115.85945388918093</v>
      </c>
      <c r="Y14" s="55">
        <f>IF('2021 Lønnsgr arbavg tjeneste'!G14&lt;100,0,(C14/$C$17)*'2021 Revekting utgiftsbehov'!G14*'2021 Arbavg tjeneste'!G14/'2021 Lønnsgr arbavg tjeneste'!G14)</f>
        <v>1.0289863181652158E-2</v>
      </c>
      <c r="Z14" s="5">
        <f>IF('2021 Lønnsgr arbavg tjeneste'!G14&lt;100,0,C14)</f>
        <v>470984</v>
      </c>
      <c r="AA14" s="55">
        <f>'2021 Revekting utgiftsbehov'!G14*Z14/$Z$17</f>
        <v>0.22496356287256355</v>
      </c>
      <c r="AB14" s="55">
        <f>'2021 Revekting utgiftsbehov'!G14/$AA$17</f>
        <v>0.67632516728819636</v>
      </c>
      <c r="AC14" s="55">
        <f>IF(Z14=0,0,(Z14/$Z$17)*AB14*'2021 Arbavg tjeneste'!G14/'2021 Lønnsgr arbavg tjeneste'!G14)</f>
        <v>1.3862651978924657E-2</v>
      </c>
      <c r="AD14" s="5">
        <f>IF(Z14=0,0,'2021 Nto driftsutg landet'!$C$8*'2021 Lønnsand og arbavg landet'!$D$9*('2021 Arbavg tjeneste'!G14/'2021 Lønnsgr arbavg tjeneste'!G14-$AC$17)*'2021 Revekting utgiftsbehov'!G14)</f>
        <v>7.546159518789379E-2</v>
      </c>
      <c r="AE14" s="5">
        <f t="shared" si="18"/>
        <v>35.541203947974964</v>
      </c>
      <c r="AF14" s="55">
        <f>IF('2021 Lønnsgr arbavg tjeneste'!H14&lt;100,0,(C14/$C$17)*'2021 Revekting utgiftsbehov'!H14*'2021 Arbavg tjeneste'!H14/'2021 Lønnsgr arbavg tjeneste'!H14)</f>
        <v>1.0342954283064856E-2</v>
      </c>
      <c r="AG14" s="5">
        <f>IF('2021 Lønnsgr arbavg tjeneste'!H14&lt;100,0,C14)</f>
        <v>470984</v>
      </c>
      <c r="AH14" s="55">
        <f>'2021 Revekting utgiftsbehov'!H14*AG14/$AG$17</f>
        <v>8.6577545829989833E-2</v>
      </c>
      <c r="AI14" s="55">
        <f>'2021 Revekting utgiftsbehov'!H14/$AH$17</f>
        <v>0.99297800175960704</v>
      </c>
      <c r="AJ14" s="55">
        <f>IF(AG14=0,0,(AG14/$AG$17)*AI14*'2021 Arbavg tjeneste'!H14/'2021 Lønnsgr arbavg tjeneste'!H14)</f>
        <v>1.0342954275936154E-2</v>
      </c>
      <c r="AK14" s="5">
        <f>IF(AG14=0,0,'2021 Nto driftsutg landet'!$C$9*'2021 Lønnsand og arbavg landet'!$D$10*('2021 Arbavg tjeneste'!H14/'2021 Lønnsgr arbavg tjeneste'!H14-$AJ$17)*'2021 Revekting utgiftsbehov'!H14)</f>
        <v>-2.1154889308684552</v>
      </c>
      <c r="AL14" s="5">
        <f t="shared" si="19"/>
        <v>-996.36143861614858</v>
      </c>
      <c r="AM14" s="55">
        <f>IF('2021 Lønnsgr arbavg tjeneste'!K14&lt;100,0,(C14/$C$17)*'2021 Arbavg tjeneste'!K14/'2021 Lønnsgr arbavg tjeneste'!K14)</f>
        <v>1.1521263982135084E-2</v>
      </c>
      <c r="AN14" s="5">
        <f>IF('2021 Lønnsgr arbavg tjeneste'!K14&lt;100,0,C14)</f>
        <v>470984</v>
      </c>
      <c r="AO14" s="55">
        <f t="shared" si="3"/>
        <v>8.7189792338700348E-2</v>
      </c>
      <c r="AP14" s="55">
        <f t="shared" si="4"/>
        <v>0.99999999931076733</v>
      </c>
      <c r="AQ14" s="55">
        <f>IF(AN14=0,0,(AN14/$AN$17)*AP14*'2021 Arbavg tjeneste'!K14/'2021 Lønnsgr arbavg tjeneste'!K14)</f>
        <v>1.1521263974194252E-2</v>
      </c>
      <c r="AR14" s="5">
        <f>IF(AN14=0,0,'2021 Nto driftsutg landet'!$C$23*'2021 Lønnsand og arbavg landet'!$D$13*('2021 Arbavg tjeneste'!K14/'2021 Lønnsgr arbavg tjeneste'!K14-$AQ$17))</f>
        <v>14.433684753650331</v>
      </c>
      <c r="AS14" s="5">
        <f t="shared" si="20"/>
        <v>6798.0345800132473</v>
      </c>
      <c r="AT14" s="55">
        <f>IF('2021 Lønnsgr arbavg tjeneste'!L14&lt;100,0,(C14/$C$17)*'2021 Arbavg tjeneste'!L14/'2021 Lønnsgr arbavg tjeneste'!L14)</f>
        <v>1.2036272591250927E-2</v>
      </c>
      <c r="AU14" s="5">
        <f>IF('2021 Lønnsgr arbavg tjeneste'!L14&lt;100,0,C14)</f>
        <v>470984</v>
      </c>
      <c r="AV14" s="55">
        <f t="shared" si="5"/>
        <v>0.10008761682863632</v>
      </c>
      <c r="AW14" s="55">
        <f t="shared" si="6"/>
        <v>1</v>
      </c>
      <c r="AX14" s="55">
        <f>IF(AU14=0,0,(AU14/$AU$17)*AW14*'2021 Arbavg tjeneste'!L14/'2021 Lønnsgr arbavg tjeneste'!L14)</f>
        <v>1.3816776102395031E-2</v>
      </c>
      <c r="AY14" s="5">
        <f>IF(AU14=0,0,'2021 Nto driftsutg landet'!$C$24*'2021 Lønnsand og arbavg landet'!$D$14*('2021 Arbavg tjeneste'!L14/'2021 Lønnsgr arbavg tjeneste'!L14-$AX$17))</f>
        <v>0.34801881885337282</v>
      </c>
      <c r="AZ14" s="5">
        <f t="shared" si="21"/>
        <v>163.91129537883694</v>
      </c>
      <c r="BA14" s="55">
        <f>IF('2021 Lønnsgr arbavg tjeneste'!M14&lt;100,0,(C14/$C$17)*'2021 Arbavg tjeneste'!M14/'2021 Lønnsgr arbavg tjeneste'!M14)</f>
        <v>1.0901532750535035E-2</v>
      </c>
      <c r="BB14" s="5">
        <f>IF('2021 Lønnsgr arbavg tjeneste'!M14&lt;100,0,C14)</f>
        <v>470984</v>
      </c>
      <c r="BC14" s="55">
        <f t="shared" si="7"/>
        <v>0.10008761682863632</v>
      </c>
      <c r="BD14" s="55">
        <f t="shared" si="8"/>
        <v>1</v>
      </c>
      <c r="BE14" s="55">
        <f>IF(BB14=0,0,(BB14/$BB$17)*BD14*'2021 Arbavg tjeneste'!M14/'2021 Lønnsgr arbavg tjeneste'!M14)</f>
        <v>1.2514176298778469E-2</v>
      </c>
      <c r="BF14" s="5">
        <f>IF(BB14=0,0,'2021 Nto driftsutg landet'!$C$25*'2021 Lønnsand og arbavg landet'!$D$15*('2021 Arbavg tjeneste'!M14/'2021 Lønnsgr arbavg tjeneste'!M14-$BE$17))</f>
        <v>-3.8758502539748219E-2</v>
      </c>
      <c r="BG14" s="5">
        <f t="shared" si="22"/>
        <v>-18.254634560180772</v>
      </c>
      <c r="BH14" s="55">
        <f>IF('2021 Lønnsgr arbavg tjeneste'!N14&lt;100,0,(C14/$C$17)*'2021 Arbavg tjeneste'!N14/'2021 Lønnsgr arbavg tjeneste'!N14)</f>
        <v>1.2023490947263769E-2</v>
      </c>
      <c r="BI14" s="5">
        <f>IF('2021 Lønnsgr arbavg tjeneste'!N14&lt;100,0,C14)</f>
        <v>470984</v>
      </c>
      <c r="BJ14" s="55">
        <f t="shared" si="9"/>
        <v>8.7189792338700348E-2</v>
      </c>
      <c r="BK14" s="55">
        <f t="shared" si="10"/>
        <v>1</v>
      </c>
      <c r="BL14" s="55">
        <f>IF(BI14=0,0,(BI14/$BI$17)*BK14*'2021 Arbavg tjeneste'!N14/'2021 Lønnsgr arbavg tjeneste'!N14)</f>
        <v>1.2023490947263769E-2</v>
      </c>
      <c r="BM14" s="5">
        <f>IF(BI14=0,0,'2021 Nto driftsutg landet'!$C$26*'2021 Lønnsand og arbavg landet'!$D$16*('2021 Arbavg tjeneste'!N14/'2021 Lønnsgr arbavg tjeneste'!N14-$BL$17))</f>
        <v>0.24496826189081369</v>
      </c>
      <c r="BN14" s="5">
        <f t="shared" si="23"/>
        <v>115.376131858383</v>
      </c>
      <c r="BO14" s="55">
        <f>IF('2021 Lønnsgr arbavg tjeneste'!O14&lt;100,0,(C14/$C$17)*'2021 Arbavg tjeneste'!O14/'2021 Lønnsgr arbavg tjeneste'!O14)</f>
        <v>0</v>
      </c>
      <c r="BP14" s="5">
        <f>IF('2021 Lønnsgr arbavg tjeneste'!O14&lt;100,0,C14)</f>
        <v>0</v>
      </c>
      <c r="BQ14" s="55">
        <f t="shared" si="11"/>
        <v>0</v>
      </c>
      <c r="BR14" s="55">
        <f t="shared" si="12"/>
        <v>1</v>
      </c>
      <c r="BS14" s="55">
        <f>IF(BP14=0,0,(BP14/$BP$17)*BR14*'2021 Arbavg tjeneste'!O14/'2021 Lønnsgr arbavg tjeneste'!O14)</f>
        <v>0</v>
      </c>
      <c r="BT14" s="5">
        <f>IF(BP14=0,0,'2021 Nto driftsutg landet'!$C$27*'2021 Lønnsand og arbavg landet'!$D$17*('2021 Arbavg tjeneste'!O14/'2021 Lønnsgr arbavg tjeneste'!O14-$BS$17))</f>
        <v>0</v>
      </c>
      <c r="BU14" s="5">
        <f t="shared" si="24"/>
        <v>0</v>
      </c>
      <c r="BV14" s="55">
        <f>IF('2021 Lønnsgr arbavg tjeneste'!P14&lt;100,0,(C14/$C$17)*'2021 Arbavg tjeneste'!P14/'2021 Lønnsgr arbavg tjeneste'!P14)</f>
        <v>0</v>
      </c>
      <c r="BW14" s="5">
        <f>IF('2021 Lønnsgr arbavg tjeneste'!P14&lt;100,0,C14)</f>
        <v>0</v>
      </c>
      <c r="BX14" s="55">
        <f t="shared" si="13"/>
        <v>0</v>
      </c>
      <c r="BY14" s="55">
        <f t="shared" si="14"/>
        <v>1</v>
      </c>
      <c r="BZ14" s="55">
        <f>IF(BW14=0,0,(BW14/$BW$17)*BY14*'2021 Arbavg tjeneste'!P14/'2021 Lønnsgr arbavg tjeneste'!P14)</f>
        <v>0</v>
      </c>
      <c r="CA14" s="5">
        <f>IF(BW14=0,0,'2021 Nto driftsutg landet'!$C$28*'2021 Lønnsand og arbavg landet'!$D$18*('2021 Arbavg tjeneste'!P14/'2021 Lønnsgr arbavg tjeneste'!P14-$BZ$17))</f>
        <v>0</v>
      </c>
      <c r="CB14" s="5">
        <f t="shared" si="25"/>
        <v>0</v>
      </c>
      <c r="CC14" s="5"/>
      <c r="CD14" s="5"/>
      <c r="CE14" s="5"/>
    </row>
    <row r="15" spans="1:83" x14ac:dyDescent="0.3">
      <c r="A15" s="41">
        <v>5400</v>
      </c>
      <c r="B15" s="42" t="s">
        <v>408</v>
      </c>
      <c r="C15" s="42">
        <f>+'2021 Nto driftsutg'!W15</f>
        <v>241663</v>
      </c>
      <c r="D15" s="55">
        <f>IF('2021 Lønnsgr arbavg tjeneste'!D15&lt;100,0,(C15/$C$17)*'2021 Revekting utgiftsbehov'!D15*'2021 Arbavg tjeneste'!D15/'2021 Lønnsgr arbavg tjeneste'!D15)</f>
        <v>1.9320221513825094E-3</v>
      </c>
      <c r="E15" s="5">
        <f>IF('2021 Lønnsgr arbavg tjeneste'!D15&lt;100,0,C15)</f>
        <v>241663</v>
      </c>
      <c r="F15" s="55">
        <f>'2021 Revekting utgiftsbehov'!D15*E15/$E$17</f>
        <v>4.7677669156109728E-2</v>
      </c>
      <c r="G15" s="55">
        <f>'2021 Revekting utgiftsbehov'!D15/$F$17</f>
        <v>1.0657255153399601</v>
      </c>
      <c r="H15" s="55">
        <f>IF(E15=0,0,(E15/$E$17)*G15*'2021 Arbavg tjeneste'!D15/'2021 Lønnsgr arbavg tjeneste'!D15)</f>
        <v>1.9320221515655369E-3</v>
      </c>
      <c r="I15" s="5">
        <f>IF(E15=0,0,'2021 Nto driftsutg landet'!$C$5*'2021 Lønnsand og arbavg landet'!$D$6*('2021 Arbavg tjeneste'!D15/'2021 Lønnsgr arbavg tjeneste'!D15-$H$17)*'2021 Revekting utgiftsbehov'!D15)</f>
        <v>-353.95019795305058</v>
      </c>
      <c r="J15" s="5">
        <f t="shared" si="15"/>
        <v>-85536.666687928067</v>
      </c>
      <c r="K15" s="55">
        <f>IF('2021 Lønnsgr arbavg tjeneste'!E15&lt;100,0,(C15/$C$17)*'2021 Revekting utgiftsbehov'!E15*'2021 Arbavg tjeneste'!E15/'2021 Lønnsgr arbavg tjeneste'!E15)</f>
        <v>4.1303459047691213E-3</v>
      </c>
      <c r="L15" s="5">
        <f>IF('2021 Lønnsgr arbavg tjeneste'!E15&lt;100,0,C15)</f>
        <v>241663</v>
      </c>
      <c r="M15" s="55">
        <f>'2021 Revekting utgiftsbehov'!E15*L15/$L$17</f>
        <v>0.10569409464234809</v>
      </c>
      <c r="N15" s="55">
        <f>'2021 Revekting utgiftsbehov'!E15/$M$17</f>
        <v>1.8583301154726251</v>
      </c>
      <c r="O15" s="55">
        <f>IF(L15=0,0,(L15/$L$17)*N15*'2021 Arbavg tjeneste'!E15/'2021 Lønnsgr arbavg tjeneste'!E15)</f>
        <v>4.2811222388332909E-3</v>
      </c>
      <c r="P15" s="5">
        <f>IF(L15=0,0,'2021 Nto driftsutg landet'!$C$6*'2021 Lønnsand og arbavg landet'!$D$7*('2021 Arbavg tjeneste'!E15/'2021 Lønnsgr arbavg tjeneste'!E15-$O$17)*'2021 Revekting utgiftsbehov'!E15)</f>
        <v>-49.543363413084947</v>
      </c>
      <c r="Q15" s="5">
        <f t="shared" si="16"/>
        <v>-11972.797832496346</v>
      </c>
      <c r="R15" s="55">
        <f>IF('2021 Lønnsgr arbavg tjeneste'!F15&lt;100,0,(C15/$C$17)*'2021 Revekting utgiftsbehov'!F15*'2021 Arbavg tjeneste'!F15/'2021 Lønnsgr arbavg tjeneste'!F15)</f>
        <v>3.02663807317047E-3</v>
      </c>
      <c r="S15" s="5">
        <f>IF('2021 Lønnsgr arbavg tjeneste'!F15&lt;100,0,C15)</f>
        <v>241663</v>
      </c>
      <c r="T15" s="55">
        <f>'2021 Revekting utgiftsbehov'!F15*S15/$S$17</f>
        <v>5.0211467240084309E-2</v>
      </c>
      <c r="U15" s="55">
        <f>'2021 Revekting utgiftsbehov'!F15/$T$17</f>
        <v>1.1223627890240693</v>
      </c>
      <c r="V15" s="55">
        <f>IF(S15=0,0,(S15/$S$17)*U15*'2021 Arbavg tjeneste'!F15/'2021 Lønnsgr arbavg tjeneste'!F15)</f>
        <v>3.0266380693737506E-3</v>
      </c>
      <c r="W15" s="5">
        <f>IF(S15=0,0,'2021 Nto driftsutg landet'!$C$7*'2021 Lønnsand og arbavg landet'!$D$8*('2021 Arbavg tjeneste'!F15/'2021 Lønnsgr arbavg tjeneste'!F15-$V$17)*'2021 Revekting utgiftsbehov'!F15)</f>
        <v>-3.4353048079359638</v>
      </c>
      <c r="X15" s="5">
        <f t="shared" si="17"/>
        <v>-830.1860658002289</v>
      </c>
      <c r="Y15" s="55">
        <f>IF('2021 Lønnsgr arbavg tjeneste'!G15&lt;100,0,(C15/$C$17)*'2021 Revekting utgiftsbehov'!G15*'2021 Arbavg tjeneste'!G15/'2021 Lønnsgr arbavg tjeneste'!G15)</f>
        <v>4.5916580075348306E-3</v>
      </c>
      <c r="Z15" s="5">
        <f>IF('2021 Lønnsgr arbavg tjeneste'!G15&lt;100,0,C15)</f>
        <v>241663</v>
      </c>
      <c r="AA15" s="55">
        <f>'2021 Revekting utgiftsbehov'!G15*Z15/$Z$17</f>
        <v>0.34782882567197393</v>
      </c>
      <c r="AB15" s="55">
        <f>'2021 Revekting utgiftsbehov'!G15/$AA$17</f>
        <v>2.0380035155941685</v>
      </c>
      <c r="AC15" s="55">
        <f>IF(Z15=0,0,(Z15/$Z$17)*AB15*'2021 Arbavg tjeneste'!G15/'2021 Lønnsgr arbavg tjeneste'!G15)</f>
        <v>6.1859478441070774E-3</v>
      </c>
      <c r="AD15" s="5">
        <f>IF(Z15=0,0,'2021 Nto driftsutg landet'!$C$8*'2021 Lønnsand og arbavg landet'!$D$9*('2021 Arbavg tjeneste'!G15/'2021 Lønnsgr arbavg tjeneste'!G15-$AC$17)*'2021 Revekting utgiftsbehov'!G15)</f>
        <v>-1.1355417901091092</v>
      </c>
      <c r="AE15" s="5">
        <f t="shared" si="18"/>
        <v>-274.41843562313761</v>
      </c>
      <c r="AF15" s="55">
        <f>IF('2021 Lønnsgr arbavg tjeneste'!H15&lt;100,0,(C15/$C$17)*'2021 Revekting utgiftsbehov'!H15*'2021 Arbavg tjeneste'!H15/'2021 Lønnsgr arbavg tjeneste'!H15)</f>
        <v>1.5808024731598844E-3</v>
      </c>
      <c r="AG15" s="5">
        <f>IF('2021 Lønnsgr arbavg tjeneste'!H15&lt;100,0,C15)</f>
        <v>241663</v>
      </c>
      <c r="AH15" s="55">
        <f>'2021 Revekting utgiftsbehov'!H15*AG15/$AG$17</f>
        <v>4.2937921024037769E-2</v>
      </c>
      <c r="AI15" s="55">
        <f>'2021 Revekting utgiftsbehov'!H15/$AH$17</f>
        <v>0.95977925903348893</v>
      </c>
      <c r="AJ15" s="55">
        <f>IF(AG15=0,0,(AG15/$AG$17)*AI15*'2021 Arbavg tjeneste'!H15/'2021 Lønnsgr arbavg tjeneste'!H15)</f>
        <v>1.5808024720703436E-3</v>
      </c>
      <c r="AK15" s="5">
        <f>IF(AG15=0,0,'2021 Nto driftsutg landet'!$C$9*'2021 Lønnsand og arbavg landet'!$D$10*('2021 Arbavg tjeneste'!H15/'2021 Lønnsgr arbavg tjeneste'!H15-$AJ$17)*'2021 Revekting utgiftsbehov'!H15)</f>
        <v>-27.547074539113726</v>
      </c>
      <c r="AL15" s="5">
        <f t="shared" si="19"/>
        <v>-6657.1086743458409</v>
      </c>
      <c r="AM15" s="55">
        <f>IF('2021 Lønnsgr arbavg tjeneste'!K15&lt;100,0,(C15/$C$17)*'2021 Arbavg tjeneste'!K15/'2021 Lønnsgr arbavg tjeneste'!K15)</f>
        <v>2.3009007954933767E-3</v>
      </c>
      <c r="AN15" s="5">
        <f>IF('2021 Lønnsgr arbavg tjeneste'!K15&lt;100,0,C15)</f>
        <v>241663</v>
      </c>
      <c r="AO15" s="55">
        <f t="shared" si="3"/>
        <v>4.4737287861046963E-2</v>
      </c>
      <c r="AP15" s="55">
        <f t="shared" si="4"/>
        <v>0.99999999931076733</v>
      </c>
      <c r="AQ15" s="55">
        <f>IF(AN15=0,0,(AN15/$AN$17)*AP15*'2021 Arbavg tjeneste'!K15/'2021 Lønnsgr arbavg tjeneste'!K15)</f>
        <v>2.3009007939075211E-3</v>
      </c>
      <c r="AR15" s="5">
        <f>IF(AN15=0,0,'2021 Nto driftsutg landet'!$C$23*'2021 Lønnsand og arbavg landet'!$D$13*('2021 Arbavg tjeneste'!K15/'2021 Lønnsgr arbavg tjeneste'!K15-$AQ$17))</f>
        <v>-20.240181563803379</v>
      </c>
      <c r="AS15" s="5">
        <f t="shared" si="20"/>
        <v>-4891.3029972534159</v>
      </c>
      <c r="AT15" s="55">
        <f>IF('2021 Lønnsgr arbavg tjeneste'!L15&lt;100,0,(C15/$C$17)*'2021 Arbavg tjeneste'!L15/'2021 Lønnsgr arbavg tjeneste'!L15)</f>
        <v>2.0688015565952927E-3</v>
      </c>
      <c r="AU15" s="5">
        <f>IF('2021 Lønnsgr arbavg tjeneste'!L15&lt;100,0,C15)</f>
        <v>241663</v>
      </c>
      <c r="AV15" s="55">
        <f t="shared" si="5"/>
        <v>5.1355191993058658E-2</v>
      </c>
      <c r="AW15" s="55">
        <f t="shared" si="6"/>
        <v>1</v>
      </c>
      <c r="AX15" s="55">
        <f>IF(AU15=0,0,(AU15/$AU$17)*AW15*'2021 Arbavg tjeneste'!L15/'2021 Lønnsgr arbavg tjeneste'!L15)</f>
        <v>2.3748355390805203E-3</v>
      </c>
      <c r="AY15" s="5">
        <f>IF(AU15=0,0,'2021 Nto driftsutg landet'!$C$24*'2021 Lønnsand og arbavg landet'!$D$14*('2021 Arbavg tjeneste'!L15/'2021 Lønnsgr arbavg tjeneste'!L15-$AX$17))</f>
        <v>-4.4305849411489975</v>
      </c>
      <c r="AZ15" s="5">
        <f t="shared" si="21"/>
        <v>-1070.7084486328902</v>
      </c>
      <c r="BA15" s="55">
        <f>IF('2021 Lønnsgr arbavg tjeneste'!M15&lt;100,0,(C15/$C$17)*'2021 Arbavg tjeneste'!M15/'2021 Lønnsgr arbavg tjeneste'!M15)</f>
        <v>2.4449259743098413E-3</v>
      </c>
      <c r="BB15" s="5">
        <f>IF('2021 Lønnsgr arbavg tjeneste'!M15&lt;100,0,C15)</f>
        <v>241663</v>
      </c>
      <c r="BC15" s="55">
        <f t="shared" si="7"/>
        <v>5.1355191993058658E-2</v>
      </c>
      <c r="BD15" s="55">
        <f t="shared" si="8"/>
        <v>1</v>
      </c>
      <c r="BE15" s="55">
        <f>IF(BB15=0,0,(BB15/$BB$17)*BD15*'2021 Arbavg tjeneste'!M15/'2021 Lønnsgr arbavg tjeneste'!M15)</f>
        <v>2.806599345259449E-3</v>
      </c>
      <c r="BF15" s="5">
        <f>IF(BB15=0,0,'2021 Nto driftsutg landet'!$C$25*'2021 Lønnsand og arbavg landet'!$D$15*('2021 Arbavg tjeneste'!M15/'2021 Lønnsgr arbavg tjeneste'!M15-$BE$17))</f>
        <v>-0.43718719786859467</v>
      </c>
      <c r="BG15" s="5">
        <f t="shared" si="22"/>
        <v>-105.65196979851819</v>
      </c>
      <c r="BH15" s="55">
        <f>IF('2021 Lønnsgr arbavg tjeneste'!N15&lt;100,0,(C15/$C$17)*'2021 Arbavg tjeneste'!N15/'2021 Lønnsgr arbavg tjeneste'!N15)</f>
        <v>1.6084499793723507E-3</v>
      </c>
      <c r="BI15" s="5">
        <f>IF('2021 Lønnsgr arbavg tjeneste'!N15&lt;100,0,C15)</f>
        <v>241663</v>
      </c>
      <c r="BJ15" s="55">
        <f t="shared" si="9"/>
        <v>4.4737287861046963E-2</v>
      </c>
      <c r="BK15" s="55">
        <f t="shared" si="10"/>
        <v>1</v>
      </c>
      <c r="BL15" s="55">
        <f>IF(BI15=0,0,(BI15/$BI$17)*BK15*'2021 Arbavg tjeneste'!N15/'2021 Lønnsgr arbavg tjeneste'!N15)</f>
        <v>1.6084499793723507E-3</v>
      </c>
      <c r="BM15" s="5">
        <f>IF(BI15=0,0,'2021 Nto driftsutg landet'!$C$26*'2021 Lønnsand og arbavg landet'!$D$16*('2021 Arbavg tjeneste'!N15/'2021 Lønnsgr arbavg tjeneste'!N15-$BL$17))</f>
        <v>-2.7307938732097825</v>
      </c>
      <c r="BN15" s="5">
        <f t="shared" si="23"/>
        <v>-659.93183978149568</v>
      </c>
      <c r="BO15" s="55">
        <f>IF('2021 Lønnsgr arbavg tjeneste'!O15&lt;100,0,(C15/$C$17)*'2021 Arbavg tjeneste'!O15/'2021 Lønnsgr arbavg tjeneste'!O15)</f>
        <v>0</v>
      </c>
      <c r="BP15" s="5">
        <f>IF('2021 Lønnsgr arbavg tjeneste'!O15&lt;100,0,C15)</f>
        <v>0</v>
      </c>
      <c r="BQ15" s="55">
        <f t="shared" si="11"/>
        <v>0</v>
      </c>
      <c r="BR15" s="55">
        <f t="shared" si="12"/>
        <v>1</v>
      </c>
      <c r="BS15" s="55">
        <f>IF(BP15=0,0,(BP15/$BP$17)*BR15*'2021 Arbavg tjeneste'!O15/'2021 Lønnsgr arbavg tjeneste'!O15)</f>
        <v>0</v>
      </c>
      <c r="BT15" s="5">
        <f>IF(BP15=0,0,'2021 Nto driftsutg landet'!$C$27*'2021 Lønnsand og arbavg landet'!$D$17*('2021 Arbavg tjeneste'!O15/'2021 Lønnsgr arbavg tjeneste'!O15-$BS$17))</f>
        <v>0</v>
      </c>
      <c r="BU15" s="5">
        <f t="shared" si="24"/>
        <v>0</v>
      </c>
      <c r="BV15" s="55">
        <f>IF('2021 Lønnsgr arbavg tjeneste'!P15&lt;100,0,(C15/$C$17)*'2021 Arbavg tjeneste'!P15/'2021 Lønnsgr arbavg tjeneste'!P15)</f>
        <v>3.491484102052792E-3</v>
      </c>
      <c r="BW15" s="5">
        <f>IF('2021 Lønnsgr arbavg tjeneste'!P15&lt;100,0,C15)</f>
        <v>241663</v>
      </c>
      <c r="BX15" s="55">
        <f t="shared" si="13"/>
        <v>7.9266750657896679E-2</v>
      </c>
      <c r="BY15" s="55">
        <f t="shared" si="14"/>
        <v>1</v>
      </c>
      <c r="BZ15" s="55">
        <f>IF(BW15=0,0,(BW15/$BW$17)*BY15*'2021 Arbavg tjeneste'!P15/'2021 Lønnsgr arbavg tjeneste'!P15)</f>
        <v>6.1863070600755932E-3</v>
      </c>
      <c r="CA15" s="5">
        <f>IF(BW15=0,0,'2021 Nto driftsutg landet'!$C$28*'2021 Lønnsand og arbavg landet'!$D$18*('2021 Arbavg tjeneste'!P15/'2021 Lønnsgr arbavg tjeneste'!P15-$BZ$17))</f>
        <v>-4.6721140192010546E-3</v>
      </c>
      <c r="CB15" s="5">
        <f t="shared" si="25"/>
        <v>-1.1290770902221845</v>
      </c>
      <c r="CC15" s="5"/>
      <c r="CD15" s="5"/>
      <c r="CE15" s="5"/>
    </row>
    <row r="16" spans="1:83" x14ac:dyDescent="0.3">
      <c r="B16" s="43"/>
      <c r="C16" s="43"/>
      <c r="D16" s="43"/>
      <c r="E16" s="43"/>
      <c r="F16" s="43"/>
      <c r="G16" s="43"/>
    </row>
    <row r="17" spans="2:83" x14ac:dyDescent="0.3">
      <c r="B17" s="42" t="s">
        <v>3</v>
      </c>
      <c r="C17" s="5">
        <f>SUM(C5:C16)</f>
        <v>5401825</v>
      </c>
      <c r="D17" s="55">
        <f>SUM(D5:D16)</f>
        <v>0.12783365243760056</v>
      </c>
      <c r="E17" s="5">
        <f>SUM(E5:E16)</f>
        <v>5401825</v>
      </c>
      <c r="F17" s="55">
        <f>SUM(F5:F16)</f>
        <v>0.99999999990526622</v>
      </c>
      <c r="G17" s="5"/>
      <c r="H17" s="55">
        <f>SUM(H5:H16)</f>
        <v>0.12783365244971076</v>
      </c>
      <c r="I17" s="5"/>
      <c r="J17" s="5">
        <f>SUM(J5:J16)</f>
        <v>-6.2573235481977463E-10</v>
      </c>
      <c r="K17" s="55">
        <f>SUM(K5:K16)</f>
        <v>0.20880891278601482</v>
      </c>
      <c r="L17" s="5">
        <f>SUM(L5:L16)</f>
        <v>4705717</v>
      </c>
      <c r="M17" s="55">
        <f>SUM(M5:M16)</f>
        <v>1.1074994031545189</v>
      </c>
      <c r="N17" s="5"/>
      <c r="O17" s="55">
        <f>SUM(O5:O16)</f>
        <v>0.21643138390966757</v>
      </c>
      <c r="P17" s="5"/>
      <c r="Q17" s="5">
        <f>SUM(Q5:Q16)</f>
        <v>0</v>
      </c>
      <c r="R17" s="55">
        <f>SUM(R5:R16)</f>
        <v>0.13353563947600161</v>
      </c>
      <c r="S17" s="5">
        <f>SUM(S5:S16)</f>
        <v>5401825</v>
      </c>
      <c r="T17" s="55">
        <f>SUM(T5:T16)</f>
        <v>1.0000000012544346</v>
      </c>
      <c r="U17" s="5"/>
      <c r="V17" s="55">
        <f>SUM(V5:V16)</f>
        <v>0.13353563930848991</v>
      </c>
      <c r="W17" s="5"/>
      <c r="X17" s="5">
        <f>SUM(X5:X16)</f>
        <v>0</v>
      </c>
      <c r="Y17" s="55">
        <f>SUM(Y5:Y16)</f>
        <v>6.7834990530211414E-2</v>
      </c>
      <c r="Z17" s="5">
        <f>SUM(Z5:Z16)</f>
        <v>2382740</v>
      </c>
      <c r="AA17" s="55">
        <f>SUM(AA5:AA16)</f>
        <v>1.6827791978455671</v>
      </c>
      <c r="AB17" s="5"/>
      <c r="AC17" s="55">
        <f>SUM(AC5:AC16)</f>
        <v>9.1388276900585846E-2</v>
      </c>
      <c r="AD17" s="5"/>
      <c r="AE17" s="5">
        <f>SUM(AE5:AE16)</f>
        <v>0</v>
      </c>
      <c r="AF17" s="55">
        <f>SUM(AF5:AF16)</f>
        <v>0.12609134682344258</v>
      </c>
      <c r="AG17" s="5">
        <f>SUM(AG5:AG16)</f>
        <v>5401825</v>
      </c>
      <c r="AH17" s="55">
        <f>SUM(AH5:AH16)</f>
        <v>1.0000000006892327</v>
      </c>
      <c r="AI17" s="5"/>
      <c r="AJ17" s="55">
        <f>SUM(AJ5:AJ16)</f>
        <v>0.1260913467365363</v>
      </c>
      <c r="AK17" s="5"/>
      <c r="AL17" s="5">
        <f>SUM(AL5:AL16)</f>
        <v>2.0008883439004421E-11</v>
      </c>
      <c r="AM17" s="55">
        <f>SUM(AM5:AM16)</f>
        <v>9.8543471285934506E-2</v>
      </c>
      <c r="AN17" s="5">
        <f>SUM(AN5:AN16)</f>
        <v>5401825</v>
      </c>
      <c r="AO17" s="55">
        <f>SUM(AO5:AO16)</f>
        <v>1</v>
      </c>
      <c r="AP17" s="5"/>
      <c r="AQ17" s="55">
        <f>SUM(AQ5:AQ16)</f>
        <v>9.8543471218015127E-2</v>
      </c>
      <c r="AR17" s="5"/>
      <c r="AS17" s="5">
        <f>SUM(AS5:AS16)</f>
        <v>1.5762179191369796E-4</v>
      </c>
      <c r="AT17" s="55">
        <f>SUM(AT5:AT16)</f>
        <v>0.11443302852755029</v>
      </c>
      <c r="AU17" s="5">
        <f>SUM(AU5:AU16)</f>
        <v>4705717</v>
      </c>
      <c r="AV17" s="55">
        <f>SUM(AV5:AV16)</f>
        <v>1</v>
      </c>
      <c r="AW17" s="5"/>
      <c r="AX17" s="55">
        <f>SUM(AX5:AX16)</f>
        <v>0.13136089448766988</v>
      </c>
      <c r="AY17" s="5"/>
      <c r="AZ17" s="5">
        <f>SUM(AZ5:AZ16)</f>
        <v>-6.1390892369672656E-12</v>
      </c>
      <c r="BA17" s="55">
        <f>SUM(BA5:BA16)</f>
        <v>0.11488420275356273</v>
      </c>
      <c r="BB17" s="5">
        <f>SUM(BB5:BB16)</f>
        <v>4705717</v>
      </c>
      <c r="BC17" s="55">
        <f>SUM(BC5:BC16)</f>
        <v>1</v>
      </c>
      <c r="BD17" s="5"/>
      <c r="BE17" s="55">
        <f>SUM(BE5:BE16)</f>
        <v>0.13187881008128285</v>
      </c>
      <c r="BF17" s="5"/>
      <c r="BG17" s="5">
        <f>SUM(BG5:BG16)</f>
        <v>-3.979039320256561E-13</v>
      </c>
      <c r="BH17" s="55">
        <f>SUM(BH5:BH16)</f>
        <v>0.12950781675874024</v>
      </c>
      <c r="BI17" s="5">
        <f>SUM(BI5:BI16)</f>
        <v>5401825</v>
      </c>
      <c r="BJ17" s="55">
        <f>SUM(BJ5:BJ16)</f>
        <v>1</v>
      </c>
      <c r="BK17" s="5"/>
      <c r="BL17" s="55">
        <f>SUM(BL5:BL16)</f>
        <v>0.12950781675874024</v>
      </c>
      <c r="BM17" s="5"/>
      <c r="BN17" s="5">
        <f>SUM(BN5:BN16)</f>
        <v>-1.9326762412674725E-12</v>
      </c>
      <c r="BO17" s="55">
        <f>SUM(BO5:BO16)</f>
        <v>8.3497843667933377E-3</v>
      </c>
      <c r="BP17" s="5">
        <f>SUM(BP5:BP16)</f>
        <v>423144</v>
      </c>
      <c r="BQ17" s="55">
        <f>SUM(BQ5:BQ16)</f>
        <v>1</v>
      </c>
      <c r="BR17" s="5"/>
      <c r="BS17" s="55">
        <f>SUM(BS5:BS16)</f>
        <v>0.10659272951324707</v>
      </c>
      <c r="BT17" s="5"/>
      <c r="BU17" s="5">
        <f>SUM(BU5:BU16)</f>
        <v>0</v>
      </c>
      <c r="BV17" s="55">
        <f>SUM(BV5:BV16)</f>
        <v>7.7603053800524777E-2</v>
      </c>
      <c r="BW17" s="5">
        <f>SUM(BW5:BW16)</f>
        <v>3048731</v>
      </c>
      <c r="BX17" s="55">
        <f>SUM(BX5:BX16)</f>
        <v>1</v>
      </c>
      <c r="BY17" s="5"/>
      <c r="BZ17" s="55">
        <f>SUM(BZ5:BZ16)</f>
        <v>0.13749921396673562</v>
      </c>
      <c r="CA17" s="55"/>
      <c r="CB17" s="5">
        <f>SUM(CB5:CB16)</f>
        <v>-3.3306690738754696E-15</v>
      </c>
      <c r="CC17" s="5"/>
      <c r="CD17" s="5"/>
      <c r="CE17" s="5"/>
    </row>
    <row r="18" spans="2:83" x14ac:dyDescent="0.3">
      <c r="CD18" s="5"/>
    </row>
  </sheetData>
  <sheetProtection algorithmName="SHA-512" hashValue="VcStRJYi5k169bWwJUuDSQwDdX+f/FtCB+QU3TWas8ZQhkFzRDCZLGJrmz8z7fvSxxbPyOPmW+MBig6wfV1zrA==" saltValue="HoaXwPOq04wJAWk/fJQoj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B9B7-68EF-48AE-A965-94FDD7753D1B}">
  <dimension ref="B1:K88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4" t="str">
        <f>+Inngang!C5</f>
        <v>TRØNDELAG</v>
      </c>
      <c r="C1" s="100">
        <v>2021</v>
      </c>
    </row>
    <row r="3" spans="2:8" x14ac:dyDescent="0.3">
      <c r="B3" s="6" t="s">
        <v>51</v>
      </c>
    </row>
    <row r="4" spans="2:8" x14ac:dyDescent="0.3">
      <c r="B4" s="6"/>
    </row>
    <row r="5" spans="2:8" ht="43.2" x14ac:dyDescent="0.3">
      <c r="B5" s="36"/>
      <c r="C5" s="16" t="s">
        <v>312</v>
      </c>
      <c r="D5" s="16" t="s">
        <v>130</v>
      </c>
    </row>
    <row r="6" spans="2:8" x14ac:dyDescent="0.3">
      <c r="B6" s="37"/>
      <c r="C6" s="35" t="s">
        <v>39</v>
      </c>
      <c r="D6" s="35" t="s">
        <v>39</v>
      </c>
    </row>
    <row r="7" spans="2:8" x14ac:dyDescent="0.3">
      <c r="B7" s="57" t="s">
        <v>137</v>
      </c>
      <c r="C7" s="59">
        <f>VLOOKUP(Inngang!$B$5,'2021 Inntektsnivå'!A5:D23,4,FALSE)</f>
        <v>-67.43964362562474</v>
      </c>
      <c r="D7" s="96"/>
    </row>
    <row r="8" spans="2:8" x14ac:dyDescent="0.3">
      <c r="B8" s="57" t="s">
        <v>270</v>
      </c>
      <c r="C8" s="60">
        <f>+E33+E34+E37+E38+E39</f>
        <v>-413.18995420616397</v>
      </c>
      <c r="D8" s="69">
        <f>H33+H34+H37+H38+H39</f>
        <v>-360.90125067898515</v>
      </c>
    </row>
    <row r="9" spans="2:8" x14ac:dyDescent="0.3">
      <c r="B9" s="57" t="s">
        <v>269</v>
      </c>
      <c r="C9" s="60">
        <f>+E40</f>
        <v>298.275230156715</v>
      </c>
      <c r="D9" s="69">
        <f t="shared" ref="D9:D12" si="0">+H40</f>
        <v>304.44436369538903</v>
      </c>
    </row>
    <row r="10" spans="2:8" x14ac:dyDescent="0.3">
      <c r="B10" s="57" t="s">
        <v>26</v>
      </c>
      <c r="C10" s="60">
        <f>+E41</f>
        <v>-12.690324860571394</v>
      </c>
      <c r="D10" s="69">
        <f t="shared" si="0"/>
        <v>-13.468537893287277</v>
      </c>
    </row>
    <row r="11" spans="2:8" x14ac:dyDescent="0.3">
      <c r="B11" s="57" t="s">
        <v>23</v>
      </c>
      <c r="C11" s="60">
        <f t="shared" ref="C11:C12" si="1">+E42</f>
        <v>469.61927057867376</v>
      </c>
      <c r="D11" s="69">
        <f t="shared" si="0"/>
        <v>472.91612299286965</v>
      </c>
    </row>
    <row r="12" spans="2:8" x14ac:dyDescent="0.3">
      <c r="B12" s="58" t="s">
        <v>24</v>
      </c>
      <c r="C12" s="61">
        <f t="shared" si="1"/>
        <v>-409.45386529428174</v>
      </c>
      <c r="D12" s="70">
        <f t="shared" si="0"/>
        <v>-402.99069811599065</v>
      </c>
    </row>
    <row r="13" spans="2:8" x14ac:dyDescent="0.3">
      <c r="B13" s="6"/>
      <c r="C13" s="5"/>
      <c r="D13" s="5"/>
    </row>
    <row r="14" spans="2:8" x14ac:dyDescent="0.3">
      <c r="B14" s="6"/>
    </row>
    <row r="16" spans="2:8" ht="43.2" x14ac:dyDescent="0.3">
      <c r="B16" s="72"/>
      <c r="C16" s="13" t="s">
        <v>49</v>
      </c>
      <c r="D16" s="18" t="s">
        <v>50</v>
      </c>
      <c r="E16" s="16" t="s">
        <v>56</v>
      </c>
      <c r="F16" s="18" t="s">
        <v>55</v>
      </c>
      <c r="G16" s="18"/>
      <c r="H16" s="16" t="s">
        <v>57</v>
      </c>
    </row>
    <row r="17" spans="2:8" x14ac:dyDescent="0.3">
      <c r="B17" s="73"/>
      <c r="C17" s="39" t="s">
        <v>52</v>
      </c>
      <c r="D17" s="33" t="s">
        <v>53</v>
      </c>
      <c r="E17" s="35" t="s">
        <v>54</v>
      </c>
      <c r="F17" s="33" t="s">
        <v>52</v>
      </c>
      <c r="G17" s="33"/>
      <c r="H17" s="35" t="s">
        <v>54</v>
      </c>
    </row>
    <row r="18" spans="2:8" x14ac:dyDescent="0.3">
      <c r="B18" s="57" t="s">
        <v>171</v>
      </c>
      <c r="C18" s="12">
        <f>VLOOKUP(Inngang!$B$5,'2021 Nto driftsutg eks avskriv'!$A$5:$T$22,4,FALSE)*1000/VLOOKUP(Inngang!$B$5,'2021 Nto driftsutg'!$A$5:$W$22,23,FALSE)*100/'2021 Nto driftsutg landet'!C5-100</f>
        <v>4.5523759127803771</v>
      </c>
      <c r="D18" s="5">
        <f>('2021 Nto driftsutg landet'!$C$5+VLOOKUP(Inngang!$B$5,'2021 Korreksjoner'!$A$5:$AS$22,3,FALSE)+VLOOKUP(Inngang!$B$5,'2021 Korreksjoner'!$A$5:$AS$22,5,FALSE)+VLOOKUP(Inngang!$B$5,'2021 Korreksjoner'!$A$5:$AS$22,12,FALSE)+VLOOKUP(Inngang!$B$5,'2021 Korreksjoner'!$A$5:$AS$22,28,FALSE))*100/'2021 Nto driftsutg landet'!C5-100</f>
        <v>1.4065909851913858</v>
      </c>
      <c r="E18" s="14">
        <f>+C18-D18</f>
        <v>3.1457849275889913</v>
      </c>
      <c r="F18" s="5">
        <f>('2021 Nto driftsutg landet'!$C$5*VLOOKUP(Inngang!$B$5,'2021 Inntektsnivå'!$A$5:$C$22,3,FALSE)+VLOOKUP(Inngang!$B$5,'2021 Korreksjoner'!$A$5:$AS$22,5,FALSE)+VLOOKUP(Inngang!$B$5,'2021 Korreksjoner'!$A$5:$AS$22,3,FALSE)+VLOOKUP(Inngang!$B$5,'2021 Korreksjoner'!$A$5:$AS$22,12,FALSE)+VLOOKUP(Inngang!$B$5,'2021 Korreksjoner'!$A$5:$AS$22,28,FALSE))*100/'2021 Nto driftsutg landet'!C5-100</f>
        <v>0.95678783101517695</v>
      </c>
      <c r="G18" s="5"/>
      <c r="H18" s="14">
        <f>+C18-F18</f>
        <v>3.5955880817652002</v>
      </c>
    </row>
    <row r="19" spans="2:8" x14ac:dyDescent="0.3">
      <c r="B19" s="57" t="s">
        <v>172</v>
      </c>
      <c r="C19" s="12">
        <f>VLOOKUP(Inngang!$B$5,'2021 Nto driftsutg eks avskriv'!$A$5:$T$22,5,FALSE)*1000/VLOOKUP(Inngang!$B$5,'2021 Nto driftsutg'!$A$5:$W$22,23,FALSE)*100/'2021 Nto driftsutg landet'!C6-100</f>
        <v>33.261675292275385</v>
      </c>
      <c r="D19" s="5">
        <f>('2021 Nto driftsutg landet'!$C$6+VLOOKUP(Inngang!$B$5,'2021 Korreksjoner'!$A$5:$AS$22,6,FALSE)+VLOOKUP(Inngang!$B$5,'2021 Korreksjoner'!$A$5:$AS$22,13,FALSE)+VLOOKUP(Inngang!$B$5,'2021 Korreksjoner'!$A$5:$AS$22,29,FALSE))*100/'2021 Nto driftsutg landet'!C6-100</f>
        <v>30.736430045590993</v>
      </c>
      <c r="E19" s="14">
        <f>+C19-D19</f>
        <v>2.525245246684392</v>
      </c>
      <c r="F19" s="5">
        <f>('2021 Nto driftsutg landet'!$C$6*VLOOKUP(Inngang!$B$5,'2021 Inntektsnivå'!$A$5:$C$22,3,FALSE)+VLOOKUP(Inngang!$B$5,'2021 Korreksjoner'!$A$5:$AS$22,6,FALSE)+VLOOKUP(Inngang!$B$5,'2021 Korreksjoner'!$A$5:$AS$22,13,FALSE)+VLOOKUP(Inngang!$B$5,'2021 Korreksjoner'!$A$5:$AS$22,29,FALSE))*100/'2021 Nto driftsutg landet'!C6-100</f>
        <v>30.286626891414784</v>
      </c>
      <c r="G19" s="5"/>
      <c r="H19" s="14">
        <f>+C19-F19</f>
        <v>2.9750484008606009</v>
      </c>
    </row>
    <row r="20" spans="2:8" x14ac:dyDescent="0.3">
      <c r="B20" s="57" t="s">
        <v>456</v>
      </c>
      <c r="C20" s="12"/>
      <c r="D20" s="5"/>
      <c r="E20" s="14"/>
      <c r="F20" s="5"/>
      <c r="G20" s="5"/>
      <c r="H20" s="14"/>
    </row>
    <row r="21" spans="2:8" x14ac:dyDescent="0.3">
      <c r="B21" s="57" t="s">
        <v>417</v>
      </c>
      <c r="C21" s="12"/>
      <c r="D21" s="5"/>
      <c r="E21" s="14"/>
      <c r="F21" s="5"/>
      <c r="G21" s="5"/>
      <c r="H21" s="14"/>
    </row>
    <row r="22" spans="2:8" x14ac:dyDescent="0.3">
      <c r="B22" s="30" t="s">
        <v>275</v>
      </c>
      <c r="C22" s="12">
        <f>VLOOKUP(Inngang!$B$5,'2021 Nto driftsutg eks avskriv'!$A$5:$T$22,6,FALSE)*1000/VLOOKUP(Inngang!$B$5,'2021 Nto driftsutg'!$A$5:$W$22,23,FALSE)*100/'2021 Nto driftsutg landet'!C7-100</f>
        <v>-18.946410997805359</v>
      </c>
      <c r="D22" s="5">
        <f>('2021 Nto driftsutg landet'!$C$7+VLOOKUP(Inngang!$B$5,'2021 Korreksjoner'!$A$5:$AS$22,7,FALSE)+VLOOKUP(Inngang!$B$5,'2021 Korreksjoner'!$A$5:$AS$22,14,FALSE)+VLOOKUP(Inngang!$B$5,'2021 Korreksjoner'!$A$5:$AS$22,30,FALSE))*100/'2021 Nto driftsutg landet'!C7-100</f>
        <v>5.5287395350324999</v>
      </c>
      <c r="E22" s="14">
        <f>+C22-D22</f>
        <v>-24.475150532837858</v>
      </c>
      <c r="F22" s="5">
        <f>('2021 Nto driftsutg landet'!$C$7*VLOOKUP(Inngang!$B$5,'2021 Inntektsnivå'!$A$5:$C$22,3,FALSE)+VLOOKUP(Inngang!$B$5,'2021 Korreksjoner'!$A$5:$AS$22,7,FALSE)+VLOOKUP(Inngang!$B$5,'2021 Korreksjoner'!$A$5:$AS$22,14,FALSE)+VLOOKUP(Inngang!$B$5,'2021 Korreksjoner'!$A$5:$AS$22,30,FALSE))*100/'2021 Nto driftsutg landet'!C7-100</f>
        <v>5.0789363808562911</v>
      </c>
      <c r="G22" s="5"/>
      <c r="H22" s="14">
        <f>+C22-F22</f>
        <v>-24.02534737866165</v>
      </c>
    </row>
    <row r="23" spans="2:8" x14ac:dyDescent="0.3">
      <c r="B23" s="30" t="s">
        <v>276</v>
      </c>
      <c r="C23" s="12">
        <f>VLOOKUP(Inngang!$B$5,'2021 Nto driftsutg eks avskriv'!$A$5:$T$22,7,FALSE)*1000/VLOOKUP(Inngang!$B$5,'2021 Nto driftsutg'!$A$5:$W$22,23,FALSE)*100/'2021 Nto driftsutg landet'!C9-100</f>
        <v>58.647788200197851</v>
      </c>
      <c r="D23" s="5">
        <f>('2021 Nto driftsutg landet'!$C$8+VLOOKUP(Inngang!$B$5,'2021 Korreksjoner'!$A$5:$AS$22,8,FALSE)+VLOOKUP(Inngang!$B$5,'2021 Korreksjoner'!$A$5:$AS$22,15,FALSE)+VLOOKUP(Inngang!$B$5,'2021 Korreksjoner'!$A$5:$AS$22,31,FALSE))*100/'2021 Nto driftsutg landet'!C8-100</f>
        <v>13.790847581838392</v>
      </c>
      <c r="E23" s="14">
        <f>+C23-D23</f>
        <v>44.856940618359459</v>
      </c>
      <c r="F23" s="5">
        <f>('2021 Nto driftsutg landet'!$C$8*VLOOKUP(Inngang!$B$5,'2021 Inntektsnivå'!$A$5:$C$22,3,FALSE)+VLOOKUP(Inngang!$B$5,'2021 Korreksjoner'!$A$5:$AS$22,8,FALSE)+VLOOKUP(Inngang!$B$5,'2021 Korreksjoner'!$A$5:$AS$22,15,FALSE)+VLOOKUP(Inngang!$B$5,'2021 Korreksjoner'!$A$5:$AS$22,31,FALSE))*100/'2021 Nto driftsutg landet'!C8-100</f>
        <v>13.341044427662183</v>
      </c>
      <c r="G23" s="5"/>
      <c r="H23" s="14">
        <f>+C23-F23</f>
        <v>45.306743772535668</v>
      </c>
    </row>
    <row r="24" spans="2:8" x14ac:dyDescent="0.3">
      <c r="B24" s="58" t="s">
        <v>173</v>
      </c>
      <c r="C24" s="24">
        <f>VLOOKUP(Inngang!$B$5,'2021 Nto driftsutg eks avskriv'!$A$5:$T$22,8,FALSE)*1000/VLOOKUP(Inngang!$B$5,'2021 Nto driftsutg'!$A$5:$W$22,23,FALSE)*100/'2021 Nto driftsutg landet'!C9-100</f>
        <v>17.261555730693559</v>
      </c>
      <c r="D24" s="20">
        <f>('2021 Nto driftsutg landet'!$C$9+VLOOKUP(Inngang!$B$5,'2021 Korreksjoner'!$A$5:$AS$22,9,FALSE)+VLOOKUP(Inngang!$B$5,'2021 Korreksjoner'!$A$5:$AS$22,16,FALSE)+VLOOKUP(Inngang!$B$5,'2021 Korreksjoner'!$A$5:$AS$22,32,FALSE))*100/'2021 Nto driftsutg landet'!C9-100</f>
        <v>-1.0703728622684849</v>
      </c>
      <c r="E24" s="25">
        <f t="shared" ref="E24" si="2">+C24-D24</f>
        <v>18.331928592962043</v>
      </c>
      <c r="F24" s="20">
        <f>('2021 Nto driftsutg landet'!$C$9*VLOOKUP(Inngang!$B$5,'2021 Inntektsnivå'!$A$5:$C$22,3,FALSE)+VLOOKUP(Inngang!$B$5,'2021 Korreksjoner'!$A$5:$AS$22,9,FALSE)+VLOOKUP(Inngang!$B$5,'2021 Korreksjoner'!$A$5:$AS$22,16,FALSE)+VLOOKUP(Inngang!$B$5,'2021 Korreksjoner'!$A$5:$AS$22,32,FALSE))*100/'2021 Nto driftsutg landet'!C9-100</f>
        <v>-1.5201760164446796</v>
      </c>
      <c r="G24" s="20"/>
      <c r="H24" s="25">
        <f t="shared" ref="H24" si="3">+C24-F24</f>
        <v>18.781731747138238</v>
      </c>
    </row>
    <row r="28" spans="2:8" x14ac:dyDescent="0.3">
      <c r="B28" s="6" t="s">
        <v>34</v>
      </c>
    </row>
    <row r="30" spans="2:8" ht="43.2" x14ac:dyDescent="0.3">
      <c r="B30" s="36"/>
      <c r="C30" s="18" t="s">
        <v>133</v>
      </c>
      <c r="D30" s="18" t="s">
        <v>267</v>
      </c>
      <c r="E30" s="17" t="s">
        <v>48</v>
      </c>
      <c r="F30" s="13" t="s">
        <v>42</v>
      </c>
      <c r="G30" s="18"/>
      <c r="H30" s="16" t="s">
        <v>43</v>
      </c>
    </row>
    <row r="31" spans="2:8" x14ac:dyDescent="0.3">
      <c r="B31" s="37"/>
      <c r="C31" s="33" t="s">
        <v>39</v>
      </c>
      <c r="D31" s="33" t="s">
        <v>41</v>
      </c>
      <c r="E31" s="34" t="s">
        <v>39</v>
      </c>
      <c r="F31" s="39" t="s">
        <v>39</v>
      </c>
      <c r="G31" s="33"/>
      <c r="H31" s="35" t="s">
        <v>39</v>
      </c>
    </row>
    <row r="32" spans="2:8" x14ac:dyDescent="0.3">
      <c r="B32" s="78" t="s">
        <v>138</v>
      </c>
      <c r="C32" s="79">
        <f>SUM(C33:C39)</f>
        <v>12050.37113787305</v>
      </c>
      <c r="D32" s="79">
        <f>SUM(D33:D39)</f>
        <v>12463.561092079211</v>
      </c>
      <c r="E32" s="80">
        <f>SUM(E33:E39)</f>
        <v>-413.18995420616397</v>
      </c>
      <c r="F32" s="82">
        <f>SUM(F33:F39)</f>
        <v>12411.272388552034</v>
      </c>
      <c r="G32" s="79"/>
      <c r="H32" s="81">
        <f>SUM(H33:H39)</f>
        <v>-360.90125067898515</v>
      </c>
    </row>
    <row r="33" spans="2:9" x14ac:dyDescent="0.3">
      <c r="B33" s="30" t="s">
        <v>171</v>
      </c>
      <c r="C33" s="5">
        <f>VLOOKUP(Inngang!$B$5,'2021 Nto driftsutg eks avskriv'!$A$5:$T$22,4,FALSE)*1000/VLOOKUP(Inngang!$B$5,'2021 Nto driftsutg'!$A$5:$W$22,23,FALSE)</f>
        <v>6429.7640684184598</v>
      </c>
      <c r="D33" s="5">
        <f>+'2021 Nto driftsutg landet'!$C$5+VLOOKUP(Inngang!$B$5,'2021 Korreksjoner'!$A$5:$AS$22,5,FALSE)+VLOOKUP(Inngang!$B$5,'2021 Korreksjoner'!$A$5:$I$22,3,FALSE)+VLOOKUP(Inngang!$B$5,'2021 Korreksjoner'!$A$5:$AS$22,12,FALSE)+VLOOKUP(Inngang!$B$5,'2021 Korreksjoner'!$A$5:$AS$22,28,FALSE)</f>
        <v>6236.3045251245076</v>
      </c>
      <c r="E33" s="15">
        <f>+C33-D33</f>
        <v>193.45954329395227</v>
      </c>
      <c r="F33" s="12">
        <f>+'2021 Nto driftsutg landet'!$C$5*VLOOKUP(Inngang!$B$5,'2021 Inntektsnivå'!$A$5:$C$22,3,FALSE)+VLOOKUP(Inngang!$B$5,'2021 Korreksjoner'!$A$5:$AS$22,5,FALSE)+VLOOKUP(Inngang!$B$5,'2021 Korreksjoner'!$A$5:$AS$22,3,FALSE)+VLOOKUP(Inngang!$B$5,'2021 Korreksjoner'!$A$5:$AS$22,12,FALSE)+VLOOKUP(Inngang!$B$5,'2021 Korreksjoner'!$A$5:$AS$22,28,FALSE)</f>
        <v>6208.6425219100029</v>
      </c>
      <c r="G33" s="5"/>
      <c r="H33" s="14">
        <f>IF(F38=G38,C33-F33,(C33-F33)-(G38-F38)*C33/C32)</f>
        <v>221.12154650845696</v>
      </c>
      <c r="I33" s="99"/>
    </row>
    <row r="34" spans="2:9" x14ac:dyDescent="0.3">
      <c r="B34" s="30" t="s">
        <v>172</v>
      </c>
      <c r="C34" s="5">
        <f>VLOOKUP(Inngang!$B$5,'2021 Nto driftsutg eks avskriv'!$A$5:$T$22,5,FALSE)*1000/VLOOKUP(Inngang!$B$5,'2021 Nto driftsutg'!$A$5:$W$22,23,FALSE)</f>
        <v>2197.9536459837277</v>
      </c>
      <c r="D34" s="5">
        <f>+'2021 Nto driftsutg landet'!$C$6+VLOOKUP(Inngang!$B$5,'2021 Korreksjoner'!$A$5:$AS$22,6,FALSE)+VLOOKUP(Inngang!$B$5,'2021 Korreksjoner'!$A$5:$AS$22,13,FALSE)+VLOOKUP(Inngang!$B$5,'2021 Korreksjoner'!$A$5:$AS$22,29,FALSE)</f>
        <v>2156.3034717323558</v>
      </c>
      <c r="E34" s="15">
        <f>+C34-D34</f>
        <v>41.650174251371936</v>
      </c>
      <c r="F34" s="12">
        <f>+'2021 Nto driftsutg landet'!$C$6*VLOOKUP(Inngang!$B$5,'2021 Inntektsnivå'!$A$5:$C$22,3,FALSE)+VLOOKUP(Inngang!$B$5,'2021 Korreksjoner'!$A$5:$AS$22,6,FALSE)+VLOOKUP(Inngang!$B$5,'2021 Korreksjoner'!$A$5:$AS$22,13,FALSE)+VLOOKUP(Inngang!$B$5,'2021 Korreksjoner'!$A$5:$AS$22,29,FALSE)</f>
        <v>2148.8846359678478</v>
      </c>
      <c r="G34" s="5"/>
      <c r="H34" s="14">
        <f>IF(F38=G38,C34-F34,(C34-F34)-(G38-F38)*C34/C32)</f>
        <v>49.06901001587994</v>
      </c>
      <c r="I34" s="99"/>
    </row>
    <row r="35" spans="2:9" x14ac:dyDescent="0.3">
      <c r="B35" s="30" t="s">
        <v>456</v>
      </c>
      <c r="C35" s="5"/>
      <c r="D35" s="5"/>
      <c r="E35" s="15"/>
      <c r="F35" s="12"/>
      <c r="G35" s="5"/>
      <c r="H35" s="14"/>
      <c r="I35" s="99"/>
    </row>
    <row r="36" spans="2:9" x14ac:dyDescent="0.3">
      <c r="B36" s="30" t="s">
        <v>417</v>
      </c>
      <c r="C36" s="5"/>
      <c r="D36" s="5"/>
      <c r="E36" s="15"/>
      <c r="F36" s="12"/>
      <c r="G36" s="5"/>
      <c r="H36" s="14"/>
      <c r="I36" s="99"/>
    </row>
    <row r="37" spans="2:9" x14ac:dyDescent="0.3">
      <c r="B37" s="30" t="s">
        <v>275</v>
      </c>
      <c r="C37" s="5">
        <f>VLOOKUP(Inngang!$B$5,'2021 Nto driftsutg eks avskriv'!$A$5:$T$22,6,FALSE)*1000/VLOOKUP(Inngang!$B$5,'2021 Nto driftsutg'!$A$5:$W$22,23,FALSE)</f>
        <v>2037.0946783754862</v>
      </c>
      <c r="D37" s="5">
        <f>+'2021 Nto driftsutg landet'!$C$7+VLOOKUP(Inngang!$B$5,'2021 Korreksjoner'!$A$5:$AS$22,7,FALSE)+VLOOKUP(Inngang!$B$5,'2021 Korreksjoner'!$A$5:$AS$22,14,FALSE)+VLOOKUP(Inngang!$B$5,'2021 Korreksjoner'!$A$5:$AS$22,30,FALSE)</f>
        <v>2652.2210351063763</v>
      </c>
      <c r="E37" s="15">
        <f>+C37-D37</f>
        <v>-615.12635673089017</v>
      </c>
      <c r="F37" s="12">
        <f>+'2021 Nto driftsutg landet'!$C$7*VLOOKUP(Inngang!$B$5,'2021 Inntektsnivå'!$A$5:$C$22,3,FALSE)+VLOOKUP(Inngang!$B$5,'2021 Korreksjoner'!$A$5:$AS$22,7,FALSE)+VLOOKUP(Inngang!$B$5,'2021 Korreksjoner'!$A$5:$AS$22,14,FALSE)+VLOOKUP(Inngang!$B$5,'2021 Korreksjoner'!$A$5:$AS$22,30,FALSE)</f>
        <v>2640.9162721345101</v>
      </c>
      <c r="G37" s="5"/>
      <c r="H37" s="14">
        <f>IF(F38=G38,C37-F37,(C37-F37)-(G38-F38)*(C37+C38)/C32)</f>
        <v>-603.82159375902393</v>
      </c>
      <c r="I37" s="99"/>
    </row>
    <row r="38" spans="2:9" x14ac:dyDescent="0.3">
      <c r="B38" s="30" t="s">
        <v>276</v>
      </c>
      <c r="C38" s="5">
        <f>VLOOKUP(Inngang!$B$5,'2021 Nto driftsutg eks avskriv'!$A$5:$T$22,7,FALSE)*1000/VLOOKUP(Inngang!$B$5,'2021 Nto driftsutg'!$A$5:$W$22,23,FALSE)</f>
        <v>796.69585378696513</v>
      </c>
      <c r="D38" s="5">
        <f>+'2021 Nto driftsutg landet'!$C$8+VLOOKUP(Inngang!$B$5,'2021 Korreksjoner'!$A$5:$AS$22,8,FALSE)+VLOOKUP(Inngang!$B$5,'2021 Korreksjoner'!$A$5:$AS$22,15,FALSE)+VLOOKUP(Inngang!$B$5,'2021 Korreksjoner'!$A$5:$AS$22,31,FALSE)</f>
        <v>921.92826189432924</v>
      </c>
      <c r="E38" s="15">
        <f>+C38-D38</f>
        <v>-125.23240810736411</v>
      </c>
      <c r="F38" s="12">
        <f>IF(AND(C38&gt;=0.5,D38&gt;0),IF(G38&lt;10,C38,G38),0)</f>
        <v>918.2839772357936</v>
      </c>
      <c r="G38" s="5">
        <f>+'2021 Nto driftsutg landet'!$C$8*VLOOKUP(Inngang!$B$5,'2021 Inntektsnivå'!$A$5:$C$22,3,FALSE)+VLOOKUP(Inngang!$B$5,'2021 Korreksjoner'!$A$5:$AS$22,8,FALSE)+VLOOKUP(Inngang!$B$5,'2021 Korreksjoner'!$A$5:$AS$22,15,FALSE)+VLOOKUP(Inngang!$B$5,'2021 Korreksjoner'!$A$5:$AS$22,31,FALSE)</f>
        <v>918.2839772357936</v>
      </c>
      <c r="H38" s="14">
        <f>+C38-F38</f>
        <v>-121.58812344882847</v>
      </c>
      <c r="I38" s="99"/>
    </row>
    <row r="39" spans="2:9" x14ac:dyDescent="0.3">
      <c r="B39" s="31" t="s">
        <v>173</v>
      </c>
      <c r="C39" s="20">
        <f>VLOOKUP(Inngang!$B$5,'2021 Nto driftsutg eks avskriv'!$A$5:$T$22,8,FALSE)*1000/VLOOKUP(Inngang!$B$5,'2021 Nto driftsutg'!$A$5:$W$22,23,FALSE)</f>
        <v>588.86289130840964</v>
      </c>
      <c r="D39" s="20">
        <f>+'2021 Nto driftsutg landet'!$C$9+VLOOKUP(Inngang!$B$5,'2021 Korreksjoner'!$A$5:$AS$22,9,FALSE)+VLOOKUP(Inngang!$B$5,'2021 Korreksjoner'!$A$5:$AS$22,16,FALSE)+VLOOKUP(Inngang!$B$5,'2021 Korreksjoner'!$A$5:$AS$22,32,FALSE)</f>
        <v>496.80379822164355</v>
      </c>
      <c r="E39" s="38">
        <f t="shared" ref="E39:E43" si="4">+C39-D39</f>
        <v>92.059093086766097</v>
      </c>
      <c r="F39" s="24">
        <f>+'2021 Nto driftsutg landet'!$C$9*VLOOKUP(Inngang!$B$5,'2021 Inntektsnivå'!$A$5:$C$22,3,FALSE)+VLOOKUP(Inngang!$B$5,'2021 Korreksjoner'!$A$5:$AS$22,9,FALSE)+VLOOKUP(Inngang!$B$5,'2021 Korreksjoner'!$A$5:$AS$22,16,FALSE)+VLOOKUP(Inngang!$B$5,'2021 Korreksjoner'!$A$5:$AS$22,32,FALSE)</f>
        <v>494.5449813038793</v>
      </c>
      <c r="G39" s="20"/>
      <c r="H39" s="25">
        <f>IF(F38=G38,C39-F39,(C39-F39)-(G38-F38)*C39/C32)</f>
        <v>94.317910004530347</v>
      </c>
      <c r="I39" s="99"/>
    </row>
    <row r="40" spans="2:9" x14ac:dyDescent="0.3">
      <c r="B40" s="30" t="s">
        <v>269</v>
      </c>
      <c r="C40" s="5">
        <f>VLOOKUP(Inngang!$B$5,'2021 Nto driftsutg eks avskriv'!$A$5:$T$22,9,FALSE)*1000/VLOOKUP(Inngang!$B$5,'2021 Nto driftsutg'!$A$5:$W$22,23,FALSE)</f>
        <v>1762.295534455523</v>
      </c>
      <c r="D40" s="5">
        <f>'2021 Nto driftsutg landet'!$C$13+VLOOKUP(Inngang!$B$5,'2021 Korreksjoner'!$A$5:$AS$22,17,FALSE)+VLOOKUP(Inngang!$B$5,'2021 Korreksjoner'!$A$5:$AS$22,33,FALSE)+VLOOKUP(Inngang!$B$5,'2021 Korreksjoner'!$A$5:$AW$22,46,FALSE)</f>
        <v>1464.020304298808</v>
      </c>
      <c r="E40" s="15">
        <f t="shared" si="4"/>
        <v>298.275230156715</v>
      </c>
      <c r="F40" s="12">
        <f>+'2021 Nto driftsutg landet'!$C$13*VLOOKUP(Inngang!$B$5,'2021 Inntektsnivå'!$A$5:$C$22,3,FALSE)+VLOOKUP(Inngang!$B$5,'2021 Korreksjoner'!$A$5:$AS$22,17,FALSE)+VLOOKUP(Inngang!$B$5,'2021 Korreksjoner'!$A$5:$AS$22,33,FALSE)+VLOOKUP(Inngang!$B$5,'2021 Korreksjoner'!$A$5:$AV$22,46,FALSE)</f>
        <v>1457.851170760134</v>
      </c>
      <c r="G40" s="5"/>
      <c r="H40" s="14">
        <f t="shared" ref="H40:H43" si="5">+C40-F40</f>
        <v>304.44436369538903</v>
      </c>
    </row>
    <row r="41" spans="2:9" x14ac:dyDescent="0.3">
      <c r="B41" s="30" t="s">
        <v>26</v>
      </c>
      <c r="C41" s="5">
        <f>VLOOKUP(Inngang!$B$5,'2021 Nto driftsutg eks avskriv'!$A$5:$T$22,18,FALSE)*1000/VLOOKUP(Inngang!$B$5,'2021 Nto driftsutg'!$A$5:$W$22,23,FALSE)</f>
        <v>-156.90978886756238</v>
      </c>
      <c r="D41" s="5">
        <f>'2021 Nto driftsutg landet'!$C$14+VLOOKUP(Inngang!$B$5,'2021 Korreksjoner'!$A$5:$AX$22,44,FALSE)</f>
        <v>-144.21946400699099</v>
      </c>
      <c r="E41" s="15">
        <f t="shared" si="4"/>
        <v>-12.690324860571394</v>
      </c>
      <c r="F41" s="12">
        <f>+'2021 Nto driftsutg landet'!$C$14*VLOOKUP(Inngang!$B$5,'2021 Inntektsnivå'!$A$5:$C$22,3,FALSE)+VLOOKUP(Inngang!$B$5,'2021 Korreksjoner'!$A$5:$AX$22,44,FALSE)</f>
        <v>-143.44125097427511</v>
      </c>
      <c r="G41" s="5"/>
      <c r="H41" s="14">
        <f t="shared" si="5"/>
        <v>-13.468537893287277</v>
      </c>
    </row>
    <row r="42" spans="2:9" x14ac:dyDescent="0.3">
      <c r="B42" s="30" t="s">
        <v>23</v>
      </c>
      <c r="C42" s="5">
        <f>VLOOKUP(Inngang!$B$5,'2021 Nto driftsutg eks avskriv'!$A$5:$T$22,19,FALSE)*1000/VLOOKUP(Inngang!$B$5,'2021 Nto driftsutg'!$A$5:$W$22,23,FALSE)</f>
        <v>1202.5737604674468</v>
      </c>
      <c r="D42" s="88">
        <f>'2021 Nto driftsutg landet'!$C$15</f>
        <v>732.95448988877308</v>
      </c>
      <c r="E42" s="89">
        <f t="shared" si="4"/>
        <v>469.61927057867376</v>
      </c>
      <c r="F42" s="90">
        <f>+'2021 Nto driftsutg landet'!$C$15*VLOOKUP(Inngang!$B$5,'2021 Inntektsnivå'!$A$5:$C$22,3,FALSE)</f>
        <v>729.6576374745772</v>
      </c>
      <c r="G42" s="88"/>
      <c r="H42" s="91">
        <f t="shared" si="5"/>
        <v>472.91612299286965</v>
      </c>
      <c r="I42" s="5"/>
    </row>
    <row r="43" spans="2:9" x14ac:dyDescent="0.3">
      <c r="B43" s="31" t="s">
        <v>24</v>
      </c>
      <c r="C43" s="20">
        <f>VLOOKUP(Inngang!$B$5,'2021 Nto driftsutg eks avskriv'!$A$5:$T$22,20,FALSE)*1000/VLOOKUP(Inngang!$B$5,'2021 Nto driftsutg'!$A$5:$W$22,23,FALSE)</f>
        <v>1027.4340529614594</v>
      </c>
      <c r="D43" s="92">
        <f>'2021 Nto driftsutg landet'!$C$16</f>
        <v>1436.8879182557412</v>
      </c>
      <c r="E43" s="93">
        <f t="shared" si="4"/>
        <v>-409.45386529428174</v>
      </c>
      <c r="F43" s="94">
        <f>+'2021 Nto driftsutg landet'!$C$16*VLOOKUP(Inngang!$B$5,'2021 Inntektsnivå'!$A$5:$C$22,3,FALSE)</f>
        <v>1430.4247510774501</v>
      </c>
      <c r="G43" s="88"/>
      <c r="H43" s="91">
        <f t="shared" si="5"/>
        <v>-402.99069811599065</v>
      </c>
    </row>
    <row r="44" spans="2:9" x14ac:dyDescent="0.3">
      <c r="B44" s="26" t="s">
        <v>17</v>
      </c>
      <c r="C44" s="27">
        <f>SUM(C33:C43)</f>
        <v>15885.764696889917</v>
      </c>
      <c r="D44" s="28">
        <f>SUM(D33:D43)</f>
        <v>15953.204340515544</v>
      </c>
      <c r="E44" s="29">
        <f>SUM(E33:E43)</f>
        <v>-67.439643625628378</v>
      </c>
      <c r="F44" s="27">
        <f>SUM(F33:F43)</f>
        <v>15885.764696889919</v>
      </c>
      <c r="G44" s="28"/>
      <c r="H44" s="32">
        <f>SUM(H33:H43)</f>
        <v>-4.4337866711430252E-12</v>
      </c>
    </row>
    <row r="45" spans="2:9" x14ac:dyDescent="0.3">
      <c r="C45" s="5"/>
    </row>
    <row r="46" spans="2:9" x14ac:dyDescent="0.3">
      <c r="I46" s="5"/>
    </row>
    <row r="47" spans="2:9" x14ac:dyDescent="0.3">
      <c r="B47" s="6" t="s">
        <v>35</v>
      </c>
      <c r="I47" s="5"/>
    </row>
    <row r="49" spans="2:11" ht="43.2" x14ac:dyDescent="0.3">
      <c r="B49" s="36"/>
      <c r="C49" s="18" t="s">
        <v>40</v>
      </c>
      <c r="D49" s="18" t="s">
        <v>44</v>
      </c>
      <c r="E49" s="17" t="s">
        <v>45</v>
      </c>
      <c r="F49" s="13" t="s">
        <v>46</v>
      </c>
      <c r="G49" s="18"/>
      <c r="H49" s="16" t="s">
        <v>47</v>
      </c>
    </row>
    <row r="50" spans="2:11" x14ac:dyDescent="0.3">
      <c r="B50" s="37"/>
      <c r="C50" s="33" t="s">
        <v>39</v>
      </c>
      <c r="D50" s="33" t="s">
        <v>41</v>
      </c>
      <c r="E50" s="34" t="s">
        <v>39</v>
      </c>
      <c r="F50" s="39" t="s">
        <v>39</v>
      </c>
      <c r="G50" s="33"/>
      <c r="H50" s="35" t="s">
        <v>39</v>
      </c>
    </row>
    <row r="51" spans="2:11" x14ac:dyDescent="0.3">
      <c r="B51" s="78" t="s">
        <v>135</v>
      </c>
      <c r="C51" s="79">
        <f>SUM(C52:C57)</f>
        <v>1762.295534455523</v>
      </c>
      <c r="D51" s="79">
        <f>SUM(D52:D57)</f>
        <v>1464.0203042988082</v>
      </c>
      <c r="E51" s="83">
        <f>SUM(E52:E57)</f>
        <v>298.27523015671483</v>
      </c>
      <c r="F51" s="84">
        <f>SUM(F52:F57)</f>
        <v>1457.8511707601342</v>
      </c>
      <c r="G51" s="79"/>
      <c r="H51" s="85">
        <f>SUM(H52:H57)</f>
        <v>304.44436369538886</v>
      </c>
    </row>
    <row r="52" spans="2:11" x14ac:dyDescent="0.3">
      <c r="B52" s="30" t="s">
        <v>4</v>
      </c>
      <c r="C52" s="5">
        <f>VLOOKUP(Inngang!$B$5,'2021 Nto driftsutg eks avskriv'!$A$5:$T$22,11,FALSE)*1000/VLOOKUP(Inngang!$B$5,'2021 Nto driftsutg'!$A$5:$W$22,23,FALSE)</f>
        <v>846.62748628403517</v>
      </c>
      <c r="D52" s="5">
        <f>'2021 Nto driftsutg eks avskriv'!K$17*1000/'2021 Nto driftsutg'!$W$17+VLOOKUP(Inngang!$B$5,'2021 Korreksjoner'!$A$5:$AS$22,19,FALSE)+VLOOKUP(Inngang!$B$5,'2021 Korreksjoner'!$A$5:$AS$22,35,FALSE)</f>
        <v>855.35024127375357</v>
      </c>
      <c r="E52" s="15">
        <f t="shared" ref="E52:E57" si="6">+C52-D52</f>
        <v>-8.7227549897183962</v>
      </c>
      <c r="F52" s="12">
        <f>+'2021 Nto driftsutg landet'!$C$23*VLOOKUP(Inngang!$B$5,'2021 Inntektsnivå'!$A$5:$C$22,3,FALSE)+VLOOKUP(Inngang!$B$5,'2021 Korreksjoner'!$A$5:$AS$22,19,FALSE)+VLOOKUP(Inngang!$B$5,'2021 Korreksjoner'!$A$5:$AS$22,35,FALSE)</f>
        <v>851.90945458755073</v>
      </c>
      <c r="G52" s="5"/>
      <c r="H52" s="14">
        <f t="shared" ref="H52:H57" si="7">+C52-F52</f>
        <v>-5.2819683035155549</v>
      </c>
      <c r="K52" s="5"/>
    </row>
    <row r="53" spans="2:11" x14ac:dyDescent="0.3">
      <c r="B53" s="30" t="s">
        <v>268</v>
      </c>
      <c r="C53" s="5">
        <f>VLOOKUP(Inngang!$B$5,'2021 Nto driftsutg eks avskriv'!$A$5:$T$22,12,FALSE)*1000/VLOOKUP(Inngang!$B$5,'2021 Nto driftsutg'!$A$5:$W$22,23,FALSE)</f>
        <v>178.95724695531058</v>
      </c>
      <c r="D53" s="5">
        <f>'2021 Nto driftsutg eks avskriv'!L$17*1000/'2021 Nto driftsutg'!$W$17+VLOOKUP(Inngang!$B$5,'2021 Korreksjoner'!$A$5:$AS$22,20,FALSE)+VLOOKUP(Inngang!$B$5,'2021 Korreksjoner'!$A$5:$AS$22,36,FALSE)</f>
        <v>204.6246825809605</v>
      </c>
      <c r="E53" s="15">
        <f t="shared" si="6"/>
        <v>-25.667435625649915</v>
      </c>
      <c r="F53" s="12">
        <f>+'2021 Nto driftsutg landet'!$C$24*VLOOKUP(Inngang!$B$5,'2021 Inntektsnivå'!$A$5:$C$22,3,FALSE)+VLOOKUP(Inngang!$B$5,'2021 Korreksjoner'!$A$5:$AS$22,20,FALSE)+VLOOKUP(Inngang!$B$5,'2021 Korreksjoner'!$A$5:$AS$22,36,FALSE)</f>
        <v>203.71245606257779</v>
      </c>
      <c r="G53" s="5"/>
      <c r="H53" s="14">
        <f t="shared" si="7"/>
        <v>-24.755209107267206</v>
      </c>
    </row>
    <row r="54" spans="2:11" x14ac:dyDescent="0.3">
      <c r="B54" s="30" t="s">
        <v>36</v>
      </c>
      <c r="C54" s="5">
        <f>VLOOKUP(Inngang!$B$5,'2021 Nto driftsutg eks avskriv'!$A$5:$T$22,13,FALSE)*1000/VLOOKUP(Inngang!$B$5,'2021 Nto driftsutg'!$A$5:$W$22,23,FALSE)</f>
        <v>195.41852801793692</v>
      </c>
      <c r="D54" s="5">
        <f>'2021 Nto driftsutg eks avskriv'!M$17*1000/'2021 Nto driftsutg'!$W$17+VLOOKUP(Inngang!$B$5,'2021 Korreksjoner'!$A$5:$AS$22,21,FALSE)+VLOOKUP(Inngang!$B$5,'2021 Korreksjoner'!$A$5:$AS$22,37,FALSE)</f>
        <v>63.339809849915447</v>
      </c>
      <c r="E54" s="15">
        <f t="shared" si="6"/>
        <v>132.07871816802148</v>
      </c>
      <c r="F54" s="12">
        <f>+'2021 Nto driftsutg landet'!$C$25*VLOOKUP(Inngang!$B$5,'2021 Inntektsnivå'!$A$5:$C$22,3,FALSE)+VLOOKUP(Inngang!$B$5,'2021 Korreksjoner'!$A$5:$AS$22,21,FALSE)+VLOOKUP(Inngang!$B$5,'2021 Korreksjoner'!$A$5:$AS$22,37,FALSE)</f>
        <v>63.05472849819963</v>
      </c>
      <c r="G54" s="5"/>
      <c r="H54" s="14">
        <f t="shared" si="7"/>
        <v>132.36379951973728</v>
      </c>
    </row>
    <row r="55" spans="2:11" x14ac:dyDescent="0.3">
      <c r="B55" s="30" t="s">
        <v>175</v>
      </c>
      <c r="C55" s="5">
        <f>VLOOKUP(Inngang!$B$5,'2021 Nto driftsutg eks avskriv'!$A$5:$T$22,14,FALSE)*1000/VLOOKUP(Inngang!$B$5,'2021 Nto driftsutg'!$A$5:$W$22,23,FALSE)</f>
        <v>541.29227319824031</v>
      </c>
      <c r="D55" s="5">
        <f>'2021 Nto driftsutg eks avskriv'!N$17*1000/'2021 Nto driftsutg'!$W$17+VLOOKUP(Inngang!$B$5,'2021 Korreksjoner'!$A$5:$AS$22,22,FALSE)+VLOOKUP(Inngang!$B$5,'2021 Korreksjoner'!$A$5:$AS$22,38,FALSE)</f>
        <v>340.53340655702453</v>
      </c>
      <c r="E55" s="15">
        <f t="shared" si="6"/>
        <v>200.75886664121577</v>
      </c>
      <c r="F55" s="12">
        <f>+'2021 Nto driftsutg landet'!$C$26*VLOOKUP(Inngang!$B$5,'2021 Inntektsnivå'!$A$5:$C$22,3,FALSE)+VLOOKUP(Inngang!$B$5,'2021 Korreksjoner'!$A$5:$AS$22,22,FALSE)+VLOOKUP(Inngang!$B$5,'2021 Korreksjoner'!$A$5:$AS$22,38,FALSE)</f>
        <v>339.0031419739214</v>
      </c>
      <c r="G55" s="5"/>
      <c r="H55" s="14">
        <f t="shared" si="7"/>
        <v>202.28913122431891</v>
      </c>
    </row>
    <row r="56" spans="2:11" x14ac:dyDescent="0.3">
      <c r="B56" s="30" t="s">
        <v>136</v>
      </c>
      <c r="C56" s="5">
        <f>VLOOKUP(Inngang!$B$5,'2021 Nto driftsutg eks avskriv'!$A$5:$T$22,15,FALSE)*1000/VLOOKUP(Inngang!$B$5,'2021 Nto driftsutg'!$A$5:$W$22,23,FALSE)</f>
        <v>0</v>
      </c>
      <c r="D56" s="5">
        <f>'2021 Nto driftsutg eks avskriv'!O17*1000/'2021 Nto driftsutg'!$W$17+VLOOKUP(Inngang!$B$5,'2021 Korreksjoner'!$A$5:$AS$22,23,FALSE)+VLOOKUP(Inngang!$B$5,'2021 Korreksjoner'!$A$5:$AS$22,39,FALSE)</f>
        <v>-0.21196540058221064</v>
      </c>
      <c r="E56" s="15">
        <f t="shared" si="6"/>
        <v>0.21196540058221064</v>
      </c>
      <c r="F56" s="12">
        <f>'2021 Nto driftsutg landet'!$C$27*VLOOKUP(Inngang!$B$5,'2021 Inntektsnivå'!$A$5:$C$22,3,FALSE)+VLOOKUP(Inngang!$B$5,'2021 Korreksjoner'!$A$5:$AS$22,23,FALSE)+VLOOKUP(Inngang!$B$5,'2021 Korreksjoner'!$A$5:$AS$22,39,FALSE)</f>
        <v>-0.21101197352462961</v>
      </c>
      <c r="G56" s="5"/>
      <c r="H56" s="14">
        <f t="shared" si="7"/>
        <v>0.21101197352462961</v>
      </c>
    </row>
    <row r="57" spans="2:11" x14ac:dyDescent="0.3">
      <c r="B57" s="56" t="s">
        <v>128</v>
      </c>
      <c r="C57" s="20">
        <f>VLOOKUP(Inngang!$B$5,'2021 Nto driftsutg eks avskriv'!$A$5:$T$22,16,FALSE)*1000/VLOOKUP(Inngang!$B$5,'2021 Nto driftsutg'!$A$5:$W$22,23,FALSE)</f>
        <v>0</v>
      </c>
      <c r="D57" s="20">
        <f>'2021 Nto driftsutg eks avskriv'!P17*1000/'2021 Nto driftsutg'!$W$17+VLOOKUP(Inngang!$B$5,'2021 Korreksjoner'!$A$5:$AS$22,24,FALSE)+VLOOKUP(Inngang!$B$5,'2021 Korreksjoner'!$A$5:$AS$22,40,FALSE)</f>
        <v>0.38412943773632058</v>
      </c>
      <c r="E57" s="38">
        <f t="shared" si="6"/>
        <v>-0.38412943773632058</v>
      </c>
      <c r="F57" s="24">
        <f>'2021 Nto driftsutg landet'!$C$28*VLOOKUP(Inngang!$B$5,'2021 Inntektsnivå'!$A$5:$C$22,3,FALSE)+VLOOKUP(Inngang!$B$5,'2021 Korreksjoner'!$A$5:$AS$22,24,FALSE)+VLOOKUP(Inngang!$B$5,'2021 Korreksjoner'!$A$5:$AS$22,40,FALSE)</f>
        <v>0.38240161140926326</v>
      </c>
      <c r="G57" s="20"/>
      <c r="H57" s="25">
        <f t="shared" si="7"/>
        <v>-0.38240161140926326</v>
      </c>
    </row>
    <row r="58" spans="2:11" x14ac:dyDescent="0.3">
      <c r="B58" s="26" t="s">
        <v>135</v>
      </c>
      <c r="C58" s="28">
        <f>SUM(C52:C57)</f>
        <v>1762.295534455523</v>
      </c>
      <c r="D58" s="28">
        <f>SUM(D52:D57)</f>
        <v>1464.0203042988082</v>
      </c>
      <c r="E58" s="29">
        <f>SUM(E52:E57)</f>
        <v>298.27523015671483</v>
      </c>
      <c r="F58" s="27">
        <f>SUM(F52:F57)</f>
        <v>1457.8511707601342</v>
      </c>
      <c r="G58" s="28"/>
      <c r="H58" s="32">
        <f>SUM(H52:H57)</f>
        <v>304.44436369538886</v>
      </c>
      <c r="I58" s="5"/>
    </row>
    <row r="59" spans="2:11" x14ac:dyDescent="0.3">
      <c r="I59" s="5"/>
    </row>
    <row r="60" spans="2:11" x14ac:dyDescent="0.3">
      <c r="I60" s="5"/>
    </row>
    <row r="61" spans="2:11" x14ac:dyDescent="0.3">
      <c r="I61" s="5"/>
    </row>
    <row r="62" spans="2:11" x14ac:dyDescent="0.3">
      <c r="B62" s="36" t="s">
        <v>127</v>
      </c>
      <c r="C62" s="18" t="s">
        <v>271</v>
      </c>
      <c r="D62" s="62" t="s">
        <v>3</v>
      </c>
      <c r="I62" s="5"/>
    </row>
    <row r="63" spans="2:11" x14ac:dyDescent="0.3">
      <c r="B63" s="57" t="s">
        <v>171</v>
      </c>
      <c r="C63" s="65">
        <f>VLOOKUP(Inngang!$B$5,'2021 Revekting utgiftsbehov'!$A$5:$I$22,4,FALSE)</f>
        <v>1.012572546855</v>
      </c>
      <c r="D63" s="63">
        <v>1</v>
      </c>
      <c r="I63" s="5"/>
    </row>
    <row r="64" spans="2:11" x14ac:dyDescent="0.3">
      <c r="B64" s="57" t="s">
        <v>172</v>
      </c>
      <c r="C64" s="65">
        <f>VLOOKUP(Inngang!$B$5,'2021 Revekting utgiftsbehov'!$A$5:$I$22,5,FALSE)</f>
        <v>1.2942396964060001</v>
      </c>
      <c r="D64" s="63">
        <v>1</v>
      </c>
      <c r="I64" s="5"/>
    </row>
    <row r="65" spans="2:9" x14ac:dyDescent="0.3">
      <c r="B65" s="57" t="s">
        <v>456</v>
      </c>
      <c r="C65" s="65"/>
      <c r="D65" s="63">
        <v>1</v>
      </c>
      <c r="I65" s="5"/>
    </row>
    <row r="66" spans="2:9" x14ac:dyDescent="0.3">
      <c r="B66" s="57" t="s">
        <v>417</v>
      </c>
      <c r="C66" s="65"/>
      <c r="D66" s="63">
        <v>1</v>
      </c>
      <c r="I66" s="5"/>
    </row>
    <row r="67" spans="2:9" x14ac:dyDescent="0.3">
      <c r="B67" s="30" t="s">
        <v>275</v>
      </c>
      <c r="C67" s="65">
        <f>VLOOKUP(Inngang!$B$5,'2021 Revekting utgiftsbehov'!$A$5:$I$22,6,FALSE)</f>
        <v>1.05514238388</v>
      </c>
      <c r="D67" s="63">
        <v>1</v>
      </c>
      <c r="I67" s="5"/>
    </row>
    <row r="68" spans="2:9" x14ac:dyDescent="0.3">
      <c r="B68" s="30" t="s">
        <v>276</v>
      </c>
      <c r="C68" s="65">
        <f>VLOOKUP(Inngang!$B$5,'2021 Revekting utgiftsbehov'!$A$5:$I$22,7,FALSE)</f>
        <v>1.138105922492</v>
      </c>
      <c r="D68" s="63">
        <v>1</v>
      </c>
      <c r="I68" s="5"/>
    </row>
    <row r="69" spans="2:9" x14ac:dyDescent="0.3">
      <c r="B69" s="58" t="s">
        <v>173</v>
      </c>
      <c r="C69" s="66">
        <f>VLOOKUP(Inngang!$B$5,'2021 Revekting utgiftsbehov'!$A$5:$I$22,8,FALSE)</f>
        <v>0.99297800244399992</v>
      </c>
      <c r="D69" s="64">
        <v>1</v>
      </c>
      <c r="I69" s="5"/>
    </row>
    <row r="70" spans="2:9" x14ac:dyDescent="0.3">
      <c r="B70" s="75" t="s">
        <v>132</v>
      </c>
      <c r="C70" s="76">
        <f>+VLOOKUP(Inngang!$B$5,'2021 Revekting utgiftsbehov'!$A$5:$I$22,9,FALSE)</f>
        <v>1.08347192</v>
      </c>
      <c r="D70" s="77">
        <v>1</v>
      </c>
      <c r="I70" s="5"/>
    </row>
    <row r="71" spans="2:9" x14ac:dyDescent="0.3">
      <c r="I71" s="5"/>
    </row>
    <row r="72" spans="2:9" x14ac:dyDescent="0.3">
      <c r="I72" s="5"/>
    </row>
    <row r="73" spans="2:9" x14ac:dyDescent="0.3">
      <c r="I73" s="5"/>
    </row>
    <row r="74" spans="2:9" ht="28.8" x14ac:dyDescent="0.3">
      <c r="B74" s="68" t="s">
        <v>129</v>
      </c>
      <c r="C74" s="71" t="s">
        <v>272</v>
      </c>
      <c r="D74" s="71" t="s">
        <v>273</v>
      </c>
    </row>
    <row r="75" spans="2:9" x14ac:dyDescent="0.3">
      <c r="B75" s="30" t="s">
        <v>137</v>
      </c>
      <c r="C75" s="69">
        <f>SUM(C76:C86)</f>
        <v>892.61869524919052</v>
      </c>
    </row>
    <row r="76" spans="2:9" x14ac:dyDescent="0.3">
      <c r="B76" s="30" t="s">
        <v>171</v>
      </c>
      <c r="C76" s="69">
        <f>+C33-'2021 Nto driftsutg landet'!$C5</f>
        <v>279.96210334184252</v>
      </c>
    </row>
    <row r="77" spans="2:9" x14ac:dyDescent="0.3">
      <c r="B77" s="30" t="s">
        <v>172</v>
      </c>
      <c r="C77" s="69">
        <f>+C34-'2021 Nto driftsutg landet'!$C6</f>
        <v>548.60199168170948</v>
      </c>
    </row>
    <row r="78" spans="2:9" x14ac:dyDescent="0.3">
      <c r="B78" s="30" t="s">
        <v>456</v>
      </c>
      <c r="C78" s="69"/>
    </row>
    <row r="79" spans="2:9" x14ac:dyDescent="0.3">
      <c r="B79" s="30" t="s">
        <v>417</v>
      </c>
      <c r="C79" s="69"/>
    </row>
    <row r="80" spans="2:9" x14ac:dyDescent="0.3">
      <c r="B80" s="30" t="s">
        <v>275</v>
      </c>
      <c r="C80" s="69">
        <f>+C37-'2021 Nto driftsutg landet'!$C7</f>
        <v>-476.17426313965007</v>
      </c>
    </row>
    <row r="81" spans="2:5" x14ac:dyDescent="0.3">
      <c r="B81" s="30" t="s">
        <v>276</v>
      </c>
      <c r="C81" s="69">
        <f>+C38-'2021 Nto driftsutg landet'!$C8</f>
        <v>-13.499589419728864</v>
      </c>
    </row>
    <row r="82" spans="2:5" x14ac:dyDescent="0.3">
      <c r="B82" s="30" t="s">
        <v>173</v>
      </c>
      <c r="C82" s="69">
        <f>+C39-'2021 Nto driftsutg landet'!$C9</f>
        <v>86.683905502686571</v>
      </c>
    </row>
    <row r="83" spans="2:5" x14ac:dyDescent="0.3">
      <c r="B83" s="30" t="s">
        <v>126</v>
      </c>
      <c r="C83" s="69">
        <f>+C40-'2021 Nto driftsutg landet'!$C13</f>
        <v>390.77701987943078</v>
      </c>
    </row>
    <row r="84" spans="2:5" x14ac:dyDescent="0.3">
      <c r="B84" s="30" t="s">
        <v>26</v>
      </c>
      <c r="C84" s="69">
        <f>+C41-'2021 Nto driftsutg landet'!$C14</f>
        <v>16.102122118508078</v>
      </c>
    </row>
    <row r="85" spans="2:5" x14ac:dyDescent="0.3">
      <c r="B85" s="30" t="s">
        <v>23</v>
      </c>
      <c r="C85" s="69">
        <f>+C42-'2021 Nto driftsutg landet'!$C15</f>
        <v>469.61927057867376</v>
      </c>
    </row>
    <row r="86" spans="2:5" x14ac:dyDescent="0.3">
      <c r="B86" s="31" t="s">
        <v>24</v>
      </c>
      <c r="C86" s="70">
        <f>+C43-'2021 Nto driftsutg landet'!$C16</f>
        <v>-409.45386529428174</v>
      </c>
    </row>
    <row r="88" spans="2:5" x14ac:dyDescent="0.3">
      <c r="E88" s="5"/>
    </row>
  </sheetData>
  <sheetProtection algorithmName="SHA-512" hashValue="AG8l+h/GG+IZoJ7dMDCbQfR2aZaA+CjKQyCwPlPKocYLfxoFxjEaJ/olnI1sVWJ5OU2nG6eURbMZYgTu2M92YA==" saltValue="jWNpSma3Ycq+/ujylZRfxg==" spinCount="100000" sheet="1" selectLockedCells="1" selectUnlockedCells="1"/>
  <pageMargins left="0.7" right="0.7" top="0.75" bottom="0.75" header="0.3" footer="0.3"/>
  <pageSetup paperSize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5590-1855-4F23-B6DD-6E930C7B0C18}">
  <dimension ref="A1:K18"/>
  <sheetViews>
    <sheetView workbookViewId="0">
      <pane xSplit="2" ySplit="3" topLeftCell="C5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3" width="12" customWidth="1"/>
    <col min="4" max="6" width="17" customWidth="1"/>
    <col min="7" max="9" width="16.5546875" customWidth="1"/>
    <col min="10" max="10" width="15.44140625" customWidth="1"/>
    <col min="11" max="11" width="16.88671875" customWidth="1"/>
  </cols>
  <sheetData>
    <row r="1" spans="1:11" x14ac:dyDescent="0.3">
      <c r="G1" s="95"/>
      <c r="H1" s="54"/>
      <c r="I1" s="54"/>
    </row>
    <row r="2" spans="1:11" ht="40.200000000000003" x14ac:dyDescent="0.3">
      <c r="A2" s="22" t="s">
        <v>2</v>
      </c>
      <c r="B2" s="22" t="s">
        <v>1</v>
      </c>
      <c r="C2" s="22" t="s">
        <v>411</v>
      </c>
      <c r="D2" s="22" t="s">
        <v>119</v>
      </c>
      <c r="E2" s="22" t="s">
        <v>116</v>
      </c>
      <c r="F2" s="22" t="s">
        <v>117</v>
      </c>
      <c r="G2" s="22" t="s">
        <v>382</v>
      </c>
      <c r="H2" s="22" t="s">
        <v>383</v>
      </c>
      <c r="I2" s="22" t="s">
        <v>384</v>
      </c>
      <c r="J2" s="22" t="s">
        <v>118</v>
      </c>
      <c r="K2" s="22" t="s">
        <v>385</v>
      </c>
    </row>
    <row r="3" spans="1:11" x14ac:dyDescent="0.3">
      <c r="A3" s="107">
        <v>1</v>
      </c>
      <c r="B3" s="107">
        <f>+A3+1</f>
        <v>2</v>
      </c>
      <c r="C3" s="107">
        <f t="shared" ref="C3:K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</row>
    <row r="5" spans="1:11" x14ac:dyDescent="0.3">
      <c r="A5" s="41">
        <v>300</v>
      </c>
      <c r="B5" s="42" t="s">
        <v>0</v>
      </c>
      <c r="C5" s="42">
        <f>+'2021 Nto driftsutg'!W5</f>
        <v>696108</v>
      </c>
      <c r="D5" s="5">
        <f>+'2021 Nto driftsutg eks avskriv'!R5</f>
        <v>-325414.06606233004</v>
      </c>
      <c r="E5" s="5">
        <f>+'2021 Lønnsgr pensjon tjeneste'!C5</f>
        <v>2085177</v>
      </c>
      <c r="F5" s="55">
        <f>+D5/E5</f>
        <v>-0.15606064428215449</v>
      </c>
      <c r="G5" s="5">
        <f>'2021 Lønnsand og pensjon landet'!$C$6*'2021 Lønnsand og arbavg landet'!$D$6*'2021 Revekting utgiftsbehov'!D5+'2021 Lønnsand og pensjon landet'!$C$7*'2021 Lønnsand og arbavg landet'!$D$7*'2021 Revekting utgiftsbehov'!E5+'2021 Lønnsand og pensjon landet'!$C$8*'2021 Lønnsand og arbavg landet'!$D$8*'2021 Revekting utgiftsbehov'!F5+'2021 Lønnsand og pensjon landet'!$C$9*'2021 Lønnsand og arbavg landet'!$D$9*'2021 Revekting utgiftsbehov'!G5+'2021 Lønnsand og pensjon landet'!$C$10*'2021 Lønnsand og arbavg landet'!$D$10*'2021 Revekting utgiftsbehov'!H5+'2021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3442.5545889856239</v>
      </c>
      <c r="H5" s="55">
        <f t="shared" ref="H5:H15" si="1">G5/G$17</f>
        <v>0.73169927847944771</v>
      </c>
      <c r="I5" s="55">
        <f t="shared" ref="I5:I15" si="2">F5*(G5*C5)/(G$17*C$17)</f>
        <v>-1.4715063370747955E-2</v>
      </c>
      <c r="J5" s="5">
        <f t="shared" ref="J5:J15" si="3">(F5-$I$17)*$G$17*H5</f>
        <v>-414.7188183147573</v>
      </c>
      <c r="K5" s="5">
        <f>J5*C5</f>
        <v>-288689087.17944908</v>
      </c>
    </row>
    <row r="6" spans="1:11" x14ac:dyDescent="0.3">
      <c r="A6" s="41">
        <v>1100</v>
      </c>
      <c r="B6" s="42" t="s">
        <v>139</v>
      </c>
      <c r="C6" s="42">
        <f>+'2021 Nto driftsutg'!W6</f>
        <v>484091</v>
      </c>
      <c r="D6" s="5">
        <f>+'2021 Nto driftsutg eks avskriv'!R6</f>
        <v>-62600</v>
      </c>
      <c r="E6" s="5">
        <f>+'2021 Lønnsgr pensjon tjeneste'!C6</f>
        <v>2436733</v>
      </c>
      <c r="F6" s="55">
        <f t="shared" ref="F6:F15" si="4">+D6/E6</f>
        <v>-2.5690135111232949E-2</v>
      </c>
      <c r="G6" s="5">
        <f>'2021 Lønnsand og pensjon landet'!$C$6*'2021 Lønnsand og arbavg landet'!$D$6*'2021 Revekting utgiftsbehov'!D6+'2021 Lønnsand og pensjon landet'!$C$7*'2021 Lønnsand og arbavg landet'!$D$7*'2021 Revekting utgiftsbehov'!E6+'2021 Lønnsand og pensjon landet'!$C$8*'2021 Lønnsand og arbavg landet'!$D$8*'2021 Revekting utgiftsbehov'!F6+'2021 Lønnsand og pensjon landet'!$C$9*'2021 Lønnsand og arbavg landet'!$D$9*'2021 Revekting utgiftsbehov'!G6+'2021 Lønnsand og pensjon landet'!$C$10*'2021 Lønnsand og arbavg landet'!$D$10*'2021 Revekting utgiftsbehov'!H6+'2021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4961.5433980968301</v>
      </c>
      <c r="H6" s="55">
        <f t="shared" si="1"/>
        <v>1.0545534226667503</v>
      </c>
      <c r="I6" s="55">
        <f t="shared" si="2"/>
        <v>-2.4278478799308885E-3</v>
      </c>
      <c r="J6" s="5">
        <f t="shared" si="3"/>
        <v>49.130068566394591</v>
      </c>
      <c r="K6" s="5">
        <f t="shared" ref="K6:K15" si="5">J6*C6</f>
        <v>23783424.022374526</v>
      </c>
    </row>
    <row r="7" spans="1:11" x14ac:dyDescent="0.3">
      <c r="A7" s="41">
        <v>1500</v>
      </c>
      <c r="B7" s="42" t="s">
        <v>140</v>
      </c>
      <c r="C7" s="42">
        <f>+'2021 Nto driftsutg'!W7</f>
        <v>265297</v>
      </c>
      <c r="D7" s="5">
        <f>+'2021 Nto driftsutg eks avskriv'!R7</f>
        <v>-65024</v>
      </c>
      <c r="E7" s="5">
        <f>+'2021 Lønnsgr pensjon tjeneste'!C7</f>
        <v>1442506</v>
      </c>
      <c r="F7" s="55">
        <f t="shared" si="4"/>
        <v>-4.5077108864711828E-2</v>
      </c>
      <c r="G7" s="5">
        <f>'2021 Lønnsand og pensjon landet'!$C$6*'2021 Lønnsand og arbavg landet'!$D$6*'2021 Revekting utgiftsbehov'!D7+'2021 Lønnsand og pensjon landet'!$C$7*'2021 Lønnsand og arbavg landet'!$D$7*'2021 Revekting utgiftsbehov'!E7+'2021 Lønnsand og pensjon landet'!$C$8*'2021 Lønnsand og arbavg landet'!$D$8*'2021 Revekting utgiftsbehov'!F7+'2021 Lønnsand og pensjon landet'!$C$9*'2021 Lønnsand og arbavg landet'!$D$9*'2021 Revekting utgiftsbehov'!G7+'2021 Lønnsand og pensjon landet'!$C$10*'2021 Lønnsand og arbavg landet'!$D$10*'2021 Revekting utgiftsbehov'!H7+'2021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5228.5230135069132</v>
      </c>
      <c r="H7" s="55">
        <f t="shared" si="1"/>
        <v>1.1112987223896051</v>
      </c>
      <c r="I7" s="55">
        <f t="shared" si="2"/>
        <v>-2.460246922585434E-3</v>
      </c>
      <c r="J7" s="5">
        <f t="shared" si="3"/>
        <v>-49.591491123547719</v>
      </c>
      <c r="K7" s="5">
        <f t="shared" si="5"/>
        <v>-13156473.82060384</v>
      </c>
    </row>
    <row r="8" spans="1:11" x14ac:dyDescent="0.3">
      <c r="A8" s="41">
        <v>1800</v>
      </c>
      <c r="B8" s="42" t="s">
        <v>141</v>
      </c>
      <c r="C8" s="42">
        <f>+'2021 Nto driftsutg'!W8</f>
        <v>240496</v>
      </c>
      <c r="D8" s="5">
        <f>+'2021 Nto driftsutg eks avskriv'!R8</f>
        <v>-56604</v>
      </c>
      <c r="E8" s="5">
        <f>+'2021 Lønnsgr pensjon tjeneste'!C8</f>
        <v>1736893</v>
      </c>
      <c r="F8" s="55">
        <f t="shared" si="4"/>
        <v>-3.2589226855079728E-2</v>
      </c>
      <c r="G8" s="5">
        <f>'2021 Lønnsand og pensjon landet'!$C$6*'2021 Lønnsand og arbavg landet'!$D$6*'2021 Revekting utgiftsbehov'!D8+'2021 Lønnsand og pensjon landet'!$C$7*'2021 Lønnsand og arbavg landet'!$D$7*'2021 Revekting utgiftsbehov'!E8+'2021 Lønnsand og pensjon landet'!$C$8*'2021 Lønnsand og arbavg landet'!$D$8*'2021 Revekting utgiftsbehov'!F8+'2021 Lønnsand og pensjon landet'!$C$9*'2021 Lønnsand og arbavg landet'!$D$9*'2021 Revekting utgiftsbehov'!G8+'2021 Lønnsand og pensjon landet'!$C$10*'2021 Lønnsand og arbavg landet'!$D$10*'2021 Revekting utgiftsbehov'!H8+'2021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5204.0740712028537</v>
      </c>
      <c r="H8" s="55">
        <f t="shared" si="1"/>
        <v>1.1061022111997165</v>
      </c>
      <c r="I8" s="55">
        <f t="shared" si="2"/>
        <v>-1.6048581974509714E-3</v>
      </c>
      <c r="J8" s="5">
        <f t="shared" si="3"/>
        <v>15.628265156491132</v>
      </c>
      <c r="K8" s="5">
        <f t="shared" si="5"/>
        <v>3758535.2570754914</v>
      </c>
    </row>
    <row r="9" spans="1:11" x14ac:dyDescent="0.3">
      <c r="A9" s="41">
        <v>3000</v>
      </c>
      <c r="B9" s="42" t="s">
        <v>403</v>
      </c>
      <c r="C9" s="42">
        <f>+'2021 Nto driftsutg'!W9</f>
        <v>1260731</v>
      </c>
      <c r="D9" s="5">
        <f>+'2021 Nto driftsutg eks avskriv'!R9</f>
        <v>-157830</v>
      </c>
      <c r="E9" s="5">
        <f>+'2021 Lønnsgr pensjon tjeneste'!C9</f>
        <v>6046364</v>
      </c>
      <c r="F9" s="55">
        <f t="shared" si="4"/>
        <v>-2.6103291168047441E-2</v>
      </c>
      <c r="G9" s="5">
        <f>'2021 Lønnsand og pensjon landet'!$C$6*'2021 Lønnsand og arbavg landet'!$D$6*'2021 Revekting utgiftsbehov'!D9+'2021 Lønnsand og pensjon landet'!$C$7*'2021 Lønnsand og arbavg landet'!$D$7*'2021 Revekting utgiftsbehov'!E9+'2021 Lønnsand og pensjon landet'!$C$8*'2021 Lønnsand og arbavg landet'!$D$8*'2021 Revekting utgiftsbehov'!F9+'2021 Lønnsand og pensjon landet'!$C$9*'2021 Lønnsand og arbavg landet'!$D$9*'2021 Revekting utgiftsbehov'!G9+'2021 Lønnsand og pensjon landet'!$C$10*'2021 Lønnsand og arbavg landet'!$D$10*'2021 Revekting utgiftsbehov'!H9+'2021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4729.7094926015297</v>
      </c>
      <c r="H9" s="55">
        <f t="shared" si="1"/>
        <v>1.0052781833079558</v>
      </c>
      <c r="I9" s="55">
        <f t="shared" si="2"/>
        <v>-6.1243985722388055E-3</v>
      </c>
      <c r="J9" s="5">
        <f t="shared" si="3"/>
        <v>44.88030065302727</v>
      </c>
      <c r="K9" s="5">
        <f t="shared" si="5"/>
        <v>56581986.322591722</v>
      </c>
    </row>
    <row r="10" spans="1:11" x14ac:dyDescent="0.3">
      <c r="A10" s="41">
        <v>3400</v>
      </c>
      <c r="B10" s="42" t="s">
        <v>404</v>
      </c>
      <c r="C10" s="42">
        <f>+'2021 Nto driftsutg'!W10</f>
        <v>370701</v>
      </c>
      <c r="D10" s="5">
        <f>+'2021 Nto driftsutg eks avskriv'!R10</f>
        <v>-39984</v>
      </c>
      <c r="E10" s="5">
        <f>+'2021 Lønnsgr pensjon tjeneste'!C10</f>
        <v>2188462</v>
      </c>
      <c r="F10" s="55">
        <f t="shared" si="4"/>
        <v>-1.8270365215388707E-2</v>
      </c>
      <c r="G10" s="5">
        <f>'2021 Lønnsand og pensjon landet'!$C$6*'2021 Lønnsand og arbavg landet'!$D$6*'2021 Revekting utgiftsbehov'!D10+'2021 Lønnsand og pensjon landet'!$C$7*'2021 Lønnsand og arbavg landet'!$D$7*'2021 Revekting utgiftsbehov'!E10+'2021 Lønnsand og pensjon landet'!$C$8*'2021 Lønnsand og arbavg landet'!$D$8*'2021 Revekting utgiftsbehov'!F10+'2021 Lønnsand og pensjon landet'!$C$9*'2021 Lønnsand og arbavg landet'!$D$9*'2021 Revekting utgiftsbehov'!G10+'2021 Lønnsand og pensjon landet'!$C$10*'2021 Lønnsand og arbavg landet'!$D$10*'2021 Revekting utgiftsbehov'!H10+'2021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4860.8513519595426</v>
      </c>
      <c r="H10" s="55">
        <f t="shared" si="1"/>
        <v>1.0331517874557945</v>
      </c>
      <c r="I10" s="55">
        <f t="shared" si="2"/>
        <v>-1.2953723039719799E-3</v>
      </c>
      <c r="J10" s="5">
        <f t="shared" si="3"/>
        <v>84.199396883227521</v>
      </c>
      <c r="K10" s="5">
        <f t="shared" si="5"/>
        <v>31212800.624009326</v>
      </c>
    </row>
    <row r="11" spans="1:11" x14ac:dyDescent="0.3">
      <c r="A11" s="41">
        <v>3800</v>
      </c>
      <c r="B11" s="42" t="s">
        <v>405</v>
      </c>
      <c r="C11" s="42">
        <f>+'2021 Nto driftsutg'!W11</f>
        <v>423144</v>
      </c>
      <c r="D11" s="5">
        <f>+'2021 Nto driftsutg eks avskriv'!R11</f>
        <v>-57383</v>
      </c>
      <c r="E11" s="5">
        <f>+'2021 Lønnsgr pensjon tjeneste'!C11</f>
        <v>2318622</v>
      </c>
      <c r="F11" s="55">
        <f t="shared" si="4"/>
        <v>-2.4748751629200448E-2</v>
      </c>
      <c r="G11" s="5">
        <f>'2021 Lønnsand og pensjon landet'!$C$6*'2021 Lønnsand og arbavg landet'!$D$6*'2021 Revekting utgiftsbehov'!D11+'2021 Lønnsand og pensjon landet'!$C$7*'2021 Lønnsand og arbavg landet'!$D$7*'2021 Revekting utgiftsbehov'!E11+'2021 Lønnsand og pensjon landet'!$C$8*'2021 Lønnsand og arbavg landet'!$D$8*'2021 Revekting utgiftsbehov'!F11+'2021 Lønnsand og pensjon landet'!$C$9*'2021 Lønnsand og arbavg landet'!$D$9*'2021 Revekting utgiftsbehov'!G11+'2021 Lønnsand og pensjon landet'!$C$10*'2021 Lønnsand og arbavg landet'!$D$10*'2021 Revekting utgiftsbehov'!H11+'2021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4755.5238687190167</v>
      </c>
      <c r="H11" s="55">
        <f t="shared" si="1"/>
        <v>1.0107649112279704</v>
      </c>
      <c r="I11" s="55">
        <f t="shared" si="2"/>
        <v>-1.9595264537337156E-3</v>
      </c>
      <c r="J11" s="5">
        <f t="shared" si="3"/>
        <v>51.5667988524715</v>
      </c>
      <c r="K11" s="5">
        <f t="shared" si="5"/>
        <v>21820181.5336302</v>
      </c>
    </row>
    <row r="12" spans="1:11" x14ac:dyDescent="0.3">
      <c r="A12" s="41">
        <v>4200</v>
      </c>
      <c r="B12" s="42" t="s">
        <v>406</v>
      </c>
      <c r="C12" s="42">
        <f>+'2021 Nto driftsutg'!W12</f>
        <v>309508</v>
      </c>
      <c r="D12" s="5">
        <f>+'2021 Nto driftsutg eks avskriv'!R12</f>
        <v>-79573</v>
      </c>
      <c r="E12" s="5">
        <f>+'2021 Lønnsgr pensjon tjeneste'!C12</f>
        <v>1770617</v>
      </c>
      <c r="F12" s="55">
        <f t="shared" si="4"/>
        <v>-4.4940831359915778E-2</v>
      </c>
      <c r="G12" s="5">
        <f>'2021 Lønnsand og pensjon landet'!$C$6*'2021 Lønnsand og arbavg landet'!$D$6*'2021 Revekting utgiftsbehov'!D12+'2021 Lønnsand og pensjon landet'!$C$7*'2021 Lønnsand og arbavg landet'!$D$7*'2021 Revekting utgiftsbehov'!E12+'2021 Lønnsand og pensjon landet'!$C$8*'2021 Lønnsand og arbavg landet'!$D$8*'2021 Revekting utgiftsbehov'!F12+'2021 Lønnsand og pensjon landet'!$C$9*'2021 Lønnsand og arbavg landet'!$D$9*'2021 Revekting utgiftsbehov'!G12+'2021 Lønnsand og pensjon landet'!$C$10*'2021 Lønnsand og arbavg landet'!$D$10*'2021 Revekting utgiftsbehov'!H12+'2021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4923.176913488639</v>
      </c>
      <c r="H12" s="55">
        <f t="shared" si="1"/>
        <v>1.0463988013296119</v>
      </c>
      <c r="I12" s="55">
        <f t="shared" si="2"/>
        <v>-2.6944473641062031E-3</v>
      </c>
      <c r="J12" s="5">
        <f t="shared" si="3"/>
        <v>-46.02442639962473</v>
      </c>
      <c r="K12" s="5">
        <f t="shared" si="5"/>
        <v>-14244928.16609505</v>
      </c>
    </row>
    <row r="13" spans="1:11" x14ac:dyDescent="0.3">
      <c r="A13" s="41">
        <v>4600</v>
      </c>
      <c r="B13" s="42" t="s">
        <v>407</v>
      </c>
      <c r="C13" s="42">
        <f>+'2021 Nto driftsutg'!W13</f>
        <v>639102</v>
      </c>
      <c r="D13" s="5">
        <f>+'2021 Nto driftsutg eks avskriv'!R13</f>
        <v>55231</v>
      </c>
      <c r="E13" s="5">
        <f>+'2021 Lønnsgr pensjon tjeneste'!C13</f>
        <v>3205400</v>
      </c>
      <c r="F13" s="55">
        <f t="shared" si="4"/>
        <v>1.7230610844200411E-2</v>
      </c>
      <c r="G13" s="5">
        <f>'2021 Lønnsand og pensjon landet'!$C$6*'2021 Lønnsand og arbavg landet'!$D$6*'2021 Revekting utgiftsbehov'!D13+'2021 Lønnsand og pensjon landet'!$C$7*'2021 Lønnsand og arbavg landet'!$D$7*'2021 Revekting utgiftsbehov'!E13+'2021 Lønnsand og pensjon landet'!$C$8*'2021 Lønnsand og arbavg landet'!$D$8*'2021 Revekting utgiftsbehov'!F13+'2021 Lønnsand og pensjon landet'!$C$9*'2021 Lønnsand og arbavg landet'!$D$9*'2021 Revekting utgiftsbehov'!G13+'2021 Lønnsand og pensjon landet'!$C$10*'2021 Lønnsand og arbavg landet'!$D$10*'2021 Revekting utgiftsbehov'!H13+'2021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4982.5324737519859</v>
      </c>
      <c r="H13" s="55">
        <f t="shared" si="1"/>
        <v>1.0590145549787737</v>
      </c>
      <c r="I13" s="55">
        <f t="shared" si="2"/>
        <v>2.158898721477467E-3</v>
      </c>
      <c r="J13" s="5">
        <f t="shared" si="3"/>
        <v>263.19191657693932</v>
      </c>
      <c r="K13" s="5">
        <f t="shared" si="5"/>
        <v>168206480.26815507</v>
      </c>
    </row>
    <row r="14" spans="1:11" x14ac:dyDescent="0.3">
      <c r="A14" s="41">
        <v>5000</v>
      </c>
      <c r="B14" s="42" t="s">
        <v>388</v>
      </c>
      <c r="C14" s="42">
        <f>+'2021 Nto driftsutg'!W14</f>
        <v>470984</v>
      </c>
      <c r="D14" s="5">
        <f>+'2021 Nto driftsutg eks avskriv'!R14</f>
        <v>-73902</v>
      </c>
      <c r="E14" s="5">
        <f>+'2021 Lønnsgr pensjon tjeneste'!C14</f>
        <v>2497757</v>
      </c>
      <c r="F14" s="55">
        <f t="shared" si="4"/>
        <v>-2.9587345766621812E-2</v>
      </c>
      <c r="G14" s="5">
        <f>'2021 Lønnsand og pensjon landet'!$C$6*'2021 Lønnsand og arbavg landet'!$D$6*'2021 Revekting utgiftsbehov'!D14+'2021 Lønnsand og pensjon landet'!$C$7*'2021 Lønnsand og arbavg landet'!$D$7*'2021 Revekting utgiftsbehov'!E14+'2021 Lønnsand og pensjon landet'!$C$8*'2021 Lønnsand og arbavg landet'!$D$8*'2021 Revekting utgiftsbehov'!F14+'2021 Lønnsand og pensjon landet'!$C$9*'2021 Lønnsand og arbavg landet'!$D$9*'2021 Revekting utgiftsbehov'!G14+'2021 Lønnsand og pensjon landet'!$C$10*'2021 Lønnsand og arbavg landet'!$D$10*'2021 Revekting utgiftsbehov'!H14+'2021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4794.7744027554745</v>
      </c>
      <c r="H14" s="55">
        <f t="shared" si="1"/>
        <v>1.0191074332394723</v>
      </c>
      <c r="I14" s="55">
        <f t="shared" si="2"/>
        <v>-2.6290062564659576E-3</v>
      </c>
      <c r="J14" s="5">
        <f t="shared" si="3"/>
        <v>28.792446979079472</v>
      </c>
      <c r="K14" s="5">
        <f t="shared" si="5"/>
        <v>13560781.847994765</v>
      </c>
    </row>
    <row r="15" spans="1:11" x14ac:dyDescent="0.3">
      <c r="A15" s="41">
        <v>5400</v>
      </c>
      <c r="B15" s="42" t="s">
        <v>408</v>
      </c>
      <c r="C15" s="42">
        <f>+'2021 Nto driftsutg'!W15</f>
        <v>241663</v>
      </c>
      <c r="D15" s="5">
        <f>+'2021 Nto driftsutg eks avskriv'!R15</f>
        <v>-71497</v>
      </c>
      <c r="E15" s="5">
        <f>+'2021 Lønnsgr pensjon tjeneste'!C15</f>
        <v>1887081</v>
      </c>
      <c r="F15" s="55">
        <f t="shared" si="4"/>
        <v>-3.7887615846908529E-2</v>
      </c>
      <c r="G15" s="5">
        <f>'2021 Lønnsand og pensjon landet'!$C$6*'2021 Lønnsand og arbavg landet'!$D$6*'2021 Revekting utgiftsbehov'!D15+'2021 Lønnsand og pensjon landet'!$C$7*'2021 Lønnsand og arbavg landet'!$D$7*'2021 Revekting utgiftsbehov'!E15+'2021 Lønnsand og pensjon landet'!$C$8*'2021 Lønnsand og arbavg landet'!$D$8*'2021 Revekting utgiftsbehov'!F15+'2021 Lønnsand og pensjon landet'!$C$9*'2021 Lønnsand og arbavg landet'!$D$9*'2021 Revekting utgiftsbehov'!G15+'2021 Lønnsand og pensjon landet'!$C$10*'2021 Lønnsand og arbavg landet'!$D$10*'2021 Revekting utgiftsbehov'!H15+'2021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5108.6151170136118</v>
      </c>
      <c r="H15" s="55">
        <f t="shared" si="1"/>
        <v>1.0858128458173504</v>
      </c>
      <c r="I15" s="55">
        <f t="shared" si="2"/>
        <v>-1.8404410213780061E-3</v>
      </c>
      <c r="J15" s="5">
        <f t="shared" si="3"/>
        <v>-11.725836083175116</v>
      </c>
      <c r="K15" s="5">
        <f t="shared" si="5"/>
        <v>-2833700.725368348</v>
      </c>
    </row>
    <row r="16" spans="1:11" x14ac:dyDescent="0.3">
      <c r="B16" s="43"/>
      <c r="C16" s="43"/>
      <c r="F16" s="55"/>
      <c r="H16" s="5"/>
    </row>
    <row r="17" spans="2:11" x14ac:dyDescent="0.3">
      <c r="B17" s="42" t="s">
        <v>3</v>
      </c>
      <c r="C17" s="5">
        <f>SUM(C5:C16)</f>
        <v>5401825</v>
      </c>
      <c r="D17" s="5">
        <f>SUM(D5:D16)</f>
        <v>-934580.06606233004</v>
      </c>
      <c r="E17" s="5">
        <f>SUM(E5:E16)</f>
        <v>27615612</v>
      </c>
      <c r="F17" s="55">
        <f t="shared" ref="F17" si="6">+D17/E17</f>
        <v>-3.3842453539046323E-2</v>
      </c>
      <c r="G17" s="5">
        <f>'2021 Lønnsand og pensjon landet'!$C$6*'2021 Lønnsand og arbavg landet'!$D$6*'2021 Revekting utgiftsbehov'!D17+'2021 Lønnsand og pensjon landet'!$C$7*'2021 Lønnsand og arbavg landet'!$D$7*'2021 Revekting utgiftsbehov'!E17+'2021 Lønnsand og pensjon landet'!$C$8*'2021 Lønnsand og arbavg landet'!$D$8*'2021 Revekting utgiftsbehov'!F17+'2021 Lønnsand og pensjon landet'!$C$9*'2021 Lønnsand og arbavg landet'!$D$9*'2021 Revekting utgiftsbehov'!G17+'2021 Lønnsand og pensjon landet'!$C$10*'2021 Lønnsand og arbavg landet'!$D$10*'2021 Revekting utgiftsbehov'!H17+'2021 Lønnsand og pensjon landet'!$C$13*'2021 Lønnsand og pensjon landet'!$D$13+'2021 Lønnsand og pensjon landet'!$C$14*'2021 Lønnsand og pensjon landet'!$D$14+'2021 Lønnsand og pensjon landet'!$C$15*'2021 Lønnsand og pensjon landet'!$D$15+'2021 Lønnsand og pensjon landet'!$C$16*'2021 Lønnsand og pensjon landet'!$D$16+'2021 Lønnsand og pensjon landet'!$C$17*'2021 Lønnsand og pensjon landet'!$D$17+'2021 Lønnsand og pensjon landet'!$C$18*'2021 Lønnsand og pensjon landet'!$D$18</f>
        <v>4704.87629308537</v>
      </c>
      <c r="H17" s="55">
        <f>G17/G$17</f>
        <v>1</v>
      </c>
      <c r="I17" s="55">
        <f>SUM(I5:I15)</f>
        <v>-3.5592309621132454E-2</v>
      </c>
      <c r="J17" s="5"/>
      <c r="K17" s="5">
        <f>SUM(K5:K16)</f>
        <v>-1.5685266815125942E-2</v>
      </c>
    </row>
    <row r="18" spans="2:11" x14ac:dyDescent="0.3">
      <c r="C18" s="5"/>
      <c r="I18" s="5"/>
    </row>
  </sheetData>
  <sheetProtection algorithmName="SHA-512" hashValue="GNdBSI4eXQw5TV4OZt/E9luWCET/czgdERClMWaqSDcV0fnAGoGGVZfddbuj/rp2AEZF4AtJXK89oUfJN0oKjw==" saltValue="A7qXjTcQqs/4e9if99JI3w==" spinCount="100000" sheet="1" objects="1" scenarios="1" selectLockedCells="1" selectUn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781E-2B08-40E5-A84C-23FA0C16BA33}">
  <dimension ref="A1:M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5.5546875" customWidth="1"/>
    <col min="2" max="2" width="17.88671875" bestFit="1" customWidth="1"/>
    <col min="3" max="8" width="12" customWidth="1"/>
    <col min="9" max="10" width="14.5546875" customWidth="1"/>
    <col min="11" max="11" width="14.88671875" customWidth="1"/>
    <col min="12" max="12" width="14.5546875" customWidth="1"/>
    <col min="13" max="13" width="16.109375" customWidth="1"/>
  </cols>
  <sheetData>
    <row r="1" spans="1:13" x14ac:dyDescent="0.3">
      <c r="D1" s="123"/>
      <c r="E1" s="123"/>
      <c r="F1" s="123"/>
      <c r="G1" s="123"/>
      <c r="H1" s="123"/>
    </row>
    <row r="2" spans="1:13" ht="40.200000000000003" x14ac:dyDescent="0.3">
      <c r="A2" s="22" t="s">
        <v>2</v>
      </c>
      <c r="B2" s="22" t="s">
        <v>1</v>
      </c>
      <c r="C2" s="22" t="s">
        <v>411</v>
      </c>
      <c r="D2" s="22" t="s">
        <v>171</v>
      </c>
      <c r="E2" s="22" t="s">
        <v>172</v>
      </c>
      <c r="F2" s="22" t="s">
        <v>275</v>
      </c>
      <c r="G2" s="22" t="s">
        <v>276</v>
      </c>
      <c r="H2" s="22" t="s">
        <v>173</v>
      </c>
      <c r="I2" s="22" t="s">
        <v>122</v>
      </c>
      <c r="J2" s="22" t="s">
        <v>123</v>
      </c>
      <c r="K2" s="22" t="s">
        <v>124</v>
      </c>
      <c r="L2" s="22" t="s">
        <v>121</v>
      </c>
      <c r="M2" s="22" t="s">
        <v>125</v>
      </c>
    </row>
    <row r="3" spans="1:13" x14ac:dyDescent="0.3">
      <c r="A3" s="107">
        <v>1</v>
      </c>
      <c r="B3" s="107">
        <f>+A3+1</f>
        <v>2</v>
      </c>
      <c r="C3" s="107">
        <f t="shared" ref="C3:M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</row>
    <row r="5" spans="1:13" x14ac:dyDescent="0.3">
      <c r="A5" s="41">
        <v>300</v>
      </c>
      <c r="B5" s="42" t="s">
        <v>0</v>
      </c>
      <c r="C5" s="42">
        <f>+'2021 Nto driftsutg'!W5</f>
        <v>696108</v>
      </c>
      <c r="D5" s="3">
        <f>+'2021 Revekting utgiftsbehov'!D5</f>
        <v>0.69992741783000001</v>
      </c>
      <c r="E5" s="3">
        <f>+'2021 Revekting utgiftsbehov'!E5</f>
        <v>0.27329987798200006</v>
      </c>
      <c r="F5" s="3">
        <f>+'2021 Revekting utgiftsbehov'!F5</f>
        <v>1.7366784255119998</v>
      </c>
      <c r="G5" s="3">
        <f>+'2021 Revekting utgiftsbehov'!G5</f>
        <v>1.3162570200000001E-3</v>
      </c>
      <c r="H5" s="3">
        <f>+'2021 Revekting utgiftsbehov'!H5</f>
        <v>0.8621454616980001</v>
      </c>
      <c r="I5" s="5">
        <f>+'2021 Nto driftsutg landet'!$C$35*(D5-1)*C5</f>
        <v>0</v>
      </c>
      <c r="J5" s="5">
        <f t="shared" ref="J5:J15" si="1">+I5-$I$17*C5/$C$17</f>
        <v>0</v>
      </c>
      <c r="K5" s="5">
        <f t="shared" ref="K5:K15" si="2">J5/C5</f>
        <v>0</v>
      </c>
      <c r="L5" s="5">
        <f>+K5</f>
        <v>0</v>
      </c>
      <c r="M5" s="5">
        <f t="shared" ref="M5:M15" si="3">+L5*C5/1000</f>
        <v>0</v>
      </c>
    </row>
    <row r="6" spans="1:13" x14ac:dyDescent="0.3">
      <c r="A6" s="41">
        <v>1100</v>
      </c>
      <c r="B6" s="42" t="s">
        <v>139</v>
      </c>
      <c r="C6" s="42">
        <f>+'2021 Nto driftsutg'!W6</f>
        <v>484091</v>
      </c>
      <c r="D6" s="3">
        <f>+'2021 Revekting utgiftsbehov'!D6</f>
        <v>1.067319466676</v>
      </c>
      <c r="E6" s="3">
        <f>+'2021 Revekting utgiftsbehov'!E6</f>
        <v>0.81816777181600009</v>
      </c>
      <c r="F6" s="3">
        <f>+'2021 Revekting utgiftsbehov'!F6</f>
        <v>1.0249622935999998</v>
      </c>
      <c r="G6" s="3">
        <f>+'2021 Revekting utgiftsbehov'!G6</f>
        <v>0.84093635050800009</v>
      </c>
      <c r="H6" s="3">
        <f>+'2021 Revekting utgiftsbehov'!H6</f>
        <v>1.0806156121719999</v>
      </c>
      <c r="I6" s="5">
        <f>+'2021 Nto driftsutg landet'!$C$35*(D6-1)*C6</f>
        <v>0</v>
      </c>
      <c r="J6" s="5">
        <f t="shared" si="1"/>
        <v>0</v>
      </c>
      <c r="K6" s="5">
        <f t="shared" si="2"/>
        <v>0</v>
      </c>
      <c r="L6" s="5">
        <f t="shared" ref="L6:L15" si="4">+K6</f>
        <v>0</v>
      </c>
      <c r="M6" s="5">
        <f t="shared" si="3"/>
        <v>0</v>
      </c>
    </row>
    <row r="7" spans="1:13" x14ac:dyDescent="0.3">
      <c r="A7" s="41">
        <v>1500</v>
      </c>
      <c r="B7" s="42" t="s">
        <v>140</v>
      </c>
      <c r="C7" s="42">
        <f>+'2021 Nto driftsutg'!W7</f>
        <v>265297</v>
      </c>
      <c r="D7" s="3">
        <f>+'2021 Revekting utgiftsbehov'!D7</f>
        <v>1.115228965022</v>
      </c>
      <c r="E7" s="3">
        <f>+'2021 Revekting utgiftsbehov'!E7</f>
        <v>1.4589049309419999</v>
      </c>
      <c r="F7" s="3">
        <f>+'2021 Revekting utgiftsbehov'!F7</f>
        <v>0.99652723767999996</v>
      </c>
      <c r="G7" s="3">
        <f>+'2021 Revekting utgiftsbehov'!G7</f>
        <v>3.1024151350700002</v>
      </c>
      <c r="H7" s="3">
        <f>+'2021 Revekting utgiftsbehov'!H7</f>
        <v>1.0303618790409999</v>
      </c>
      <c r="I7" s="5">
        <f>+'2021 Nto driftsutg landet'!$C$35*(D7-1)*C7</f>
        <v>0</v>
      </c>
      <c r="J7" s="5">
        <f t="shared" si="1"/>
        <v>0</v>
      </c>
      <c r="K7" s="5">
        <f t="shared" si="2"/>
        <v>0</v>
      </c>
      <c r="L7" s="5">
        <f t="shared" si="4"/>
        <v>0</v>
      </c>
      <c r="M7" s="5">
        <f t="shared" si="3"/>
        <v>0</v>
      </c>
    </row>
    <row r="8" spans="1:13" x14ac:dyDescent="0.3">
      <c r="A8" s="41">
        <v>1800</v>
      </c>
      <c r="B8" s="42" t="s">
        <v>141</v>
      </c>
      <c r="C8" s="42">
        <f>+'2021 Nto driftsutg'!W8</f>
        <v>240496</v>
      </c>
      <c r="D8" s="3">
        <f>+'2021 Revekting utgiftsbehov'!D8</f>
        <v>1.0985606159099996</v>
      </c>
      <c r="E8" s="3">
        <f>+'2021 Revekting utgiftsbehov'!E8</f>
        <v>1.740798889156</v>
      </c>
      <c r="F8" s="3">
        <f>+'2021 Revekting utgiftsbehov'!F8</f>
        <v>1.0164832532719998</v>
      </c>
      <c r="G8" s="3">
        <f>+'2021 Revekting utgiftsbehov'!G8</f>
        <v>5.5170510257599998</v>
      </c>
      <c r="H8" s="3">
        <f>+'2021 Revekting utgiftsbehov'!H8</f>
        <v>0.98545390553199996</v>
      </c>
      <c r="I8" s="5">
        <f>+'2021 Nto driftsutg landet'!$C$35*(D8-1)*C8</f>
        <v>0</v>
      </c>
      <c r="J8" s="5">
        <f t="shared" si="1"/>
        <v>0</v>
      </c>
      <c r="K8" s="5">
        <f t="shared" si="2"/>
        <v>0</v>
      </c>
      <c r="L8" s="5">
        <f t="shared" si="4"/>
        <v>0</v>
      </c>
      <c r="M8" s="5">
        <f t="shared" si="3"/>
        <v>0</v>
      </c>
    </row>
    <row r="9" spans="1:13" x14ac:dyDescent="0.3">
      <c r="A9" s="41">
        <v>3000</v>
      </c>
      <c r="B9" s="42" t="s">
        <v>403</v>
      </c>
      <c r="C9" s="42">
        <f>+'2021 Nto driftsutg'!W9</f>
        <v>1260731</v>
      </c>
      <c r="D9" s="3">
        <f>+'2021 Revekting utgiftsbehov'!D9</f>
        <v>1.0213270273399999</v>
      </c>
      <c r="E9" s="3">
        <f>+'2021 Revekting utgiftsbehov'!E9</f>
        <v>0.647410470214</v>
      </c>
      <c r="F9" s="3">
        <f>+'2021 Revekting utgiftsbehov'!F9</f>
        <v>0.67128453190399995</v>
      </c>
      <c r="G9" s="3">
        <f>+'2021 Revekting utgiftsbehov'!G9</f>
        <v>6.3826614545999999E-2</v>
      </c>
      <c r="H9" s="3">
        <f>+'2021 Revekting utgiftsbehov'!H9</f>
        <v>1.037185946318</v>
      </c>
      <c r="I9" s="5">
        <f>+'2021 Nto driftsutg landet'!$C$35*(D9-1)*C9</f>
        <v>0</v>
      </c>
      <c r="J9" s="5">
        <f t="shared" si="1"/>
        <v>0</v>
      </c>
      <c r="K9" s="5">
        <f t="shared" si="2"/>
        <v>0</v>
      </c>
      <c r="L9" s="5">
        <f t="shared" si="4"/>
        <v>0</v>
      </c>
      <c r="M9" s="5">
        <f t="shared" si="3"/>
        <v>0</v>
      </c>
    </row>
    <row r="10" spans="1:13" x14ac:dyDescent="0.3">
      <c r="A10" s="41">
        <v>3400</v>
      </c>
      <c r="B10" s="42" t="s">
        <v>404</v>
      </c>
      <c r="C10" s="42">
        <f>+'2021 Nto driftsutg'!W10</f>
        <v>370701</v>
      </c>
      <c r="D10" s="3">
        <f>+'2021 Revekting utgiftsbehov'!D10</f>
        <v>1.0261357862519997</v>
      </c>
      <c r="E10" s="3">
        <f>+'2021 Revekting utgiftsbehov'!E10</f>
        <v>1.5201988443160002</v>
      </c>
      <c r="F10" s="3">
        <f>+'2021 Revekting utgiftsbehov'!F10</f>
        <v>1.009729337976</v>
      </c>
      <c r="G10" s="3">
        <f>+'2021 Revekting utgiftsbehov'!G10</f>
        <v>3.8547033684000004E-2</v>
      </c>
      <c r="H10" s="3">
        <f>+'2021 Revekting utgiftsbehov'!H10</f>
        <v>0.96374535311999998</v>
      </c>
      <c r="I10" s="5">
        <f>+'2021 Nto driftsutg landet'!$C$35*(D10-1)*C10</f>
        <v>0</v>
      </c>
      <c r="J10" s="5">
        <f t="shared" si="1"/>
        <v>0</v>
      </c>
      <c r="K10" s="5">
        <f t="shared" si="2"/>
        <v>0</v>
      </c>
      <c r="L10" s="5">
        <f t="shared" si="4"/>
        <v>0</v>
      </c>
      <c r="M10" s="5">
        <f t="shared" si="3"/>
        <v>0</v>
      </c>
    </row>
    <row r="11" spans="1:13" x14ac:dyDescent="0.3">
      <c r="A11" s="41">
        <v>3800</v>
      </c>
      <c r="B11" s="42" t="s">
        <v>405</v>
      </c>
      <c r="C11" s="42">
        <f>+'2021 Nto driftsutg'!W11</f>
        <v>423144</v>
      </c>
      <c r="D11" s="3">
        <f>+'2021 Revekting utgiftsbehov'!D11</f>
        <v>1.0188882733159998</v>
      </c>
      <c r="E11" s="3">
        <f>+'2021 Revekting utgiftsbehov'!E11</f>
        <v>0.96541871701000015</v>
      </c>
      <c r="F11" s="3">
        <f>+'2021 Revekting utgiftsbehov'!F11</f>
        <v>0.72761217902399999</v>
      </c>
      <c r="G11" s="3">
        <f>+'2021 Revekting utgiftsbehov'!G11</f>
        <v>0.16001458453400003</v>
      </c>
      <c r="H11" s="3">
        <f>+'2021 Revekting utgiftsbehov'!H11</f>
        <v>0.99862059254700009</v>
      </c>
      <c r="I11" s="5">
        <f>+'2021 Nto driftsutg landet'!$C$35*(D11-1)*C11</f>
        <v>0</v>
      </c>
      <c r="J11" s="5">
        <f t="shared" si="1"/>
        <v>0</v>
      </c>
      <c r="K11" s="5">
        <f t="shared" si="2"/>
        <v>0</v>
      </c>
      <c r="L11" s="5">
        <f t="shared" si="4"/>
        <v>0</v>
      </c>
      <c r="M11" s="5">
        <f t="shared" si="3"/>
        <v>0</v>
      </c>
    </row>
    <row r="12" spans="1:13" x14ac:dyDescent="0.3">
      <c r="A12" s="41">
        <v>4200</v>
      </c>
      <c r="B12" s="42" t="s">
        <v>406</v>
      </c>
      <c r="C12" s="42">
        <f>+'2021 Nto driftsutg'!W12</f>
        <v>309508</v>
      </c>
      <c r="D12" s="3">
        <f>+'2021 Revekting utgiftsbehov'!D12</f>
        <v>1.05030069166</v>
      </c>
      <c r="E12" s="3">
        <f>+'2021 Revekting utgiftsbehov'!E12</f>
        <v>1.1653561073379999</v>
      </c>
      <c r="F12" s="3">
        <f>+'2021 Revekting utgiftsbehov'!F12</f>
        <v>0.81375635999199991</v>
      </c>
      <c r="G12" s="3">
        <f>+'2021 Revekting utgiftsbehov'!G12</f>
        <v>0.23760515278000002</v>
      </c>
      <c r="H12" s="3">
        <f>+'2021 Revekting utgiftsbehov'!H12</f>
        <v>1.0486821090080001</v>
      </c>
      <c r="I12" s="5">
        <f>+'2021 Nto driftsutg landet'!$C$35*(D12-1)*C12</f>
        <v>0</v>
      </c>
      <c r="J12" s="5">
        <f t="shared" si="1"/>
        <v>0</v>
      </c>
      <c r="K12" s="5">
        <f t="shared" si="2"/>
        <v>0</v>
      </c>
      <c r="L12" s="5">
        <f t="shared" si="4"/>
        <v>0</v>
      </c>
      <c r="M12" s="5">
        <f t="shared" si="3"/>
        <v>0</v>
      </c>
    </row>
    <row r="13" spans="1:13" x14ac:dyDescent="0.3">
      <c r="A13" s="41">
        <v>4600</v>
      </c>
      <c r="B13" s="42" t="s">
        <v>407</v>
      </c>
      <c r="C13" s="42">
        <f>+'2021 Nto driftsutg'!W13</f>
        <v>639102</v>
      </c>
      <c r="D13" s="3">
        <f>+'2021 Revekting utgiftsbehov'!D13</f>
        <v>1.0627111443199999</v>
      </c>
      <c r="E13" s="3">
        <f>+'2021 Revekting utgiftsbehov'!E13</f>
        <v>1.179674447704</v>
      </c>
      <c r="F13" s="3">
        <f>+'2021 Revekting utgiftsbehov'!F13</f>
        <v>1.0003785486719998</v>
      </c>
      <c r="G13" s="3">
        <f>+'2021 Revekting utgiftsbehov'!G13</f>
        <v>1.9450823642099999</v>
      </c>
      <c r="H13" s="3">
        <f>+'2021 Revekting utgiftsbehov'!H13</f>
        <v>1.027352720051</v>
      </c>
      <c r="I13" s="5">
        <f>+'2021 Nto driftsutg landet'!$C$35*(D13-1)*C13</f>
        <v>0</v>
      </c>
      <c r="J13" s="5">
        <f t="shared" si="1"/>
        <v>0</v>
      </c>
      <c r="K13" s="5">
        <f t="shared" si="2"/>
        <v>0</v>
      </c>
      <c r="L13" s="5">
        <f t="shared" si="4"/>
        <v>0</v>
      </c>
      <c r="M13" s="5">
        <f t="shared" si="3"/>
        <v>0</v>
      </c>
    </row>
    <row r="14" spans="1:13" x14ac:dyDescent="0.3">
      <c r="A14" s="41">
        <v>5000</v>
      </c>
      <c r="B14" s="42" t="s">
        <v>388</v>
      </c>
      <c r="C14" s="42">
        <f>+'2021 Nto driftsutg'!W14</f>
        <v>470984</v>
      </c>
      <c r="D14" s="3">
        <f>+'2021 Revekting utgiftsbehov'!D14</f>
        <v>1.012572546855</v>
      </c>
      <c r="E14" s="3">
        <f>+'2021 Revekting utgiftsbehov'!E14</f>
        <v>1.2942396964060001</v>
      </c>
      <c r="F14" s="3">
        <f>+'2021 Revekting utgiftsbehov'!F14</f>
        <v>1.05514238388</v>
      </c>
      <c r="G14" s="3">
        <f>+'2021 Revekting utgiftsbehov'!G14</f>
        <v>1.138105922492</v>
      </c>
      <c r="H14" s="3">
        <f>+'2021 Revekting utgiftsbehov'!H14</f>
        <v>0.99297800244399992</v>
      </c>
      <c r="I14" s="5">
        <f>+'2021 Nto driftsutg landet'!$C$35*(D14-1)*C14</f>
        <v>0</v>
      </c>
      <c r="J14" s="5">
        <f t="shared" si="1"/>
        <v>0</v>
      </c>
      <c r="K14" s="5">
        <f t="shared" si="2"/>
        <v>0</v>
      </c>
      <c r="L14" s="5">
        <f t="shared" si="4"/>
        <v>0</v>
      </c>
      <c r="M14" s="5">
        <f t="shared" si="3"/>
        <v>0</v>
      </c>
    </row>
    <row r="15" spans="1:13" x14ac:dyDescent="0.3">
      <c r="A15" s="41">
        <v>5400</v>
      </c>
      <c r="B15" s="42" t="s">
        <v>408</v>
      </c>
      <c r="C15" s="42">
        <f>+'2021 Nto driftsutg'!W15</f>
        <v>241663</v>
      </c>
      <c r="D15" s="3">
        <f>+'2021 Revekting utgiftsbehov'!D15</f>
        <v>1.0657255152389999</v>
      </c>
      <c r="E15" s="3">
        <f>+'2021 Revekting utgiftsbehov'!E15</f>
        <v>2.0580994937500003</v>
      </c>
      <c r="F15" s="3">
        <f>+'2021 Revekting utgiftsbehov'!F15</f>
        <v>1.1223627904319999</v>
      </c>
      <c r="G15" s="3">
        <f>+'2021 Revekting utgiftsbehov'!G15</f>
        <v>3.4295099211780005</v>
      </c>
      <c r="H15" s="3">
        <f>+'2021 Revekting utgiftsbehov'!H15</f>
        <v>0.95977925969500011</v>
      </c>
      <c r="I15" s="5">
        <f>+'2021 Nto driftsutg landet'!$C$35*(D15-1)*C15</f>
        <v>0</v>
      </c>
      <c r="J15" s="5">
        <f t="shared" si="1"/>
        <v>0</v>
      </c>
      <c r="K15" s="5">
        <f t="shared" si="2"/>
        <v>0</v>
      </c>
      <c r="L15" s="5">
        <f t="shared" si="4"/>
        <v>0</v>
      </c>
      <c r="M15" s="5">
        <f t="shared" si="3"/>
        <v>0</v>
      </c>
    </row>
    <row r="16" spans="1:13" x14ac:dyDescent="0.3">
      <c r="B16" s="43"/>
      <c r="C16" s="43"/>
      <c r="D16" s="4"/>
      <c r="E16" s="4"/>
      <c r="F16" s="4"/>
      <c r="G16" s="4"/>
      <c r="H16" s="4"/>
    </row>
    <row r="17" spans="2:13" x14ac:dyDescent="0.3">
      <c r="B17" s="42" t="s">
        <v>3</v>
      </c>
      <c r="C17" s="5">
        <f>SUM(C5:C16)</f>
        <v>5401825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5">
        <f>SUM(I5:I15)</f>
        <v>0</v>
      </c>
      <c r="J17" s="5">
        <f>SUM(J5:J15)</f>
        <v>0</v>
      </c>
      <c r="K17" s="5">
        <f t="shared" ref="K17:L17" si="5">SUM(K5:K15)</f>
        <v>0</v>
      </c>
      <c r="L17" s="5">
        <f t="shared" si="5"/>
        <v>0</v>
      </c>
      <c r="M17" s="5">
        <f>SUM(M5:M15)</f>
        <v>0</v>
      </c>
    </row>
  </sheetData>
  <sheetProtection algorithmName="SHA-512" hashValue="O8Yqe5n2zq8VzEJ93JDaQe4uA9GeRcnWmcQ+xyuGpKGJq1ZNEJi/eqSokcu/xMRAy5xTKxanV18GjLWz8X0dNw==" saltValue="N/aEPRijChNZ/LJGD/7cSQ==" spinCount="100000" sheet="1" objects="1" scenarios="1" selectLockedCells="1" selectUnlockedCells="1"/>
  <mergeCells count="1">
    <mergeCell ref="D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8CCD-3FED-4BDC-90B8-7FCB770C0083}">
  <dimension ref="A1:AM21"/>
  <sheetViews>
    <sheetView workbookViewId="0"/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4.88671875" customWidth="1"/>
    <col min="8" max="8" width="11.5546875" customWidth="1"/>
    <col min="9" max="9" width="4.5546875" customWidth="1"/>
    <col min="25" max="25" width="4.44140625" customWidth="1"/>
  </cols>
  <sheetData>
    <row r="1" spans="1:39" ht="15" customHeight="1" x14ac:dyDescent="0.3">
      <c r="D1" s="124" t="s">
        <v>81</v>
      </c>
      <c r="E1" s="123"/>
      <c r="F1" s="123"/>
      <c r="G1" s="123"/>
      <c r="H1" s="123"/>
      <c r="J1" s="125" t="s">
        <v>246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Z1" s="126" t="s">
        <v>98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ht="79.8" x14ac:dyDescent="0.3">
      <c r="A2" s="22" t="s">
        <v>2</v>
      </c>
      <c r="B2" s="22" t="s">
        <v>1</v>
      </c>
      <c r="C2" s="22" t="s">
        <v>9</v>
      </c>
      <c r="D2" s="22" t="s">
        <v>171</v>
      </c>
      <c r="E2" s="22" t="s">
        <v>172</v>
      </c>
      <c r="F2" s="22" t="s">
        <v>275</v>
      </c>
      <c r="G2" s="22" t="s">
        <v>276</v>
      </c>
      <c r="H2" s="22" t="s">
        <v>237</v>
      </c>
      <c r="I2" s="22"/>
      <c r="J2" s="22" t="s">
        <v>238</v>
      </c>
      <c r="K2" s="22" t="s">
        <v>239</v>
      </c>
      <c r="L2" s="22" t="s">
        <v>295</v>
      </c>
      <c r="M2" s="22" t="s">
        <v>296</v>
      </c>
      <c r="N2" s="22" t="s">
        <v>240</v>
      </c>
      <c r="O2" s="11" t="s">
        <v>76</v>
      </c>
      <c r="P2" s="22" t="s">
        <v>77</v>
      </c>
      <c r="Q2" s="22" t="s">
        <v>241</v>
      </c>
      <c r="R2" s="22" t="s">
        <v>242</v>
      </c>
      <c r="S2" s="22" t="s">
        <v>78</v>
      </c>
      <c r="T2" s="22" t="s">
        <v>243</v>
      </c>
      <c r="U2" s="22" t="s">
        <v>79</v>
      </c>
      <c r="V2" s="22" t="s">
        <v>244</v>
      </c>
      <c r="W2" s="22" t="s">
        <v>245</v>
      </c>
      <c r="X2" s="22" t="s">
        <v>80</v>
      </c>
      <c r="Z2" s="22" t="s">
        <v>238</v>
      </c>
      <c r="AA2" s="22" t="s">
        <v>239</v>
      </c>
      <c r="AB2" s="22" t="s">
        <v>295</v>
      </c>
      <c r="AC2" s="22" t="s">
        <v>296</v>
      </c>
      <c r="AD2" s="22" t="s">
        <v>240</v>
      </c>
      <c r="AE2" s="11" t="s">
        <v>76</v>
      </c>
      <c r="AF2" s="22" t="s">
        <v>77</v>
      </c>
      <c r="AG2" s="22" t="s">
        <v>241</v>
      </c>
      <c r="AH2" s="22" t="s">
        <v>242</v>
      </c>
      <c r="AI2" s="22" t="s">
        <v>78</v>
      </c>
      <c r="AJ2" s="22" t="s">
        <v>243</v>
      </c>
      <c r="AK2" s="22" t="s">
        <v>79</v>
      </c>
      <c r="AL2" s="22" t="s">
        <v>244</v>
      </c>
      <c r="AM2" s="22" t="s">
        <v>245</v>
      </c>
    </row>
    <row r="3" spans="1:39" x14ac:dyDescent="0.3">
      <c r="A3" s="107">
        <v>1</v>
      </c>
      <c r="B3" s="107">
        <f>+A3+1</f>
        <v>2</v>
      </c>
      <c r="C3" s="107">
        <f>+B3+1</f>
        <v>3</v>
      </c>
      <c r="D3" s="107">
        <f>+C3+1</f>
        <v>4</v>
      </c>
      <c r="E3" s="107">
        <f t="shared" ref="E3:J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ref="K3:X3" si="1">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14">
        <f>+X3+1</f>
        <v>25</v>
      </c>
      <c r="Z3" s="114">
        <f>+Y3+1</f>
        <v>26</v>
      </c>
      <c r="AA3" s="107">
        <f t="shared" ref="AA3:AM3" si="2">Z3+1</f>
        <v>27</v>
      </c>
      <c r="AB3" s="107">
        <f t="shared" si="2"/>
        <v>28</v>
      </c>
      <c r="AC3" s="107">
        <f t="shared" si="2"/>
        <v>29</v>
      </c>
      <c r="AD3" s="107">
        <f t="shared" si="2"/>
        <v>30</v>
      </c>
      <c r="AE3" s="107">
        <f t="shared" si="2"/>
        <v>31</v>
      </c>
      <c r="AF3" s="107">
        <f t="shared" si="2"/>
        <v>32</v>
      </c>
      <c r="AG3" s="107">
        <f t="shared" si="2"/>
        <v>33</v>
      </c>
      <c r="AH3" s="107">
        <f t="shared" si="2"/>
        <v>34</v>
      </c>
      <c r="AI3" s="107">
        <f t="shared" si="2"/>
        <v>35</v>
      </c>
      <c r="AJ3" s="107">
        <f t="shared" si="2"/>
        <v>36</v>
      </c>
      <c r="AK3" s="107">
        <f t="shared" si="2"/>
        <v>37</v>
      </c>
      <c r="AL3" s="107">
        <f t="shared" si="2"/>
        <v>38</v>
      </c>
      <c r="AM3" s="107">
        <f t="shared" si="2"/>
        <v>39</v>
      </c>
    </row>
    <row r="5" spans="1:39" x14ac:dyDescent="0.3">
      <c r="A5" s="41">
        <v>300</v>
      </c>
      <c r="B5" s="42" t="s">
        <v>0</v>
      </c>
      <c r="C5" s="1">
        <v>-42900.945228570003</v>
      </c>
      <c r="D5" s="3">
        <v>0.69992741783000001</v>
      </c>
      <c r="E5" s="3">
        <v>0.27329987798200006</v>
      </c>
      <c r="F5" s="3">
        <v>1.7366784255119998</v>
      </c>
      <c r="G5" s="3">
        <v>1.3162570200000001E-3</v>
      </c>
      <c r="H5" s="3">
        <v>0.8621454616980001</v>
      </c>
      <c r="I5" s="3"/>
      <c r="J5" s="44">
        <f>IF('2021 Lønnsgr arbavg tjeneste'!D5=0,0,'2021 Arbavg tjeneste'!D5/'2021 Lønnsgr arbavg tjeneste'!D5)</f>
        <v>0.13771638857645033</v>
      </c>
      <c r="K5" s="44">
        <f>IF('2021 Lønnsgr arbavg tjeneste'!E5=0,0,'2021 Arbavg tjeneste'!E5/'2021 Lønnsgr arbavg tjeneste'!E5)</f>
        <v>0</v>
      </c>
      <c r="L5" s="44">
        <f>IF('2021 Lønnsgr arbavg tjeneste'!F5=0,0,'2021 Arbavg tjeneste'!F5/'2021 Lønnsgr arbavg tjeneste'!F5)</f>
        <v>0.13817394726485635</v>
      </c>
      <c r="M5" s="44">
        <f>IF('2021 Lønnsgr arbavg tjeneste'!G5=0,0,'2021 Arbavg tjeneste'!G5/'2021 Lønnsgr arbavg tjeneste'!G5)</f>
        <v>0</v>
      </c>
      <c r="N5" s="44">
        <f>IF('2021 Lønnsgr arbavg tjeneste'!H5=0,0,'2021 Arbavg tjeneste'!H5/'2021 Lønnsgr arbavg tjeneste'!H5)</f>
        <v>0.13021887749136982</v>
      </c>
      <c r="O5" s="44">
        <f>IF('2021 Lønnsgr arbavg tjeneste'!I5=0,0,'2021 Arbavg tjeneste'!I5/'2021 Lønnsgr arbavg tjeneste'!I5)</f>
        <v>6.8703053469043068E-2</v>
      </c>
      <c r="P5" s="44">
        <f>IF('2021 Lønnsgr arbavg tjeneste'!J5=0,0,'2021 Arbavg tjeneste'!J5/'2021 Lønnsgr arbavg tjeneste'!J5)</f>
        <v>0</v>
      </c>
      <c r="Q5" s="44">
        <f>IF('2021 Lønnsgr arbavg tjeneste'!K5=0,0,'2021 Arbavg tjeneste'!K5/'2021 Lønnsgr arbavg tjeneste'!K5)</f>
        <v>6.5617473049131264E-2</v>
      </c>
      <c r="R5" s="44">
        <f>IF('2021 Lønnsgr arbavg tjeneste'!L5=0,0,'2021 Arbavg tjeneste'!L5/'2021 Lønnsgr arbavg tjeneste'!L5)</f>
        <v>0</v>
      </c>
      <c r="S5" s="44">
        <f>IF('2021 Lønnsgr arbavg tjeneste'!M5=0,0,'2021 Arbavg tjeneste'!M5/'2021 Lønnsgr arbavg tjeneste'!M5)</f>
        <v>0</v>
      </c>
      <c r="T5" s="44">
        <f>IF('2021 Lønnsgr arbavg tjeneste'!N5=0,0,'2021 Arbavg tjeneste'!N5/'2021 Lønnsgr arbavg tjeneste'!N5)</f>
        <v>0.12774049217002237</v>
      </c>
      <c r="U5" s="44">
        <f>IF('2021 Lønnsgr arbavg tjeneste'!O5=0,0,'2021 Arbavg tjeneste'!O5/'2021 Lønnsgr arbavg tjeneste'!O5)</f>
        <v>0</v>
      </c>
      <c r="V5" s="44">
        <f>IF('2021 Lønnsgr arbavg tjeneste'!P5=0,0,'2021 Arbavg tjeneste'!P5/'2021 Lønnsgr arbavg tjeneste'!P5)</f>
        <v>0</v>
      </c>
      <c r="W5" s="44">
        <f>IF('2021 Lønnsgr arbavg tjeneste'!Q5=0,0,'2021 Arbavg tjeneste'!Q5/'2021 Lønnsgr arbavg tjeneste'!Q5)</f>
        <v>0</v>
      </c>
      <c r="X5" s="44">
        <f>IF('2021 Lønnsgr arbavg tjeneste'!R5=0,0,'2021 Arbavg tjeneste'!R5/'2021 Lønnsgr arbavg tjeneste'!R5)</f>
        <v>0.1409999999999999</v>
      </c>
      <c r="Z5" s="44">
        <f>IF('2021 Lønnsgr pensjon tjeneste'!D5=0,0,'2021 Pensjon tjeneste'!D5/'2021 Lønnsgr pensjon tjeneste'!D5)</f>
        <v>0.12428998400886654</v>
      </c>
      <c r="AA5" s="44">
        <f>IF('2021 Lønnsgr pensjon tjeneste'!E5=0,0,'2021 Pensjon tjeneste'!E5/'2021 Lønnsgr pensjon tjeneste'!E5)</f>
        <v>0</v>
      </c>
      <c r="AB5" s="44">
        <f>IF('2021 Lønnsgr pensjon tjeneste'!F5=0,0,'2021 Pensjon tjeneste'!F5/'2021 Lønnsgr pensjon tjeneste'!F5)</f>
        <v>0.23975409836065573</v>
      </c>
      <c r="AC5" s="44">
        <f>IF('2021 Lønnsgr pensjon tjeneste'!G5=0,0,'2021 Pensjon tjeneste'!G5/'2021 Lønnsgr pensjon tjeneste'!G5)</f>
        <v>0</v>
      </c>
      <c r="AD5" s="44">
        <f>IF('2021 Lønnsgr pensjon tjeneste'!H5=0,0,'2021 Pensjon tjeneste'!H5/'2021 Lønnsgr pensjon tjeneste'!H5)</f>
        <v>0.33295329647796057</v>
      </c>
      <c r="AE5" s="44">
        <f>IF('2021 Lønnsgr pensjon tjeneste'!I5=0,0,'2021 Pensjon tjeneste'!I5/'2021 Lønnsgr pensjon tjeneste'!I5)</f>
        <v>0.11822666219356122</v>
      </c>
      <c r="AF5" s="44">
        <f>IF('2021 Lønnsgr pensjon tjeneste'!J5=0,0,'2021 Pensjon tjeneste'!J5/'2021 Lønnsgr pensjon tjeneste'!J5)</f>
        <v>0</v>
      </c>
      <c r="AG5" s="44">
        <f>IF('2021 Lønnsgr pensjon tjeneste'!K5=0,0,'2021 Pensjon tjeneste'!K5/'2021 Lønnsgr pensjon tjeneste'!K5)</f>
        <v>0.10944492729183151</v>
      </c>
      <c r="AH5" s="44">
        <f>IF('2021 Lønnsgr pensjon tjeneste'!L5=0,0,'2021 Pensjon tjeneste'!L5/'2021 Lønnsgr pensjon tjeneste'!L5)</f>
        <v>0</v>
      </c>
      <c r="AI5" s="44">
        <f>IF('2021 Lønnsgr pensjon tjeneste'!M5=0,0,'2021 Pensjon tjeneste'!M5/'2021 Lønnsgr pensjon tjeneste'!M5)</f>
        <v>0</v>
      </c>
      <c r="AJ5" s="44">
        <f>IF('2021 Lønnsgr pensjon tjeneste'!N5=0,0,'2021 Pensjon tjeneste'!N5/'2021 Lønnsgr pensjon tjeneste'!N5)</f>
        <v>0.31780660377358488</v>
      </c>
      <c r="AK5" s="44">
        <f>IF('2021 Lønnsgr pensjon tjeneste'!O5=0,0,'2021 Pensjon tjeneste'!O5/'2021 Lønnsgr pensjon tjeneste'!O5)</f>
        <v>0</v>
      </c>
      <c r="AL5" s="44">
        <f>IF('2021 Lønnsgr pensjon tjeneste'!P5=0,0,'2021 Pensjon tjeneste'!P5/'2021 Lønnsgr pensjon tjeneste'!P5)</f>
        <v>0</v>
      </c>
      <c r="AM5" s="44">
        <f>IF('2021 Lønnsgr pensjon tjeneste'!Q5=0,0,'2021 Pensjon tjeneste'!Q5/'2021 Lønnsgr pensjon tjeneste'!Q5)</f>
        <v>0</v>
      </c>
    </row>
    <row r="6" spans="1:39" x14ac:dyDescent="0.3">
      <c r="A6" s="41">
        <v>1100</v>
      </c>
      <c r="B6" s="42" t="s">
        <v>139</v>
      </c>
      <c r="C6" s="1">
        <v>-45557.246113430003</v>
      </c>
      <c r="D6" s="3">
        <v>1.067319466676</v>
      </c>
      <c r="E6" s="3">
        <v>0.81816777181600009</v>
      </c>
      <c r="F6" s="3">
        <v>1.0249622935999998</v>
      </c>
      <c r="G6" s="3">
        <v>0.84093635050800009</v>
      </c>
      <c r="H6" s="3">
        <v>1.0806156121719999</v>
      </c>
      <c r="I6" s="3"/>
      <c r="J6" s="44">
        <f>IF('2021 Lønnsgr arbavg tjeneste'!D6=0,0,'2021 Arbavg tjeneste'!D6/'2021 Lønnsgr arbavg tjeneste'!D6)</f>
        <v>0.14009520656016367</v>
      </c>
      <c r="K6" s="44">
        <f>IF('2021 Lønnsgr arbavg tjeneste'!E6=0,0,'2021 Arbavg tjeneste'!E6/'2021 Lønnsgr arbavg tjeneste'!E6)</f>
        <v>0.14085804225603804</v>
      </c>
      <c r="L6" s="44">
        <f>IF('2021 Lønnsgr arbavg tjeneste'!F6=0,0,'2021 Arbavg tjeneste'!F6/'2021 Lønnsgr arbavg tjeneste'!F6)</f>
        <v>0.1396689603868328</v>
      </c>
      <c r="M6" s="44">
        <f>IF('2021 Lønnsgr arbavg tjeneste'!G6=0,0,'2021 Arbavg tjeneste'!G6/'2021 Lønnsgr arbavg tjeneste'!G6)</f>
        <v>0.14285714285714285</v>
      </c>
      <c r="N6" s="44">
        <f>IF('2021 Lønnsgr arbavg tjeneste'!H6=0,0,'2021 Arbavg tjeneste'!H6/'2021 Lønnsgr arbavg tjeneste'!H6)</f>
        <v>0.13877388963104195</v>
      </c>
      <c r="O6" s="44">
        <f>IF('2021 Lønnsgr arbavg tjeneste'!I6=0,0,'2021 Arbavg tjeneste'!I6/'2021 Lønnsgr arbavg tjeneste'!I6)</f>
        <v>0.1415423107854526</v>
      </c>
      <c r="P6" s="44">
        <f>IF('2021 Lønnsgr arbavg tjeneste'!J6=0,0,'2021 Arbavg tjeneste'!J6/'2021 Lønnsgr arbavg tjeneste'!J6)</f>
        <v>0</v>
      </c>
      <c r="Q6" s="44">
        <f>IF('2021 Lønnsgr arbavg tjeneste'!K6=0,0,'2021 Arbavg tjeneste'!K6/'2021 Lønnsgr arbavg tjeneste'!K6)</f>
        <v>0.14222376230586062</v>
      </c>
      <c r="R6" s="44">
        <f>IF('2021 Lønnsgr arbavg tjeneste'!L6=0,0,'2021 Arbavg tjeneste'!L6/'2021 Lønnsgr arbavg tjeneste'!L6)</f>
        <v>0.14074509878347347</v>
      </c>
      <c r="S6" s="44">
        <f>IF('2021 Lønnsgr arbavg tjeneste'!M6=0,0,'2021 Arbavg tjeneste'!M6/'2021 Lønnsgr arbavg tjeneste'!M6)</f>
        <v>0.1404901622367967</v>
      </c>
      <c r="T6" s="44">
        <f>IF('2021 Lønnsgr arbavg tjeneste'!N6=0,0,'2021 Arbavg tjeneste'!N6/'2021 Lønnsgr arbavg tjeneste'!N6)</f>
        <v>0.14039698457708003</v>
      </c>
      <c r="U6" s="44">
        <f>IF('2021 Lønnsgr arbavg tjeneste'!O6=0,0,'2021 Arbavg tjeneste'!O6/'2021 Lønnsgr arbavg tjeneste'!O6)</f>
        <v>0</v>
      </c>
      <c r="V6" s="44">
        <f>IF('2021 Lønnsgr arbavg tjeneste'!P6=0,0,'2021 Arbavg tjeneste'!P6/'2021 Lønnsgr arbavg tjeneste'!P6)</f>
        <v>0.14114403859407304</v>
      </c>
      <c r="W6" s="44">
        <f>IF('2021 Lønnsgr arbavg tjeneste'!Q6=0,0,'2021 Arbavg tjeneste'!Q6/'2021 Lønnsgr arbavg tjeneste'!Q6)</f>
        <v>0</v>
      </c>
      <c r="X6" s="44">
        <f>IF('2021 Lønnsgr arbavg tjeneste'!R6=0,0,'2021 Arbavg tjeneste'!R6/'2021 Lønnsgr arbavg tjeneste'!R6)</f>
        <v>0.1410216690054856</v>
      </c>
      <c r="Z6" s="44">
        <f>IF('2021 Lønnsgr pensjon tjeneste'!D6=0,0,'2021 Pensjon tjeneste'!D6/'2021 Lønnsgr pensjon tjeneste'!D6)</f>
        <v>0.11785118435117936</v>
      </c>
      <c r="AA6" s="44">
        <f>IF('2021 Lønnsgr pensjon tjeneste'!E6=0,0,'2021 Pensjon tjeneste'!E6/'2021 Lønnsgr pensjon tjeneste'!E6)</f>
        <v>0.18671799807507219</v>
      </c>
      <c r="AB6" s="44">
        <f>IF('2021 Lønnsgr pensjon tjeneste'!F6=0,0,'2021 Pensjon tjeneste'!F6/'2021 Lønnsgr pensjon tjeneste'!F6)</f>
        <v>0.22455021635162833</v>
      </c>
      <c r="AC6" s="44">
        <f>IF('2021 Lønnsgr pensjon tjeneste'!G6=0,0,'2021 Pensjon tjeneste'!G6/'2021 Lønnsgr pensjon tjeneste'!G6)</f>
        <v>0.1981981981981982</v>
      </c>
      <c r="AD6" s="44">
        <f>IF('2021 Lønnsgr pensjon tjeneste'!H6=0,0,'2021 Pensjon tjeneste'!H6/'2021 Lønnsgr pensjon tjeneste'!H6)</f>
        <v>0.20967685449697065</v>
      </c>
      <c r="AE6" s="44">
        <f>IF('2021 Lønnsgr pensjon tjeneste'!I6=0,0,'2021 Pensjon tjeneste'!I6/'2021 Lønnsgr pensjon tjeneste'!I6)</f>
        <v>0.19115846988072924</v>
      </c>
      <c r="AF6" s="44">
        <f>IF('2021 Lønnsgr pensjon tjeneste'!J6=0,0,'2021 Pensjon tjeneste'!J6/'2021 Lønnsgr pensjon tjeneste'!J6)</f>
        <v>0</v>
      </c>
      <c r="AG6" s="44">
        <f>IF('2021 Lønnsgr pensjon tjeneste'!K6=0,0,'2021 Pensjon tjeneste'!K6/'2021 Lønnsgr pensjon tjeneste'!K6)</f>
        <v>0.18333315809948375</v>
      </c>
      <c r="AH6" s="44">
        <f>IF('2021 Lønnsgr pensjon tjeneste'!L6=0,0,'2021 Pensjon tjeneste'!L6/'2021 Lønnsgr pensjon tjeneste'!L6)</f>
        <v>0.20197550014827656</v>
      </c>
      <c r="AI6" s="44">
        <f>IF('2021 Lønnsgr pensjon tjeneste'!M6=0,0,'2021 Pensjon tjeneste'!M6/'2021 Lønnsgr pensjon tjeneste'!M6)</f>
        <v>0.20889667835085962</v>
      </c>
      <c r="AJ6" s="44">
        <f>IF('2021 Lønnsgr pensjon tjeneste'!N6=0,0,'2021 Pensjon tjeneste'!N6/'2021 Lønnsgr pensjon tjeneste'!N6)</f>
        <v>0.19219986807387862</v>
      </c>
      <c r="AK6" s="44">
        <f>IF('2021 Lønnsgr pensjon tjeneste'!O6=0,0,'2021 Pensjon tjeneste'!O6/'2021 Lønnsgr pensjon tjeneste'!O6)</f>
        <v>0</v>
      </c>
      <c r="AL6" s="44">
        <f>IF('2021 Lønnsgr pensjon tjeneste'!P6=0,0,'2021 Pensjon tjeneste'!P6/'2021 Lønnsgr pensjon tjeneste'!P6)</f>
        <v>0.19857921691723113</v>
      </c>
      <c r="AM6" s="44">
        <f>IF('2021 Lønnsgr pensjon tjeneste'!Q6=0,0,'2021 Pensjon tjeneste'!Q6/'2021 Lønnsgr pensjon tjeneste'!Q6)</f>
        <v>0</v>
      </c>
    </row>
    <row r="7" spans="1:39" x14ac:dyDescent="0.3">
      <c r="A7" s="41">
        <v>1500</v>
      </c>
      <c r="B7" s="42" t="s">
        <v>140</v>
      </c>
      <c r="C7" s="1">
        <v>56636.095864050003</v>
      </c>
      <c r="D7" s="3">
        <v>1.115228965022</v>
      </c>
      <c r="E7" s="3">
        <v>1.4589049309419999</v>
      </c>
      <c r="F7" s="3">
        <v>0.99652723767999996</v>
      </c>
      <c r="G7" s="3">
        <v>3.1024151350700002</v>
      </c>
      <c r="H7" s="3">
        <v>1.0303618790409999</v>
      </c>
      <c r="I7" s="3"/>
      <c r="J7" s="44">
        <f>IF('2021 Lønnsgr arbavg tjeneste'!D7=0,0,'2021 Arbavg tjeneste'!D7/'2021 Lønnsgr arbavg tjeneste'!D7)</f>
        <v>0.13494272337960864</v>
      </c>
      <c r="K7" s="44">
        <f>IF('2021 Lønnsgr arbavg tjeneste'!E7=0,0,'2021 Arbavg tjeneste'!E7/'2021 Lønnsgr arbavg tjeneste'!E7)</f>
        <v>0.30616956195532985</v>
      </c>
      <c r="L7" s="44">
        <f>IF('2021 Lønnsgr arbavg tjeneste'!F7=0,0,'2021 Arbavg tjeneste'!F7/'2021 Lønnsgr arbavg tjeneste'!F7)</f>
        <v>0.13905829350035712</v>
      </c>
      <c r="M7" s="44">
        <f>IF('2021 Lønnsgr arbavg tjeneste'!G7=0,0,'2021 Arbavg tjeneste'!G7/'2021 Lønnsgr arbavg tjeneste'!G7)</f>
        <v>0.14207295052365476</v>
      </c>
      <c r="N7" s="44">
        <f>IF('2021 Lønnsgr arbavg tjeneste'!H7=0,0,'2021 Arbavg tjeneste'!H7/'2021 Lønnsgr arbavg tjeneste'!H7)</f>
        <v>0.12678683479890318</v>
      </c>
      <c r="O7" s="44">
        <f>IF('2021 Lønnsgr arbavg tjeneste'!I7=0,0,'2021 Arbavg tjeneste'!I7/'2021 Lønnsgr arbavg tjeneste'!I7)</f>
        <v>0.13964351631032124</v>
      </c>
      <c r="P7" s="44">
        <f>IF('2021 Lønnsgr arbavg tjeneste'!J7=0,0,'2021 Arbavg tjeneste'!J7/'2021 Lønnsgr arbavg tjeneste'!J7)</f>
        <v>0</v>
      </c>
      <c r="Q7" s="44">
        <f>IF('2021 Lønnsgr arbavg tjeneste'!K7=0,0,'2021 Arbavg tjeneste'!K7/'2021 Lønnsgr arbavg tjeneste'!K7)</f>
        <v>0.14134799274756391</v>
      </c>
      <c r="R7" s="44">
        <f>IF('2021 Lønnsgr arbavg tjeneste'!L7=0,0,'2021 Arbavg tjeneste'!L7/'2021 Lønnsgr arbavg tjeneste'!L7)</f>
        <v>0.13732083251521696</v>
      </c>
      <c r="S7" s="44">
        <f>IF('2021 Lønnsgr arbavg tjeneste'!M7=0,0,'2021 Arbavg tjeneste'!M7/'2021 Lønnsgr arbavg tjeneste'!M7)</f>
        <v>0.13760304375396323</v>
      </c>
      <c r="T7" s="44">
        <f>IF('2021 Lønnsgr arbavg tjeneste'!N7=0,0,'2021 Arbavg tjeneste'!N7/'2021 Lønnsgr arbavg tjeneste'!N7)</f>
        <v>0.13465117771644952</v>
      </c>
      <c r="U7" s="44">
        <f>IF('2021 Lønnsgr arbavg tjeneste'!O7=0,0,'2021 Arbavg tjeneste'!O7/'2021 Lønnsgr arbavg tjeneste'!O7)</f>
        <v>0</v>
      </c>
      <c r="V7" s="44">
        <f>IF('2021 Lønnsgr arbavg tjeneste'!P7=0,0,'2021 Arbavg tjeneste'!P7/'2021 Lønnsgr arbavg tjeneste'!P7)</f>
        <v>-0.5</v>
      </c>
      <c r="W7" s="44">
        <f>IF('2021 Lønnsgr arbavg tjeneste'!Q7=0,0,'2021 Arbavg tjeneste'!Q7/'2021 Lønnsgr arbavg tjeneste'!Q7)</f>
        <v>0</v>
      </c>
      <c r="X7" s="44">
        <f>IF('2021 Lønnsgr arbavg tjeneste'!R7=0,0,'2021 Arbavg tjeneste'!R7/'2021 Lønnsgr arbavg tjeneste'!R7)</f>
        <v>9.0933494396349235E-2</v>
      </c>
      <c r="Z7" s="44">
        <f>IF('2021 Lønnsgr pensjon tjeneste'!D7=0,0,'2021 Pensjon tjeneste'!D7/'2021 Lønnsgr pensjon tjeneste'!D7)</f>
        <v>0.11692408303132007</v>
      </c>
      <c r="AA7" s="44">
        <f>IF('2021 Lønnsgr pensjon tjeneste'!E7=0,0,'2021 Pensjon tjeneste'!E7/'2021 Lønnsgr pensjon tjeneste'!E7)</f>
        <v>0.57690207499089918</v>
      </c>
      <c r="AB7" s="44">
        <f>IF('2021 Lønnsgr pensjon tjeneste'!F7=0,0,'2021 Pensjon tjeneste'!F7/'2021 Lønnsgr pensjon tjeneste'!F7)</f>
        <v>0.23254554073271483</v>
      </c>
      <c r="AC7" s="44">
        <f>IF('2021 Lønnsgr pensjon tjeneste'!G7=0,0,'2021 Pensjon tjeneste'!G7/'2021 Lønnsgr pensjon tjeneste'!G7)</f>
        <v>0.15538679796378202</v>
      </c>
      <c r="AD7" s="44">
        <f>IF('2021 Lønnsgr pensjon tjeneste'!H7=0,0,'2021 Pensjon tjeneste'!H7/'2021 Lønnsgr pensjon tjeneste'!H7)</f>
        <v>0.25016925110416194</v>
      </c>
      <c r="AE7" s="44">
        <f>IF('2021 Lønnsgr pensjon tjeneste'!I7=0,0,'2021 Pensjon tjeneste'!I7/'2021 Lønnsgr pensjon tjeneste'!I7)</f>
        <v>0.24339412223532977</v>
      </c>
      <c r="AF7" s="44">
        <f>IF('2021 Lønnsgr pensjon tjeneste'!J7=0,0,'2021 Pensjon tjeneste'!J7/'2021 Lønnsgr pensjon tjeneste'!J7)</f>
        <v>0</v>
      </c>
      <c r="AG7" s="44">
        <f>IF('2021 Lønnsgr pensjon tjeneste'!K7=0,0,'2021 Pensjon tjeneste'!K7/'2021 Lønnsgr pensjon tjeneste'!K7)</f>
        <v>0.25970694060593419</v>
      </c>
      <c r="AH7" s="44">
        <f>IF('2021 Lønnsgr pensjon tjeneste'!L7=0,0,'2021 Pensjon tjeneste'!L7/'2021 Lønnsgr pensjon tjeneste'!L7)</f>
        <v>0.2159121430063565</v>
      </c>
      <c r="AI7" s="44">
        <f>IF('2021 Lønnsgr pensjon tjeneste'!M7=0,0,'2021 Pensjon tjeneste'!M7/'2021 Lønnsgr pensjon tjeneste'!M7)</f>
        <v>0.21335692852196661</v>
      </c>
      <c r="AJ7" s="44">
        <f>IF('2021 Lønnsgr pensjon tjeneste'!N7=0,0,'2021 Pensjon tjeneste'!N7/'2021 Lønnsgr pensjon tjeneste'!N7)</f>
        <v>0.22357468195382441</v>
      </c>
      <c r="AK7" s="44">
        <f>IF('2021 Lønnsgr pensjon tjeneste'!O7=0,0,'2021 Pensjon tjeneste'!O7/'2021 Lønnsgr pensjon tjeneste'!O7)</f>
        <v>0</v>
      </c>
      <c r="AL7" s="44">
        <f>IF('2021 Lønnsgr pensjon tjeneste'!P7=0,0,'2021 Pensjon tjeneste'!P7/'2021 Lønnsgr pensjon tjeneste'!P7)</f>
        <v>0</v>
      </c>
      <c r="AM7" s="44">
        <f>IF('2021 Lønnsgr pensjon tjeneste'!Q7=0,0,'2021 Pensjon tjeneste'!Q7/'2021 Lønnsgr pensjon tjeneste'!Q7)</f>
        <v>0</v>
      </c>
    </row>
    <row r="8" spans="1:39" x14ac:dyDescent="0.3">
      <c r="A8" s="41">
        <v>1800</v>
      </c>
      <c r="B8" s="42" t="s">
        <v>141</v>
      </c>
      <c r="C8" s="1">
        <v>86355.525281149996</v>
      </c>
      <c r="D8" s="3">
        <v>1.0985606159099996</v>
      </c>
      <c r="E8" s="3">
        <v>1.740798889156</v>
      </c>
      <c r="F8" s="3">
        <v>1.0164832532719998</v>
      </c>
      <c r="G8" s="3">
        <v>5.5170510257599998</v>
      </c>
      <c r="H8" s="3">
        <v>0.98545390553199996</v>
      </c>
      <c r="I8" s="3"/>
      <c r="J8" s="44">
        <f>IF('2021 Lønnsgr arbavg tjeneste'!D8=0,0,'2021 Arbavg tjeneste'!D8/'2021 Lønnsgr arbavg tjeneste'!D8)</f>
        <v>5.7681854062971209E-2</v>
      </c>
      <c r="K8" s="44">
        <f>IF('2021 Lønnsgr arbavg tjeneste'!E8=0,0,'2021 Arbavg tjeneste'!E8/'2021 Lønnsgr arbavg tjeneste'!E8)</f>
        <v>0.10182515023535321</v>
      </c>
      <c r="L8" s="44">
        <f>IF('2021 Lønnsgr arbavg tjeneste'!F8=0,0,'2021 Arbavg tjeneste'!F8/'2021 Lønnsgr arbavg tjeneste'!F8)</f>
        <v>7.8609221466364329E-2</v>
      </c>
      <c r="M8" s="44">
        <f>IF('2021 Lønnsgr arbavg tjeneste'!G8=0,0,'2021 Arbavg tjeneste'!G8/'2021 Lønnsgr arbavg tjeneste'!G8)</f>
        <v>7.4277705907718844E-2</v>
      </c>
      <c r="N8" s="44">
        <f>IF('2021 Lønnsgr arbavg tjeneste'!H8=0,0,'2021 Arbavg tjeneste'!H8/'2021 Lønnsgr arbavg tjeneste'!H8)</f>
        <v>5.6313021512723355E-2</v>
      </c>
      <c r="O8" s="44">
        <f>IF('2021 Lønnsgr arbavg tjeneste'!I8=0,0,'2021 Arbavg tjeneste'!I8/'2021 Lønnsgr arbavg tjeneste'!I8)</f>
        <v>7.4430226952390419E-2</v>
      </c>
      <c r="P8" s="44">
        <f>IF('2021 Lønnsgr arbavg tjeneste'!J8=0,0,'2021 Arbavg tjeneste'!J8/'2021 Lønnsgr arbavg tjeneste'!J8)</f>
        <v>0</v>
      </c>
      <c r="Q8" s="44">
        <f>IF('2021 Lønnsgr arbavg tjeneste'!K8=0,0,'2021 Arbavg tjeneste'!K8/'2021 Lønnsgr arbavg tjeneste'!K8)</f>
        <v>7.7940766010234142E-2</v>
      </c>
      <c r="R8" s="44">
        <f>IF('2021 Lønnsgr arbavg tjeneste'!L8=0,0,'2021 Arbavg tjeneste'!L8/'2021 Lønnsgr arbavg tjeneste'!L8)</f>
        <v>7.2734972071545237E-2</v>
      </c>
      <c r="S8" s="44">
        <f>IF('2021 Lønnsgr arbavg tjeneste'!M8=0,0,'2021 Arbavg tjeneste'!M8/'2021 Lønnsgr arbavg tjeneste'!M8)</f>
        <v>7.3466884709730174E-2</v>
      </c>
      <c r="T8" s="44">
        <f>IF('2021 Lønnsgr arbavg tjeneste'!N8=0,0,'2021 Arbavg tjeneste'!N8/'2021 Lønnsgr arbavg tjeneste'!N8)</f>
        <v>6.1821976875120158E-2</v>
      </c>
      <c r="U8" s="44">
        <f>IF('2021 Lønnsgr arbavg tjeneste'!O8=0,0,'2021 Arbavg tjeneste'!O8/'2021 Lønnsgr arbavg tjeneste'!O8)</f>
        <v>9.0909090909090912E-2</v>
      </c>
      <c r="V8" s="44">
        <f>IF('2021 Lønnsgr arbavg tjeneste'!P8=0,0,'2021 Arbavg tjeneste'!P8/'2021 Lønnsgr arbavg tjeneste'!P8)</f>
        <v>0</v>
      </c>
      <c r="W8" s="44">
        <f>IF('2021 Lønnsgr arbavg tjeneste'!Q8=0,0,'2021 Arbavg tjeneste'!Q8/'2021 Lønnsgr arbavg tjeneste'!Q8)</f>
        <v>0</v>
      </c>
      <c r="X8" s="44">
        <f>IF('2021 Lønnsgr arbavg tjeneste'!R8=0,0,'2021 Arbavg tjeneste'!R8/'2021 Lønnsgr arbavg tjeneste'!R8)</f>
        <v>4.1644430540475882E-2</v>
      </c>
      <c r="Z8" s="44">
        <f>IF('2021 Lønnsgr pensjon tjeneste'!D8=0,0,'2021 Pensjon tjeneste'!D8/'2021 Lønnsgr pensjon tjeneste'!D8)</f>
        <v>0.12926850285081581</v>
      </c>
      <c r="AA8" s="44">
        <f>IF('2021 Lønnsgr pensjon tjeneste'!E8=0,0,'2021 Pensjon tjeneste'!E8/'2021 Lønnsgr pensjon tjeneste'!E8)</f>
        <v>0.4163482568710638</v>
      </c>
      <c r="AB8" s="44">
        <f>IF('2021 Lønnsgr pensjon tjeneste'!F8=0,0,'2021 Pensjon tjeneste'!F8/'2021 Lønnsgr pensjon tjeneste'!F8)</f>
        <v>0.25566496618815993</v>
      </c>
      <c r="AC8" s="44">
        <f>IF('2021 Lønnsgr pensjon tjeneste'!G8=0,0,'2021 Pensjon tjeneste'!G8/'2021 Lønnsgr pensjon tjeneste'!G8)</f>
        <v>0.2516529483200648</v>
      </c>
      <c r="AD8" s="44">
        <f>IF('2021 Lønnsgr pensjon tjeneste'!H8=0,0,'2021 Pensjon tjeneste'!H8/'2021 Lønnsgr pensjon tjeneste'!H8)</f>
        <v>0.26066443491709246</v>
      </c>
      <c r="AE8" s="44">
        <f>IF('2021 Lønnsgr pensjon tjeneste'!I8=0,0,'2021 Pensjon tjeneste'!I8/'2021 Lønnsgr pensjon tjeneste'!I8)</f>
        <v>0.24372259499638413</v>
      </c>
      <c r="AF8" s="44">
        <f>IF('2021 Lønnsgr pensjon tjeneste'!J8=0,0,'2021 Pensjon tjeneste'!J8/'2021 Lønnsgr pensjon tjeneste'!J8)</f>
        <v>0</v>
      </c>
      <c r="AG8" s="44">
        <f>IF('2021 Lønnsgr pensjon tjeneste'!K8=0,0,'2021 Pensjon tjeneste'!K8/'2021 Lønnsgr pensjon tjeneste'!K8)</f>
        <v>0.24224679277266248</v>
      </c>
      <c r="AH8" s="44">
        <f>IF('2021 Lønnsgr pensjon tjeneste'!L8=0,0,'2021 Pensjon tjeneste'!L8/'2021 Lønnsgr pensjon tjeneste'!L8)</f>
        <v>0.24911211304501146</v>
      </c>
      <c r="AI8" s="44">
        <f>IF('2021 Lønnsgr pensjon tjeneste'!M8=0,0,'2021 Pensjon tjeneste'!M8/'2021 Lønnsgr pensjon tjeneste'!M8)</f>
        <v>0.24579810532749313</v>
      </c>
      <c r="AJ8" s="44">
        <f>IF('2021 Lønnsgr pensjon tjeneste'!N8=0,0,'2021 Pensjon tjeneste'!N8/'2021 Lønnsgr pensjon tjeneste'!N8)</f>
        <v>0.24193328330718331</v>
      </c>
      <c r="AK8" s="44">
        <f>IF('2021 Lønnsgr pensjon tjeneste'!O8=0,0,'2021 Pensjon tjeneste'!O8/'2021 Lønnsgr pensjon tjeneste'!O8)</f>
        <v>0</v>
      </c>
      <c r="AL8" s="44">
        <f>IF('2021 Lønnsgr pensjon tjeneste'!P8=0,0,'2021 Pensjon tjeneste'!P8/'2021 Lønnsgr pensjon tjeneste'!P8)</f>
        <v>0</v>
      </c>
      <c r="AM8" s="44">
        <f>IF('2021 Lønnsgr pensjon tjeneste'!Q8=0,0,'2021 Pensjon tjeneste'!Q8/'2021 Lønnsgr pensjon tjeneste'!Q8)</f>
        <v>0</v>
      </c>
    </row>
    <row r="9" spans="1:39" x14ac:dyDescent="0.3">
      <c r="A9" s="41">
        <v>3000</v>
      </c>
      <c r="B9" s="42" t="s">
        <v>403</v>
      </c>
      <c r="C9" s="1">
        <v>-113334.28151279999</v>
      </c>
      <c r="D9" s="3">
        <v>1.0213270273399999</v>
      </c>
      <c r="E9" s="3">
        <v>0.647410470214</v>
      </c>
      <c r="F9" s="3">
        <v>0.67128453190399995</v>
      </c>
      <c r="G9" s="3">
        <v>6.3826614545999999E-2</v>
      </c>
      <c r="H9" s="3">
        <v>1.037185946318</v>
      </c>
      <c r="I9" s="3"/>
      <c r="J9" s="44">
        <f>IF('2021 Lønnsgr arbavg tjeneste'!D9=0,0,'2021 Arbavg tjeneste'!D9/'2021 Lønnsgr arbavg tjeneste'!D9)</f>
        <v>0.14079305109282864</v>
      </c>
      <c r="K9" s="44">
        <f>IF('2021 Lønnsgr arbavg tjeneste'!E9=0,0,'2021 Arbavg tjeneste'!E9/'2021 Lønnsgr arbavg tjeneste'!E9)</f>
        <v>0.25816124230088122</v>
      </c>
      <c r="L9" s="44">
        <f>IF('2021 Lønnsgr arbavg tjeneste'!F9=0,0,'2021 Arbavg tjeneste'!F9/'2021 Lønnsgr arbavg tjeneste'!F9)</f>
        <v>0.13563399066399923</v>
      </c>
      <c r="M9" s="44">
        <f>IF('2021 Lønnsgr arbavg tjeneste'!G9=0,0,'2021 Arbavg tjeneste'!G9/'2021 Lønnsgr arbavg tjeneste'!G9)</f>
        <v>0</v>
      </c>
      <c r="N9" s="44">
        <f>IF('2021 Lønnsgr arbavg tjeneste'!H9=0,0,'2021 Arbavg tjeneste'!H9/'2021 Lønnsgr arbavg tjeneste'!H9)</f>
        <v>0.13985007561145182</v>
      </c>
      <c r="O9" s="44">
        <f>IF('2021 Lønnsgr arbavg tjeneste'!I9=0,0,'2021 Arbavg tjeneste'!I9/'2021 Lønnsgr arbavg tjeneste'!I9)</f>
        <v>6.2449721119811216E-2</v>
      </c>
      <c r="P9" s="44">
        <f>IF('2021 Lønnsgr arbavg tjeneste'!J9=0,0,'2021 Arbavg tjeneste'!J9/'2021 Lønnsgr arbavg tjeneste'!J9)</f>
        <v>0</v>
      </c>
      <c r="Q9" s="44">
        <f>IF('2021 Lønnsgr arbavg tjeneste'!K9=0,0,'2021 Arbavg tjeneste'!K9/'2021 Lønnsgr arbavg tjeneste'!K9)</f>
        <v>3.8391851596827932E-2</v>
      </c>
      <c r="R9" s="44">
        <f>IF('2021 Lønnsgr arbavg tjeneste'!L9=0,0,'2021 Arbavg tjeneste'!L9/'2021 Lønnsgr arbavg tjeneste'!L9)</f>
        <v>0.14052164376049628</v>
      </c>
      <c r="S9" s="44">
        <f>IF('2021 Lønnsgr arbavg tjeneste'!M9=0,0,'2021 Arbavg tjeneste'!M9/'2021 Lønnsgr arbavg tjeneste'!M9)</f>
        <v>0.14548001211387038</v>
      </c>
      <c r="T9" s="44">
        <f>IF('2021 Lønnsgr arbavg tjeneste'!N9=0,0,'2021 Arbavg tjeneste'!N9/'2021 Lønnsgr arbavg tjeneste'!N9)</f>
        <v>0.14056187165272949</v>
      </c>
      <c r="U9" s="44">
        <f>IF('2021 Lønnsgr arbavg tjeneste'!O9=0,0,'2021 Arbavg tjeneste'!O9/'2021 Lønnsgr arbavg tjeneste'!O9)</f>
        <v>0</v>
      </c>
      <c r="V9" s="44">
        <f>IF('2021 Lønnsgr arbavg tjeneste'!P9=0,0,'2021 Arbavg tjeneste'!P9/'2021 Lønnsgr arbavg tjeneste'!P9)</f>
        <v>0.14044059795436664</v>
      </c>
      <c r="W9" s="44">
        <f>IF('2021 Lønnsgr arbavg tjeneste'!Q9=0,0,'2021 Arbavg tjeneste'!Q9/'2021 Lønnsgr arbavg tjeneste'!Q9)</f>
        <v>0</v>
      </c>
      <c r="X9" s="44">
        <f>IF('2021 Lønnsgr arbavg tjeneste'!R9=0,0,'2021 Arbavg tjeneste'!R9/'2021 Lønnsgr arbavg tjeneste'!R9)</f>
        <v>3.2697547683923703E-2</v>
      </c>
      <c r="Z9" s="44">
        <f>IF('2021 Lønnsgr pensjon tjeneste'!D9=0,0,'2021 Pensjon tjeneste'!D9/'2021 Lønnsgr pensjon tjeneste'!D9)</f>
        <v>0.10623410535694541</v>
      </c>
      <c r="AA9" s="44">
        <f>IF('2021 Lønnsgr pensjon tjeneste'!E9=0,0,'2021 Pensjon tjeneste'!E9/'2021 Lønnsgr pensjon tjeneste'!E9)</f>
        <v>0.27594433041662164</v>
      </c>
      <c r="AB9" s="44">
        <f>IF('2021 Lønnsgr pensjon tjeneste'!F9=0,0,'2021 Pensjon tjeneste'!F9/'2021 Lønnsgr pensjon tjeneste'!F9)</f>
        <v>0.197740757644911</v>
      </c>
      <c r="AC9" s="44">
        <f>IF('2021 Lønnsgr pensjon tjeneste'!G9=0,0,'2021 Pensjon tjeneste'!G9/'2021 Lønnsgr pensjon tjeneste'!G9)</f>
        <v>0</v>
      </c>
      <c r="AD9" s="44">
        <f>IF('2021 Lønnsgr pensjon tjeneste'!H9=0,0,'2021 Pensjon tjeneste'!H9/'2021 Lønnsgr pensjon tjeneste'!H9)</f>
        <v>0.14452157435846627</v>
      </c>
      <c r="AE9" s="44">
        <f>IF('2021 Lønnsgr pensjon tjeneste'!I9=0,0,'2021 Pensjon tjeneste'!I9/'2021 Lønnsgr pensjon tjeneste'!I9)</f>
        <v>0.52992820512820515</v>
      </c>
      <c r="AF9" s="44">
        <f>IF('2021 Lønnsgr pensjon tjeneste'!J9=0,0,'2021 Pensjon tjeneste'!J9/'2021 Lønnsgr pensjon tjeneste'!J9)</f>
        <v>0</v>
      </c>
      <c r="AG9" s="44">
        <f>IF('2021 Lønnsgr pensjon tjeneste'!K9=0,0,'2021 Pensjon tjeneste'!K9/'2021 Lønnsgr pensjon tjeneste'!K9)</f>
        <v>0.71052841714411197</v>
      </c>
      <c r="AH9" s="44">
        <f>IF('2021 Lønnsgr pensjon tjeneste'!L9=0,0,'2021 Pensjon tjeneste'!L9/'2021 Lønnsgr pensjon tjeneste'!L9)</f>
        <v>0.13596589415898538</v>
      </c>
      <c r="AI9" s="44">
        <f>IF('2021 Lønnsgr pensjon tjeneste'!M9=0,0,'2021 Pensjon tjeneste'!M9/'2021 Lønnsgr pensjon tjeneste'!M9)</f>
        <v>0.14369831579858855</v>
      </c>
      <c r="AJ9" s="44">
        <f>IF('2021 Lønnsgr pensjon tjeneste'!N9=0,0,'2021 Pensjon tjeneste'!N9/'2021 Lønnsgr pensjon tjeneste'!N9)</f>
        <v>0.13703215697446672</v>
      </c>
      <c r="AK9" s="44">
        <f>IF('2021 Lønnsgr pensjon tjeneste'!O9=0,0,'2021 Pensjon tjeneste'!O9/'2021 Lønnsgr pensjon tjeneste'!O9)</f>
        <v>0</v>
      </c>
      <c r="AL9" s="44">
        <f>IF('2021 Lønnsgr pensjon tjeneste'!P9=0,0,'2021 Pensjon tjeneste'!P9/'2021 Lønnsgr pensjon tjeneste'!P9)</f>
        <v>0.12577502214348982</v>
      </c>
      <c r="AM9" s="44">
        <f>IF('2021 Lønnsgr pensjon tjeneste'!Q9=0,0,'2021 Pensjon tjeneste'!Q9/'2021 Lønnsgr pensjon tjeneste'!Q9)</f>
        <v>0</v>
      </c>
    </row>
    <row r="10" spans="1:39" x14ac:dyDescent="0.3">
      <c r="A10" s="41">
        <v>3400</v>
      </c>
      <c r="B10" s="42" t="s">
        <v>404</v>
      </c>
      <c r="C10" s="1">
        <v>61322.218897359999</v>
      </c>
      <c r="D10" s="3">
        <v>1.0261357862519997</v>
      </c>
      <c r="E10" s="3">
        <v>1.5201988443160002</v>
      </c>
      <c r="F10" s="3">
        <v>1.009729337976</v>
      </c>
      <c r="G10" s="3">
        <v>3.8547033684000004E-2</v>
      </c>
      <c r="H10" s="3">
        <v>0.96374535311999998</v>
      </c>
      <c r="I10" s="3"/>
      <c r="J10" s="44">
        <f>IF('2021 Lønnsgr arbavg tjeneste'!D10=0,0,'2021 Arbavg tjeneste'!D10/'2021 Lønnsgr arbavg tjeneste'!D10)</f>
        <v>0.12433913008383941</v>
      </c>
      <c r="K10" s="44">
        <f>IF('2021 Lønnsgr arbavg tjeneste'!E10=0,0,'2021 Arbavg tjeneste'!E10/'2021 Lønnsgr arbavg tjeneste'!E10)</f>
        <v>0.12102399018931555</v>
      </c>
      <c r="L10" s="44">
        <f>IF('2021 Lønnsgr arbavg tjeneste'!F10=0,0,'2021 Arbavg tjeneste'!F10/'2021 Lønnsgr arbavg tjeneste'!F10)</f>
        <v>0.14118380385943952</v>
      </c>
      <c r="M10" s="44">
        <f>IF('2021 Lønnsgr arbavg tjeneste'!G10=0,0,'2021 Arbavg tjeneste'!G10/'2021 Lønnsgr arbavg tjeneste'!G10)</f>
        <v>0.14080765143464399</v>
      </c>
      <c r="N10" s="44">
        <f>IF('2021 Lønnsgr arbavg tjeneste'!H10=0,0,'2021 Arbavg tjeneste'!H10/'2021 Lønnsgr arbavg tjeneste'!H10)</f>
        <v>0.120203629311539</v>
      </c>
      <c r="O10" s="44">
        <f>IF('2021 Lønnsgr arbavg tjeneste'!I10=0,0,'2021 Arbavg tjeneste'!I10/'2021 Lønnsgr arbavg tjeneste'!I10)</f>
        <v>0.14101249286054635</v>
      </c>
      <c r="P10" s="44">
        <f>IF('2021 Lønnsgr arbavg tjeneste'!J10=0,0,'2021 Arbavg tjeneste'!J10/'2021 Lønnsgr arbavg tjeneste'!J10)</f>
        <v>0</v>
      </c>
      <c r="Q10" s="44">
        <f>IF('2021 Lønnsgr arbavg tjeneste'!K10=0,0,'2021 Arbavg tjeneste'!K10/'2021 Lønnsgr arbavg tjeneste'!K10)</f>
        <v>0.14093874707037435</v>
      </c>
      <c r="R10" s="44">
        <f>IF('2021 Lønnsgr arbavg tjeneste'!L10=0,0,'2021 Arbavg tjeneste'!L10/'2021 Lønnsgr arbavg tjeneste'!L10)</f>
        <v>0.14127750939345143</v>
      </c>
      <c r="S10" s="44">
        <f>IF('2021 Lønnsgr arbavg tjeneste'!M10=0,0,'2021 Arbavg tjeneste'!M10/'2021 Lønnsgr arbavg tjeneste'!M10)</f>
        <v>0.14045904769481682</v>
      </c>
      <c r="T10" s="44">
        <f>IF('2021 Lønnsgr arbavg tjeneste'!N10=0,0,'2021 Arbavg tjeneste'!N10/'2021 Lønnsgr arbavg tjeneste'!N10)</f>
        <v>0.14147710583858228</v>
      </c>
      <c r="U10" s="44">
        <f>IF('2021 Lønnsgr arbavg tjeneste'!O10=0,0,'2021 Arbavg tjeneste'!O10/'2021 Lønnsgr arbavg tjeneste'!O10)</f>
        <v>0</v>
      </c>
      <c r="V10" s="44">
        <f>IF('2021 Lønnsgr arbavg tjeneste'!P10=0,0,'2021 Arbavg tjeneste'!P10/'2021 Lønnsgr arbavg tjeneste'!P10)</f>
        <v>0</v>
      </c>
      <c r="W10" s="44">
        <f>IF('2021 Lønnsgr arbavg tjeneste'!Q10=0,0,'2021 Arbavg tjeneste'!Q10/'2021 Lønnsgr arbavg tjeneste'!Q10)</f>
        <v>0</v>
      </c>
      <c r="X10" s="44">
        <f>IF('2021 Lønnsgr arbavg tjeneste'!R10=0,0,'2021 Arbavg tjeneste'!R10/'2021 Lønnsgr arbavg tjeneste'!R10)</f>
        <v>0.14101211689237347</v>
      </c>
      <c r="Z10" s="44">
        <f>IF('2021 Lønnsgr pensjon tjeneste'!D10=0,0,'2021 Pensjon tjeneste'!D10/'2021 Lønnsgr pensjon tjeneste'!D10)</f>
        <v>0.12259102940124472</v>
      </c>
      <c r="AA10" s="44">
        <f>IF('2021 Lønnsgr pensjon tjeneste'!E10=0,0,'2021 Pensjon tjeneste'!E10/'2021 Lønnsgr pensjon tjeneste'!E10)</f>
        <v>0.29392804899214042</v>
      </c>
      <c r="AB10" s="44">
        <f>IF('2021 Lønnsgr pensjon tjeneste'!F10=0,0,'2021 Pensjon tjeneste'!F10/'2021 Lønnsgr pensjon tjeneste'!F10)</f>
        <v>0.27257403490216814</v>
      </c>
      <c r="AC10" s="44">
        <f>IF('2021 Lønnsgr pensjon tjeneste'!G10=0,0,'2021 Pensjon tjeneste'!G10/'2021 Lønnsgr pensjon tjeneste'!G10)</f>
        <v>9.9299065420560745E-2</v>
      </c>
      <c r="AD10" s="44">
        <f>IF('2021 Lønnsgr pensjon tjeneste'!H10=0,0,'2021 Pensjon tjeneste'!H10/'2021 Lønnsgr pensjon tjeneste'!H10)</f>
        <v>0.26114427136409957</v>
      </c>
      <c r="AE10" s="44">
        <f>IF('2021 Lønnsgr pensjon tjeneste'!I10=0,0,'2021 Pensjon tjeneste'!I10/'2021 Lønnsgr pensjon tjeneste'!I10)</f>
        <v>0.23870743300290817</v>
      </c>
      <c r="AF10" s="44">
        <f>IF('2021 Lønnsgr pensjon tjeneste'!J10=0,0,'2021 Pensjon tjeneste'!J10/'2021 Lønnsgr pensjon tjeneste'!J10)</f>
        <v>0</v>
      </c>
      <c r="AG10" s="44">
        <f>IF('2021 Lønnsgr pensjon tjeneste'!K10=0,0,'2021 Pensjon tjeneste'!K10/'2021 Lønnsgr pensjon tjeneste'!K10)</f>
        <v>0.23870426479641724</v>
      </c>
      <c r="AH10" s="44">
        <f>IF('2021 Lønnsgr pensjon tjeneste'!L10=0,0,'2021 Pensjon tjeneste'!L10/'2021 Lønnsgr pensjon tjeneste'!L10)</f>
        <v>0.30914457041131826</v>
      </c>
      <c r="AI10" s="44">
        <f>IF('2021 Lønnsgr pensjon tjeneste'!M10=0,0,'2021 Pensjon tjeneste'!M10/'2021 Lønnsgr pensjon tjeneste'!M10)</f>
        <v>0.26740610032770357</v>
      </c>
      <c r="AJ10" s="44">
        <f>IF('2021 Lønnsgr pensjon tjeneste'!N10=0,0,'2021 Pensjon tjeneste'!N10/'2021 Lønnsgr pensjon tjeneste'!N10)</f>
        <v>0.10925677877131376</v>
      </c>
      <c r="AK10" s="44">
        <f>IF('2021 Lønnsgr pensjon tjeneste'!O10=0,0,'2021 Pensjon tjeneste'!O10/'2021 Lønnsgr pensjon tjeneste'!O10)</f>
        <v>0</v>
      </c>
      <c r="AL10" s="44">
        <f>IF('2021 Lønnsgr pensjon tjeneste'!P10=0,0,'2021 Pensjon tjeneste'!P10/'2021 Lønnsgr pensjon tjeneste'!P10)</f>
        <v>0</v>
      </c>
      <c r="AM10" s="44">
        <f>IF('2021 Lønnsgr pensjon tjeneste'!Q10=0,0,'2021 Pensjon tjeneste'!Q10/'2021 Lønnsgr pensjon tjeneste'!Q10)</f>
        <v>0</v>
      </c>
    </row>
    <row r="11" spans="1:39" x14ac:dyDescent="0.3">
      <c r="A11" s="41">
        <v>3800</v>
      </c>
      <c r="B11" s="42" t="s">
        <v>405</v>
      </c>
      <c r="C11" s="1">
        <v>29239.253434179998</v>
      </c>
      <c r="D11" s="3">
        <v>1.0188882733159998</v>
      </c>
      <c r="E11" s="3">
        <v>0.96541871701000015</v>
      </c>
      <c r="F11" s="3">
        <v>0.72761217902399999</v>
      </c>
      <c r="G11" s="3">
        <v>0.16001458453400003</v>
      </c>
      <c r="H11" s="3">
        <v>0.99862059254700009</v>
      </c>
      <c r="I11" s="3"/>
      <c r="J11" s="44">
        <f>IF('2021 Lønnsgr arbavg tjeneste'!D11=0,0,'2021 Arbavg tjeneste'!D11/'2021 Lønnsgr arbavg tjeneste'!D11)</f>
        <v>0.13898654394681054</v>
      </c>
      <c r="K11" s="44">
        <f>IF('2021 Lønnsgr arbavg tjeneste'!E11=0,0,'2021 Arbavg tjeneste'!E11/'2021 Lønnsgr arbavg tjeneste'!E11)</f>
        <v>0.14175879602491923</v>
      </c>
      <c r="L11" s="44">
        <f>IF('2021 Lønnsgr arbavg tjeneste'!F11=0,0,'2021 Arbavg tjeneste'!F11/'2021 Lønnsgr arbavg tjeneste'!F11)</f>
        <v>0.15982899572489312</v>
      </c>
      <c r="M11" s="44">
        <f>IF('2021 Lønnsgr arbavg tjeneste'!G11=0,0,'2021 Arbavg tjeneste'!G11/'2021 Lønnsgr arbavg tjeneste'!G11)</f>
        <v>0</v>
      </c>
      <c r="N11" s="44">
        <f>IF('2021 Lønnsgr arbavg tjeneste'!H11=0,0,'2021 Arbavg tjeneste'!H11/'2021 Lønnsgr arbavg tjeneste'!H11)</f>
        <v>0.1383561798641639</v>
      </c>
      <c r="O11" s="44">
        <f>IF('2021 Lønnsgr arbavg tjeneste'!I11=0,0,'2021 Arbavg tjeneste'!I11/'2021 Lønnsgr arbavg tjeneste'!I11)</f>
        <v>0.13841880502291148</v>
      </c>
      <c r="P11" s="44">
        <f>IF('2021 Lønnsgr arbavg tjeneste'!J11=0,0,'2021 Arbavg tjeneste'!J11/'2021 Lønnsgr arbavg tjeneste'!J11)</f>
        <v>0</v>
      </c>
      <c r="Q11" s="44">
        <f>IF('2021 Lønnsgr arbavg tjeneste'!K11=0,0,'2021 Arbavg tjeneste'!K11/'2021 Lønnsgr arbavg tjeneste'!K11)</f>
        <v>0.13727957943035476</v>
      </c>
      <c r="R11" s="44">
        <f>IF('2021 Lønnsgr arbavg tjeneste'!L11=0,0,'2021 Arbavg tjeneste'!L11/'2021 Lønnsgr arbavg tjeneste'!L11)</f>
        <v>0.13965189915430878</v>
      </c>
      <c r="S11" s="44">
        <f>IF('2021 Lønnsgr arbavg tjeneste'!M11=0,0,'2021 Arbavg tjeneste'!M11/'2021 Lønnsgr arbavg tjeneste'!M11)</f>
        <v>0.14163036193029491</v>
      </c>
      <c r="T11" s="44">
        <f>IF('2021 Lønnsgr arbavg tjeneste'!N11=0,0,'2021 Arbavg tjeneste'!N11/'2021 Lønnsgr arbavg tjeneste'!N11)</f>
        <v>0.14250713206913912</v>
      </c>
      <c r="U11" s="44">
        <f>IF('2021 Lønnsgr arbavg tjeneste'!O11=0,0,'2021 Arbavg tjeneste'!O11/'2021 Lønnsgr arbavg tjeneste'!O11)</f>
        <v>0.10659272951324707</v>
      </c>
      <c r="V11" s="44">
        <f>IF('2021 Lønnsgr arbavg tjeneste'!P11=0,0,'2021 Arbavg tjeneste'!P11/'2021 Lønnsgr arbavg tjeneste'!P11)</f>
        <v>0.15267175572519084</v>
      </c>
      <c r="W11" s="44">
        <f>IF('2021 Lønnsgr arbavg tjeneste'!Q11=0,0,'2021 Arbavg tjeneste'!Q11/'2021 Lønnsgr arbavg tjeneste'!Q11)</f>
        <v>0</v>
      </c>
      <c r="X11" s="44">
        <f>IF('2021 Lønnsgr arbavg tjeneste'!R11=0,0,'2021 Arbavg tjeneste'!R11/'2021 Lønnsgr arbavg tjeneste'!R11)</f>
        <v>0.14097520267048164</v>
      </c>
      <c r="Z11" s="44">
        <f>IF('2021 Lønnsgr pensjon tjeneste'!D11=0,0,'2021 Pensjon tjeneste'!D11/'2021 Lønnsgr pensjon tjeneste'!D11)</f>
        <v>0.12179889138354534</v>
      </c>
      <c r="AA11" s="44">
        <f>IF('2021 Lønnsgr pensjon tjeneste'!E11=0,0,'2021 Pensjon tjeneste'!E11/'2021 Lønnsgr pensjon tjeneste'!E11)</f>
        <v>0.21965899360716928</v>
      </c>
      <c r="AB11" s="44">
        <f>IF('2021 Lønnsgr pensjon tjeneste'!F11=0,0,'2021 Pensjon tjeneste'!F11/'2021 Lønnsgr pensjon tjeneste'!F11)</f>
        <v>0.23872346355739305</v>
      </c>
      <c r="AC11" s="44">
        <f>IF('2021 Lønnsgr pensjon tjeneste'!G11=0,0,'2021 Pensjon tjeneste'!G11/'2021 Lønnsgr pensjon tjeneste'!G11)</f>
        <v>0</v>
      </c>
      <c r="AD11" s="44">
        <f>IF('2021 Lønnsgr pensjon tjeneste'!H11=0,0,'2021 Pensjon tjeneste'!H11/'2021 Lønnsgr pensjon tjeneste'!H11)</f>
        <v>0.25737467318404</v>
      </c>
      <c r="AE11" s="44">
        <f>IF('2021 Lønnsgr pensjon tjeneste'!I11=0,0,'2021 Pensjon tjeneste'!I11/'2021 Lønnsgr pensjon tjeneste'!I11)</f>
        <v>0.22199091797598591</v>
      </c>
      <c r="AF11" s="44">
        <f>IF('2021 Lønnsgr pensjon tjeneste'!J11=0,0,'2021 Pensjon tjeneste'!J11/'2021 Lønnsgr pensjon tjeneste'!J11)</f>
        <v>0</v>
      </c>
      <c r="AG11" s="44">
        <f>IF('2021 Lønnsgr pensjon tjeneste'!K11=0,0,'2021 Pensjon tjeneste'!K11/'2021 Lønnsgr pensjon tjeneste'!K11)</f>
        <v>0.22065384375549169</v>
      </c>
      <c r="AH11" s="44">
        <f>IF('2021 Lønnsgr pensjon tjeneste'!L11=0,0,'2021 Pensjon tjeneste'!L11/'2021 Lønnsgr pensjon tjeneste'!L11)</f>
        <v>0.22212126620479289</v>
      </c>
      <c r="AI11" s="44">
        <f>IF('2021 Lønnsgr pensjon tjeneste'!M11=0,0,'2021 Pensjon tjeneste'!M11/'2021 Lønnsgr pensjon tjeneste'!M11)</f>
        <v>0.2057174604778019</v>
      </c>
      <c r="AJ11" s="44">
        <f>IF('2021 Lønnsgr pensjon tjeneste'!N11=0,0,'2021 Pensjon tjeneste'!N11/'2021 Lønnsgr pensjon tjeneste'!N11)</f>
        <v>0.24874266554903604</v>
      </c>
      <c r="AK11" s="44">
        <f>IF('2021 Lønnsgr pensjon tjeneste'!O11=0,0,'2021 Pensjon tjeneste'!O11/'2021 Lønnsgr pensjon tjeneste'!O11)</f>
        <v>0.17099567099567101</v>
      </c>
      <c r="AL11" s="44">
        <f>IF('2021 Lønnsgr pensjon tjeneste'!P11=0,0,'2021 Pensjon tjeneste'!P11/'2021 Lønnsgr pensjon tjeneste'!P11)</f>
        <v>0.16964285714285715</v>
      </c>
      <c r="AM11" s="44">
        <f>IF('2021 Lønnsgr pensjon tjeneste'!Q11=0,0,'2021 Pensjon tjeneste'!Q11/'2021 Lønnsgr pensjon tjeneste'!Q11)</f>
        <v>0</v>
      </c>
    </row>
    <row r="12" spans="1:39" x14ac:dyDescent="0.3">
      <c r="A12" s="41">
        <v>4200</v>
      </c>
      <c r="B12" s="42" t="s">
        <v>406</v>
      </c>
      <c r="C12" s="1">
        <v>19890.49939511</v>
      </c>
      <c r="D12" s="3">
        <v>1.05030069166</v>
      </c>
      <c r="E12" s="3">
        <v>1.1653561073379999</v>
      </c>
      <c r="F12" s="3">
        <v>0.81375635999199991</v>
      </c>
      <c r="G12" s="3">
        <v>0.23760515278000002</v>
      </c>
      <c r="H12" s="3">
        <v>1.0486821090080001</v>
      </c>
      <c r="I12" s="3"/>
      <c r="J12" s="44">
        <f>IF('2021 Lønnsgr arbavg tjeneste'!D12=0,0,'2021 Arbavg tjeneste'!D12/'2021 Lønnsgr arbavg tjeneste'!D12)</f>
        <v>0.13932718241696582</v>
      </c>
      <c r="K12" s="44">
        <f>IF('2021 Lønnsgr arbavg tjeneste'!E12=0,0,'2021 Arbavg tjeneste'!E12/'2021 Lønnsgr arbavg tjeneste'!E12)</f>
        <v>0.2071540811101891</v>
      </c>
      <c r="L12" s="44">
        <f>IF('2021 Lønnsgr arbavg tjeneste'!F12=0,0,'2021 Arbavg tjeneste'!F12/'2021 Lønnsgr arbavg tjeneste'!F12)</f>
        <v>0.14134668892598776</v>
      </c>
      <c r="M12" s="44">
        <f>IF('2021 Lønnsgr arbavg tjeneste'!G12=0,0,'2021 Arbavg tjeneste'!G12/'2021 Lønnsgr arbavg tjeneste'!G12)</f>
        <v>0.14126984126984127</v>
      </c>
      <c r="N12" s="44">
        <f>IF('2021 Lønnsgr arbavg tjeneste'!H12=0,0,'2021 Arbavg tjeneste'!H12/'2021 Lønnsgr arbavg tjeneste'!H12)</f>
        <v>0.1376441612260057</v>
      </c>
      <c r="O12" s="44">
        <f>IF('2021 Lønnsgr arbavg tjeneste'!I12=0,0,'2021 Arbavg tjeneste'!I12/'2021 Lønnsgr arbavg tjeneste'!I12)</f>
        <v>0.12970305626302384</v>
      </c>
      <c r="P12" s="44">
        <f>IF('2021 Lønnsgr arbavg tjeneste'!J12=0,0,'2021 Arbavg tjeneste'!J12/'2021 Lønnsgr arbavg tjeneste'!J12)</f>
        <v>0</v>
      </c>
      <c r="Q12" s="44">
        <f>IF('2021 Lønnsgr arbavg tjeneste'!K12=0,0,'2021 Arbavg tjeneste'!K12/'2021 Lønnsgr arbavg tjeneste'!K12)</f>
        <v>0.12408720160567109</v>
      </c>
      <c r="R12" s="44">
        <f>IF('2021 Lønnsgr arbavg tjeneste'!L12=0,0,'2021 Arbavg tjeneste'!L12/'2021 Lønnsgr arbavg tjeneste'!L12)</f>
        <v>0.14136590782898389</v>
      </c>
      <c r="S12" s="44">
        <f>IF('2021 Lønnsgr arbavg tjeneste'!M12=0,0,'2021 Arbavg tjeneste'!M12/'2021 Lønnsgr arbavg tjeneste'!M12)</f>
        <v>0.14185022026431718</v>
      </c>
      <c r="T12" s="44">
        <f>IF('2021 Lønnsgr arbavg tjeneste'!N12=0,0,'2021 Arbavg tjeneste'!N12/'2021 Lønnsgr arbavg tjeneste'!N12)</f>
        <v>0.14217262467688041</v>
      </c>
      <c r="U12" s="44">
        <f>IF('2021 Lønnsgr arbavg tjeneste'!O12=0,0,'2021 Arbavg tjeneste'!O12/'2021 Lønnsgr arbavg tjeneste'!O12)</f>
        <v>0</v>
      </c>
      <c r="V12" s="44">
        <f>IF('2021 Lønnsgr arbavg tjeneste'!P12=0,0,'2021 Arbavg tjeneste'!P12/'2021 Lønnsgr arbavg tjeneste'!P12)</f>
        <v>0.13636363636363635</v>
      </c>
      <c r="W12" s="44">
        <f>IF('2021 Lønnsgr arbavg tjeneste'!Q12=0,0,'2021 Arbavg tjeneste'!Q12/'2021 Lønnsgr arbavg tjeneste'!Q12)</f>
        <v>0</v>
      </c>
      <c r="X12" s="44">
        <f>IF('2021 Lønnsgr arbavg tjeneste'!R12=0,0,'2021 Arbavg tjeneste'!R12/'2021 Lønnsgr arbavg tjeneste'!R12)</f>
        <v>9.3997470303563577E-2</v>
      </c>
      <c r="Z12" s="44">
        <f>IF('2021 Lønnsgr pensjon tjeneste'!D12=0,0,'2021 Pensjon tjeneste'!D12/'2021 Lønnsgr pensjon tjeneste'!D12)</f>
        <v>0.11268613883372744</v>
      </c>
      <c r="AA12" s="44">
        <f>IF('2021 Lønnsgr pensjon tjeneste'!E12=0,0,'2021 Pensjon tjeneste'!E12/'2021 Lønnsgr pensjon tjeneste'!E12)</f>
        <v>0.32185866318147871</v>
      </c>
      <c r="AB12" s="44">
        <f>IF('2021 Lønnsgr pensjon tjeneste'!F12=0,0,'2021 Pensjon tjeneste'!F12/'2021 Lønnsgr pensjon tjeneste'!F12)</f>
        <v>0.20604026845637585</v>
      </c>
      <c r="AC12" s="44">
        <f>IF('2021 Lønnsgr pensjon tjeneste'!G12=0,0,'2021 Pensjon tjeneste'!G12/'2021 Lønnsgr pensjon tjeneste'!G12)</f>
        <v>0.2045889101338432</v>
      </c>
      <c r="AD12" s="44">
        <f>IF('2021 Lønnsgr pensjon tjeneste'!H12=0,0,'2021 Pensjon tjeneste'!H12/'2021 Lønnsgr pensjon tjeneste'!H12)</f>
        <v>0.22494229424666456</v>
      </c>
      <c r="AE12" s="44">
        <f>IF('2021 Lønnsgr pensjon tjeneste'!I12=0,0,'2021 Pensjon tjeneste'!I12/'2021 Lønnsgr pensjon tjeneste'!I12)</f>
        <v>0.30618416886792899</v>
      </c>
      <c r="AF12" s="44">
        <f>IF('2021 Lønnsgr pensjon tjeneste'!J12=0,0,'2021 Pensjon tjeneste'!J12/'2021 Lønnsgr pensjon tjeneste'!J12)</f>
        <v>0</v>
      </c>
      <c r="AG12" s="44">
        <f>IF('2021 Lønnsgr pensjon tjeneste'!K12=0,0,'2021 Pensjon tjeneste'!K12/'2021 Lønnsgr pensjon tjeneste'!K12)</f>
        <v>0.35776305680780435</v>
      </c>
      <c r="AH12" s="44">
        <f>IF('2021 Lønnsgr pensjon tjeneste'!L12=0,0,'2021 Pensjon tjeneste'!L12/'2021 Lønnsgr pensjon tjeneste'!L12)</f>
        <v>0.21077665170843207</v>
      </c>
      <c r="AI12" s="44">
        <f>IF('2021 Lønnsgr pensjon tjeneste'!M12=0,0,'2021 Pensjon tjeneste'!M12/'2021 Lønnsgr pensjon tjeneste'!M12)</f>
        <v>0.21650589496248659</v>
      </c>
      <c r="AJ12" s="44">
        <f>IF('2021 Lønnsgr pensjon tjeneste'!N12=0,0,'2021 Pensjon tjeneste'!N12/'2021 Lønnsgr pensjon tjeneste'!N12)</f>
        <v>0.20423658036595552</v>
      </c>
      <c r="AK12" s="44">
        <f>IF('2021 Lønnsgr pensjon tjeneste'!O12=0,0,'2021 Pensjon tjeneste'!O12/'2021 Lønnsgr pensjon tjeneste'!O12)</f>
        <v>0</v>
      </c>
      <c r="AL12" s="44">
        <f>IF('2021 Lønnsgr pensjon tjeneste'!P12=0,0,'2021 Pensjon tjeneste'!P12/'2021 Lønnsgr pensjon tjeneste'!P12)</f>
        <v>0</v>
      </c>
      <c r="AM12" s="44">
        <f>IF('2021 Lønnsgr pensjon tjeneste'!Q12=0,0,'2021 Pensjon tjeneste'!Q12/'2021 Lønnsgr pensjon tjeneste'!Q12)</f>
        <v>0</v>
      </c>
    </row>
    <row r="13" spans="1:39" x14ac:dyDescent="0.3">
      <c r="A13" s="41">
        <v>4600</v>
      </c>
      <c r="B13" s="42" t="s">
        <v>407</v>
      </c>
      <c r="C13" s="1">
        <v>-109660.8196718</v>
      </c>
      <c r="D13" s="3">
        <v>1.0627111443199999</v>
      </c>
      <c r="E13" s="3">
        <v>1.179674447704</v>
      </c>
      <c r="F13" s="3">
        <v>1.0003785486719998</v>
      </c>
      <c r="G13" s="3">
        <v>1.9450823642099999</v>
      </c>
      <c r="H13" s="3">
        <v>1.027352720051</v>
      </c>
      <c r="I13" s="3"/>
      <c r="J13" s="44">
        <f>IF('2021 Lønnsgr arbavg tjeneste'!D13=0,0,'2021 Arbavg tjeneste'!D13/'2021 Lønnsgr arbavg tjeneste'!D13)</f>
        <v>0.13535843420903865</v>
      </c>
      <c r="K13" s="44">
        <f>IF('2021 Lønnsgr arbavg tjeneste'!E13=0,0,'2021 Arbavg tjeneste'!E13/'2021 Lønnsgr arbavg tjeneste'!E13)</f>
        <v>0.42824077598940169</v>
      </c>
      <c r="L13" s="44">
        <f>IF('2021 Lønnsgr arbavg tjeneste'!F13=0,0,'2021 Arbavg tjeneste'!F13/'2021 Lønnsgr arbavg tjeneste'!F13)</f>
        <v>0.14247046902544314</v>
      </c>
      <c r="M13" s="44">
        <f>IF('2021 Lønnsgr arbavg tjeneste'!G13=0,0,'2021 Arbavg tjeneste'!G13/'2021 Lønnsgr arbavg tjeneste'!G13)</f>
        <v>0</v>
      </c>
      <c r="N13" s="44">
        <f>IF('2021 Lønnsgr arbavg tjeneste'!H13=0,0,'2021 Arbavg tjeneste'!H13/'2021 Lønnsgr arbavg tjeneste'!H13)</f>
        <v>0.13556701802719051</v>
      </c>
      <c r="O13" s="44">
        <f>IF('2021 Lønnsgr arbavg tjeneste'!I13=0,0,'2021 Arbavg tjeneste'!I13/'2021 Lønnsgr arbavg tjeneste'!I13)</f>
        <v>0.13875863741059521</v>
      </c>
      <c r="P13" s="44">
        <f>IF('2021 Lønnsgr arbavg tjeneste'!J13=0,0,'2021 Arbavg tjeneste'!J13/'2021 Lønnsgr arbavg tjeneste'!J13)</f>
        <v>0</v>
      </c>
      <c r="Q13" s="44">
        <f>IF('2021 Lønnsgr arbavg tjeneste'!K13=0,0,'2021 Arbavg tjeneste'!K13/'2021 Lønnsgr arbavg tjeneste'!K13)</f>
        <v>0.14041106975238712</v>
      </c>
      <c r="R13" s="44">
        <f>IF('2021 Lønnsgr arbavg tjeneste'!L13=0,0,'2021 Arbavg tjeneste'!L13/'2021 Lønnsgr arbavg tjeneste'!L13)</f>
        <v>0.1369404143928302</v>
      </c>
      <c r="S13" s="44">
        <f>IF('2021 Lønnsgr arbavg tjeneste'!M13=0,0,'2021 Arbavg tjeneste'!M13/'2021 Lønnsgr arbavg tjeneste'!M13)</f>
        <v>0.1361154369295669</v>
      </c>
      <c r="T13" s="44">
        <f>IF('2021 Lønnsgr arbavg tjeneste'!N13=0,0,'2021 Arbavg tjeneste'!N13/'2021 Lønnsgr arbavg tjeneste'!N13)</f>
        <v>0.13222239940466698</v>
      </c>
      <c r="U13" s="44">
        <f>IF('2021 Lønnsgr arbavg tjeneste'!O13=0,0,'2021 Arbavg tjeneste'!O13/'2021 Lønnsgr arbavg tjeneste'!O13)</f>
        <v>0</v>
      </c>
      <c r="V13" s="44">
        <f>IF('2021 Lønnsgr arbavg tjeneste'!P13=0,0,'2021 Arbavg tjeneste'!P13/'2021 Lønnsgr arbavg tjeneste'!P13)</f>
        <v>0.14137214137214138</v>
      </c>
      <c r="W13" s="44">
        <f>IF('2021 Lønnsgr arbavg tjeneste'!Q13=0,0,'2021 Arbavg tjeneste'!Q13/'2021 Lønnsgr arbavg tjeneste'!Q13)</f>
        <v>0</v>
      </c>
      <c r="X13" s="44">
        <f>IF('2021 Lønnsgr arbavg tjeneste'!R13=0,0,'2021 Arbavg tjeneste'!R13/'2021 Lønnsgr arbavg tjeneste'!R13)</f>
        <v>0.14615671951523201</v>
      </c>
      <c r="Z13" s="44">
        <f>IF('2021 Lønnsgr pensjon tjeneste'!D13=0,0,'2021 Pensjon tjeneste'!D13/'2021 Lønnsgr pensjon tjeneste'!D13)</f>
        <v>9.915149231031023E-2</v>
      </c>
      <c r="AA13" s="44">
        <f>IF('2021 Lønnsgr pensjon tjeneste'!E13=0,0,'2021 Pensjon tjeneste'!E13/'2021 Lønnsgr pensjon tjeneste'!E13)</f>
        <v>0.37398527073395266</v>
      </c>
      <c r="AB13" s="44">
        <f>IF('2021 Lønnsgr pensjon tjeneste'!F13=0,0,'2021 Pensjon tjeneste'!F13/'2021 Lønnsgr pensjon tjeneste'!F13)</f>
        <v>9.5761023316653232E-2</v>
      </c>
      <c r="AC13" s="44">
        <f>IF('2021 Lønnsgr pensjon tjeneste'!G13=0,0,'2021 Pensjon tjeneste'!G13/'2021 Lønnsgr pensjon tjeneste'!G13)</f>
        <v>0</v>
      </c>
      <c r="AD13" s="44">
        <f>IF('2021 Lønnsgr pensjon tjeneste'!H13=0,0,'2021 Pensjon tjeneste'!H13/'2021 Lønnsgr pensjon tjeneste'!H13)</f>
        <v>0.10676940923025935</v>
      </c>
      <c r="AE13" s="44">
        <f>IF('2021 Lønnsgr pensjon tjeneste'!I13=0,0,'2021 Pensjon tjeneste'!I13/'2021 Lønnsgr pensjon tjeneste'!I13)</f>
        <v>6.2593712804711529E-2</v>
      </c>
      <c r="AF13" s="44">
        <f>IF('2021 Lønnsgr pensjon tjeneste'!J13=0,0,'2021 Pensjon tjeneste'!J13/'2021 Lønnsgr pensjon tjeneste'!J13)</f>
        <v>0</v>
      </c>
      <c r="AG13" s="44">
        <f>IF('2021 Lønnsgr pensjon tjeneste'!K13=0,0,'2021 Pensjon tjeneste'!K13/'2021 Lønnsgr pensjon tjeneste'!K13)</f>
        <v>4.7670900479647935E-2</v>
      </c>
      <c r="AH13" s="44">
        <f>IF('2021 Lønnsgr pensjon tjeneste'!L13=0,0,'2021 Pensjon tjeneste'!L13/'2021 Lønnsgr pensjon tjeneste'!L13)</f>
        <v>9.1847115244877195E-2</v>
      </c>
      <c r="AI13" s="44">
        <f>IF('2021 Lønnsgr pensjon tjeneste'!M13=0,0,'2021 Pensjon tjeneste'!M13/'2021 Lønnsgr pensjon tjeneste'!M13)</f>
        <v>9.5422155042107534E-2</v>
      </c>
      <c r="AJ13" s="44">
        <f>IF('2021 Lønnsgr pensjon tjeneste'!N13=0,0,'2021 Pensjon tjeneste'!N13/'2021 Lønnsgr pensjon tjeneste'!N13)</f>
        <v>9.7543900589230501E-2</v>
      </c>
      <c r="AK13" s="44">
        <f>IF('2021 Lønnsgr pensjon tjeneste'!O13=0,0,'2021 Pensjon tjeneste'!O13/'2021 Lønnsgr pensjon tjeneste'!O13)</f>
        <v>0</v>
      </c>
      <c r="AL13" s="44">
        <f>IF('2021 Lønnsgr pensjon tjeneste'!P13=0,0,'2021 Pensjon tjeneste'!P13/'2021 Lønnsgr pensjon tjeneste'!P13)</f>
        <v>0.10194730813287514</v>
      </c>
      <c r="AM13" s="44">
        <f>IF('2021 Lønnsgr pensjon tjeneste'!Q13=0,0,'2021 Pensjon tjeneste'!Q13/'2021 Lønnsgr pensjon tjeneste'!Q13)</f>
        <v>0</v>
      </c>
    </row>
    <row r="14" spans="1:39" x14ac:dyDescent="0.3">
      <c r="A14" s="41">
        <v>5000</v>
      </c>
      <c r="B14" s="42" t="s">
        <v>388</v>
      </c>
      <c r="C14" s="1">
        <v>2927.28956973</v>
      </c>
      <c r="D14" s="3">
        <v>1.012572546855</v>
      </c>
      <c r="E14" s="3">
        <v>1.2942396964060001</v>
      </c>
      <c r="F14" s="3">
        <v>1.05514238388</v>
      </c>
      <c r="G14" s="3">
        <v>1.138105922492</v>
      </c>
      <c r="H14" s="3">
        <v>0.99297800244399992</v>
      </c>
      <c r="I14" s="3"/>
      <c r="J14" s="44">
        <f>IF('2021 Lønnsgr arbavg tjeneste'!D14=0,0,'2021 Arbavg tjeneste'!D14/'2021 Lønnsgr arbavg tjeneste'!D14)</f>
        <v>0.12522119045662475</v>
      </c>
      <c r="K14" s="44">
        <f>IF('2021 Lønnsgr arbavg tjeneste'!E14=0,0,'2021 Arbavg tjeneste'!E14/'2021 Lønnsgr arbavg tjeneste'!E14)</f>
        <v>0.25314721137222257</v>
      </c>
      <c r="L14" s="44">
        <f>IF('2021 Lønnsgr arbavg tjeneste'!F14=0,0,'2021 Arbavg tjeneste'!F14/'2021 Lønnsgr arbavg tjeneste'!F14)</f>
        <v>0.13911566489507424</v>
      </c>
      <c r="M14" s="44">
        <f>IF('2021 Lønnsgr arbavg tjeneste'!G14=0,0,'2021 Arbavg tjeneste'!G14/'2021 Lønnsgr arbavg tjeneste'!G14)</f>
        <v>0.10369582557830365</v>
      </c>
      <c r="N14" s="44">
        <f>IF('2021 Lønnsgr arbavg tjeneste'!H14=0,0,'2021 Arbavg tjeneste'!H14/'2021 Lønnsgr arbavg tjeneste'!H14)</f>
        <v>0.11946462773817886</v>
      </c>
      <c r="O14" s="44">
        <f>IF('2021 Lønnsgr arbavg tjeneste'!I14=0,0,'2021 Arbavg tjeneste'!I14/'2021 Lønnsgr arbavg tjeneste'!I14)</f>
        <v>0.13339767364871311</v>
      </c>
      <c r="P14" s="44">
        <f>IF('2021 Lønnsgr arbavg tjeneste'!J14=0,0,'2021 Arbavg tjeneste'!J14/'2021 Lønnsgr arbavg tjeneste'!J14)</f>
        <v>0</v>
      </c>
      <c r="Q14" s="44">
        <f>IF('2021 Lønnsgr arbavg tjeneste'!K14=0,0,'2021 Arbavg tjeneste'!K14/'2021 Lønnsgr arbavg tjeneste'!K14)</f>
        <v>0.13214005531036477</v>
      </c>
      <c r="R14" s="44">
        <f>IF('2021 Lønnsgr arbavg tjeneste'!L14=0,0,'2021 Arbavg tjeneste'!L14/'2021 Lønnsgr arbavg tjeneste'!L14)</f>
        <v>0.13804680878805659</v>
      </c>
      <c r="S14" s="44">
        <f>IF('2021 Lønnsgr arbavg tjeneste'!M14=0,0,'2021 Arbavg tjeneste'!M14/'2021 Lønnsgr arbavg tjeneste'!M14)</f>
        <v>0.12503221372734302</v>
      </c>
      <c r="T14" s="44">
        <f>IF('2021 Lønnsgr arbavg tjeneste'!N14=0,0,'2021 Arbavg tjeneste'!N14/'2021 Lønnsgr arbavg tjeneste'!N14)</f>
        <v>0.13790021314142964</v>
      </c>
      <c r="U14" s="44">
        <f>IF('2021 Lønnsgr arbavg tjeneste'!O14=0,0,'2021 Arbavg tjeneste'!O14/'2021 Lønnsgr arbavg tjeneste'!O14)</f>
        <v>0</v>
      </c>
      <c r="V14" s="44">
        <f>IF('2021 Lønnsgr arbavg tjeneste'!P14=0,0,'2021 Arbavg tjeneste'!P14/'2021 Lønnsgr arbavg tjeneste'!P14)</f>
        <v>0</v>
      </c>
      <c r="W14" s="44">
        <f>IF('2021 Lønnsgr arbavg tjeneste'!Q14=0,0,'2021 Arbavg tjeneste'!Q14/'2021 Lønnsgr arbavg tjeneste'!Q14)</f>
        <v>0</v>
      </c>
      <c r="X14" s="44">
        <f>IF('2021 Lønnsgr arbavg tjeneste'!R14=0,0,'2021 Arbavg tjeneste'!R14/'2021 Lønnsgr arbavg tjeneste'!R14)</f>
        <v>4.923758412130505E-2</v>
      </c>
      <c r="Z14" s="44">
        <f>IF('2021 Lønnsgr pensjon tjeneste'!D14=0,0,'2021 Pensjon tjeneste'!D14/'2021 Lønnsgr pensjon tjeneste'!D14)</f>
        <v>0.11797361986079559</v>
      </c>
      <c r="AA14" s="44">
        <f>IF('2021 Lønnsgr pensjon tjeneste'!E14=0,0,'2021 Pensjon tjeneste'!E14/'2021 Lønnsgr pensjon tjeneste'!E14)</f>
        <v>0.44497492551675644</v>
      </c>
      <c r="AB14" s="44">
        <f>IF('2021 Lønnsgr pensjon tjeneste'!F14=0,0,'2021 Pensjon tjeneste'!F14/'2021 Lønnsgr pensjon tjeneste'!F14)</f>
        <v>0.22112939917034657</v>
      </c>
      <c r="AC14" s="44">
        <f>IF('2021 Lønnsgr pensjon tjeneste'!G14=0,0,'2021 Pensjon tjeneste'!G14/'2021 Lønnsgr pensjon tjeneste'!G14)</f>
        <v>0.15226715686274508</v>
      </c>
      <c r="AD14" s="44">
        <f>IF('2021 Lønnsgr pensjon tjeneste'!H14=0,0,'2021 Pensjon tjeneste'!H14/'2021 Lønnsgr pensjon tjeneste'!H14)</f>
        <v>0.20943392722849954</v>
      </c>
      <c r="AE14" s="44">
        <f>IF('2021 Lønnsgr pensjon tjeneste'!I14=0,0,'2021 Pensjon tjeneste'!I14/'2021 Lønnsgr pensjon tjeneste'!I14)</f>
        <v>0.42110781964539884</v>
      </c>
      <c r="AF14" s="44">
        <f>IF('2021 Lønnsgr pensjon tjeneste'!J14=0,0,'2021 Pensjon tjeneste'!J14/'2021 Lønnsgr pensjon tjeneste'!J14)</f>
        <v>0</v>
      </c>
      <c r="AG14" s="44">
        <f>IF('2021 Lønnsgr pensjon tjeneste'!K14=0,0,'2021 Pensjon tjeneste'!K14/'2021 Lønnsgr pensjon tjeneste'!K14)</f>
        <v>0.58254784050160568</v>
      </c>
      <c r="AH14" s="44">
        <f>IF('2021 Lønnsgr pensjon tjeneste'!L14=0,0,'2021 Pensjon tjeneste'!L14/'2021 Lønnsgr pensjon tjeneste'!L14)</f>
        <v>0.21917100504709294</v>
      </c>
      <c r="AI14" s="44">
        <f>IF('2021 Lønnsgr pensjon tjeneste'!M14=0,0,'2021 Pensjon tjeneste'!M14/'2021 Lønnsgr pensjon tjeneste'!M14)</f>
        <v>0.18074855462014403</v>
      </c>
      <c r="AJ14" s="44">
        <f>IF('2021 Lønnsgr pensjon tjeneste'!N14=0,0,'2021 Pensjon tjeneste'!N14/'2021 Lønnsgr pensjon tjeneste'!N14)</f>
        <v>0.19228877472947864</v>
      </c>
      <c r="AK14" s="44">
        <f>IF('2021 Lønnsgr pensjon tjeneste'!O14=0,0,'2021 Pensjon tjeneste'!O14/'2021 Lønnsgr pensjon tjeneste'!O14)</f>
        <v>0</v>
      </c>
      <c r="AL14" s="44">
        <f>IF('2021 Lønnsgr pensjon tjeneste'!P14=0,0,'2021 Pensjon tjeneste'!P14/'2021 Lønnsgr pensjon tjeneste'!P14)</f>
        <v>0</v>
      </c>
      <c r="AM14" s="44">
        <f>IF('2021 Lønnsgr pensjon tjeneste'!Q14=0,0,'2021 Pensjon tjeneste'!Q14/'2021 Lønnsgr pensjon tjeneste'!Q14)</f>
        <v>0</v>
      </c>
    </row>
    <row r="15" spans="1:39" x14ac:dyDescent="0.3">
      <c r="A15" s="41">
        <v>5400</v>
      </c>
      <c r="B15" s="42" t="s">
        <v>408</v>
      </c>
      <c r="C15" s="1">
        <v>55082.410085030002</v>
      </c>
      <c r="D15" s="3">
        <v>1.0657255152389999</v>
      </c>
      <c r="E15" s="3">
        <v>2.0580994937500003</v>
      </c>
      <c r="F15" s="3">
        <v>1.1223627904319999</v>
      </c>
      <c r="G15" s="3">
        <v>3.4295099211780005</v>
      </c>
      <c r="H15" s="3">
        <v>0.95977925969500011</v>
      </c>
      <c r="I15" s="3"/>
      <c r="J15" s="44">
        <f>IF('2021 Lønnsgr arbavg tjeneste'!D15=0,0,'2021 Arbavg tjeneste'!D15/'2021 Lønnsgr arbavg tjeneste'!D15)</f>
        <v>4.0522579764890355E-2</v>
      </c>
      <c r="K15" s="44">
        <f>IF('2021 Lønnsgr arbavg tjeneste'!E15=0,0,'2021 Arbavg tjeneste'!E15/'2021 Lønnsgr arbavg tjeneste'!E15)</f>
        <v>4.4859084515396476E-2</v>
      </c>
      <c r="L15" s="44">
        <f>IF('2021 Lønnsgr arbavg tjeneste'!F15=0,0,'2021 Arbavg tjeneste'!F15/'2021 Lønnsgr arbavg tjeneste'!F15)</f>
        <v>6.0277825754398086E-2</v>
      </c>
      <c r="M15" s="44">
        <f>IF('2021 Lønnsgr arbavg tjeneste'!G15=0,0,'2021 Arbavg tjeneste'!G15/'2021 Lønnsgr arbavg tjeneste'!G15)</f>
        <v>2.9927319367250963E-2</v>
      </c>
      <c r="N15" s="44">
        <f>IF('2021 Lønnsgr arbavg tjeneste'!H15=0,0,'2021 Arbavg tjeneste'!H15/'2021 Lønnsgr arbavg tjeneste'!H15)</f>
        <v>3.681599936510456E-2</v>
      </c>
      <c r="O15" s="44">
        <f>IF('2021 Lønnsgr arbavg tjeneste'!I15=0,0,'2021 Arbavg tjeneste'!I15/'2021 Lønnsgr arbavg tjeneste'!I15)</f>
        <v>5.1971614381778525E-2</v>
      </c>
      <c r="P15" s="44">
        <f>IF('2021 Lønnsgr arbavg tjeneste'!J15=0,0,'2021 Arbavg tjeneste'!J15/'2021 Lønnsgr arbavg tjeneste'!J15)</f>
        <v>0</v>
      </c>
      <c r="Q15" s="44">
        <f>IF('2021 Lønnsgr arbavg tjeneste'!K15=0,0,'2021 Arbavg tjeneste'!K15/'2021 Lønnsgr arbavg tjeneste'!K15)</f>
        <v>5.1431387674637868E-2</v>
      </c>
      <c r="R15" s="44">
        <f>IF('2021 Lønnsgr arbavg tjeneste'!L15=0,0,'2021 Arbavg tjeneste'!L15/'2021 Lønnsgr arbavg tjeneste'!L15)</f>
        <v>4.6243338733920239E-2</v>
      </c>
      <c r="S15" s="44">
        <f>IF('2021 Lønnsgr arbavg tjeneste'!M15=0,0,'2021 Arbavg tjeneste'!M15/'2021 Lønnsgr arbavg tjeneste'!M15)</f>
        <v>5.4650741947158889E-2</v>
      </c>
      <c r="T15" s="44">
        <f>IF('2021 Lønnsgr arbavg tjeneste'!N15=0,0,'2021 Arbavg tjeneste'!N15/'2021 Lønnsgr arbavg tjeneste'!N15)</f>
        <v>3.5953229537922841E-2</v>
      </c>
      <c r="U15" s="44">
        <f>IF('2021 Lønnsgr arbavg tjeneste'!O15=0,0,'2021 Arbavg tjeneste'!O15/'2021 Lønnsgr arbavg tjeneste'!O15)</f>
        <v>0</v>
      </c>
      <c r="V15" s="44">
        <f>IF('2021 Lønnsgr arbavg tjeneste'!P15=0,0,'2021 Arbavg tjeneste'!P15/'2021 Lønnsgr arbavg tjeneste'!P15)</f>
        <v>7.804416112342942E-2</v>
      </c>
      <c r="W15" s="44">
        <f>IF('2021 Lønnsgr arbavg tjeneste'!Q15=0,0,'2021 Arbavg tjeneste'!Q15/'2021 Lønnsgr arbavg tjeneste'!Q15)</f>
        <v>0</v>
      </c>
      <c r="X15" s="44">
        <f>IF('2021 Lønnsgr arbavg tjeneste'!R15=0,0,'2021 Arbavg tjeneste'!R15/'2021 Lønnsgr arbavg tjeneste'!R15)</f>
        <v>4.9162535566571824E-2</v>
      </c>
      <c r="Z15" s="44">
        <f>IF('2021 Lønnsgr pensjon tjeneste'!D15=0,0,'2021 Pensjon tjeneste'!D15/'2021 Lønnsgr pensjon tjeneste'!D15)</f>
        <v>0.11857107330644018</v>
      </c>
      <c r="AA15" s="44">
        <f>IF('2021 Lønnsgr pensjon tjeneste'!E15=0,0,'2021 Pensjon tjeneste'!E15/'2021 Lønnsgr pensjon tjeneste'!E15)</f>
        <v>0.27230583466298675</v>
      </c>
      <c r="AB15" s="44">
        <f>IF('2021 Lønnsgr pensjon tjeneste'!F15=0,0,'2021 Pensjon tjeneste'!F15/'2021 Lønnsgr pensjon tjeneste'!F15)</f>
        <v>0.31651778463537439</v>
      </c>
      <c r="AC15" s="44">
        <f>IF('2021 Lønnsgr pensjon tjeneste'!G15=0,0,'2021 Pensjon tjeneste'!G15/'2021 Lønnsgr pensjon tjeneste'!G15)</f>
        <v>0.18071680969207471</v>
      </c>
      <c r="AD15" s="44">
        <f>IF('2021 Lønnsgr pensjon tjeneste'!H15=0,0,'2021 Pensjon tjeneste'!H15/'2021 Lønnsgr pensjon tjeneste'!H15)</f>
        <v>0.23327558700609763</v>
      </c>
      <c r="AE15" s="44">
        <f>IF('2021 Lønnsgr pensjon tjeneste'!I15=0,0,'2021 Pensjon tjeneste'!I15/'2021 Lønnsgr pensjon tjeneste'!I15)</f>
        <v>0.27217973964860231</v>
      </c>
      <c r="AF15" s="44">
        <f>IF('2021 Lønnsgr pensjon tjeneste'!J15=0,0,'2021 Pensjon tjeneste'!J15/'2021 Lønnsgr pensjon tjeneste'!J15)</f>
        <v>0</v>
      </c>
      <c r="AG15" s="44">
        <f>IF('2021 Lønnsgr pensjon tjeneste'!K15=0,0,'2021 Pensjon tjeneste'!K15/'2021 Lønnsgr pensjon tjeneste'!K15)</f>
        <v>0.31165786944130591</v>
      </c>
      <c r="AH15" s="44">
        <f>IF('2021 Lønnsgr pensjon tjeneste'!L15=0,0,'2021 Pensjon tjeneste'!L15/'2021 Lønnsgr pensjon tjeneste'!L15)</f>
        <v>0.20606930972784632</v>
      </c>
      <c r="AI15" s="44">
        <f>IF('2021 Lønnsgr pensjon tjeneste'!M15=0,0,'2021 Pensjon tjeneste'!M15/'2021 Lønnsgr pensjon tjeneste'!M15)</f>
        <v>0.22263399524309974</v>
      </c>
      <c r="AJ15" s="44">
        <f>IF('2021 Lønnsgr pensjon tjeneste'!N15=0,0,'2021 Pensjon tjeneste'!N15/'2021 Lønnsgr pensjon tjeneste'!N15)</f>
        <v>0.22617495974852411</v>
      </c>
      <c r="AK15" s="44">
        <f>IF('2021 Lønnsgr pensjon tjeneste'!O15=0,0,'2021 Pensjon tjeneste'!O15/'2021 Lønnsgr pensjon tjeneste'!O15)</f>
        <v>0</v>
      </c>
      <c r="AL15" s="44">
        <f>IF('2021 Lønnsgr pensjon tjeneste'!P15=0,0,'2021 Pensjon tjeneste'!P15/'2021 Lønnsgr pensjon tjeneste'!P15)</f>
        <v>0.22905725721747522</v>
      </c>
      <c r="AM15" s="44">
        <f>IF('2021 Lønnsgr pensjon tjeneste'!Q15=0,0,'2021 Pensjon tjeneste'!Q15/'2021 Lønnsgr pensjon tjeneste'!Q15)</f>
        <v>0</v>
      </c>
    </row>
    <row r="16" spans="1:39" x14ac:dyDescent="0.3">
      <c r="C16" s="4"/>
      <c r="D16" s="4"/>
      <c r="E16" s="4"/>
      <c r="F16" s="4"/>
      <c r="G16" s="4"/>
      <c r="H16" s="4"/>
      <c r="I16" s="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2:39" x14ac:dyDescent="0.3">
      <c r="B17" s="1" t="s">
        <v>3</v>
      </c>
      <c r="C17" s="1">
        <f>SUM(C5:C15)</f>
        <v>9.9971657618880272E-9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44">
        <f>IF('2021 Lønnsgr arbavg tjeneste'!D17=0,0,'2021 Arbavg tjeneste'!D17/'2021 Lønnsgr arbavg tjeneste'!D17)</f>
        <v>0.12564880215488397</v>
      </c>
      <c r="K17" s="44">
        <f>IF('2021 Lønnsgr arbavg tjeneste'!E17=0,0,'2021 Arbavg tjeneste'!E17/'2021 Lønnsgr arbavg tjeneste'!E17)</f>
        <v>0.19733335259405854</v>
      </c>
      <c r="L17" s="44">
        <f>IF('2021 Lønnsgr arbavg tjeneste'!F17=0,0,'2021 Arbavg tjeneste'!F17/'2021 Lønnsgr arbavg tjeneste'!F17)</f>
        <v>0.12867255277285042</v>
      </c>
      <c r="M17" s="44">
        <f>IF('2021 Lønnsgr arbavg tjeneste'!G17=0,0,'2021 Arbavg tjeneste'!G17/'2021 Lønnsgr arbavg tjeneste'!G17)</f>
        <v>0.11420345489443379</v>
      </c>
      <c r="N17" s="44">
        <f>IF('2021 Lønnsgr arbavg tjeneste'!H17=0,0,'2021 Arbavg tjeneste'!H17/'2021 Lønnsgr arbavg tjeneste'!H17)</f>
        <v>0.11599377781042823</v>
      </c>
      <c r="O17" s="44">
        <f>IF('2021 Lønnsgr arbavg tjeneste'!I17=0,0,'2021 Arbavg tjeneste'!I17/'2021 Lønnsgr arbavg tjeneste'!I17)</f>
        <v>0.10424019099714893</v>
      </c>
      <c r="P17" s="44">
        <f>IF('2021 Lønnsgr arbavg tjeneste'!J17=0,0,'2021 Arbavg tjeneste'!J17/'2021 Lønnsgr arbavg tjeneste'!J17)</f>
        <v>0</v>
      </c>
      <c r="Q17" s="44">
        <f>IF('2021 Lønnsgr arbavg tjeneste'!K17=0,0,'2021 Arbavg tjeneste'!K17/'2021 Lønnsgr arbavg tjeneste'!K17)</f>
        <v>9.5700959719477632E-2</v>
      </c>
      <c r="R17" s="44">
        <f>IF('2021 Lønnsgr arbavg tjeneste'!L17=0,0,'2021 Arbavg tjeneste'!L17/'2021 Lønnsgr arbavg tjeneste'!L17)</f>
        <v>0.12668814952066382</v>
      </c>
      <c r="S17" s="44">
        <f>IF('2021 Lønnsgr arbavg tjeneste'!M17=0,0,'2021 Arbavg tjeneste'!M17/'2021 Lønnsgr arbavg tjeneste'!M17)</f>
        <v>0.12288031241204615</v>
      </c>
      <c r="T17" s="44">
        <f>IF('2021 Lønnsgr arbavg tjeneste'!N17=0,0,'2021 Arbavg tjeneste'!N17/'2021 Lønnsgr arbavg tjeneste'!N17)</f>
        <v>0.11600756947995088</v>
      </c>
      <c r="U17" s="44">
        <f>IF('2021 Lønnsgr arbavg tjeneste'!O17=0,0,'2021 Arbavg tjeneste'!O17/'2021 Lønnsgr arbavg tjeneste'!O17)</f>
        <v>0.10617876424715057</v>
      </c>
      <c r="V17" s="44">
        <f>IF('2021 Lønnsgr arbavg tjeneste'!P17=0,0,'2021 Arbavg tjeneste'!P17/'2021 Lønnsgr arbavg tjeneste'!P17)</f>
        <v>9.103754541784416E-2</v>
      </c>
      <c r="W17" s="44">
        <f>IF('2021 Lønnsgr arbavg tjeneste'!Q17=0,0,'2021 Arbavg tjeneste'!Q17/'2021 Lønnsgr arbavg tjeneste'!Q17)</f>
        <v>0</v>
      </c>
      <c r="X17" s="44">
        <f>IF('2021 Lønnsgr arbavg tjeneste'!R17=0,0,'2021 Arbavg tjeneste'!R17/'2021 Lønnsgr arbavg tjeneste'!R17)</f>
        <v>9.2570484733039943E-2</v>
      </c>
      <c r="Z17" s="44">
        <f>IF('2021 Lønnsgr pensjon tjeneste'!D17=0,0,'2021 Pensjon tjeneste'!D17/'2021 Lønnsgr pensjon tjeneste'!D17)</f>
        <v>0.11467701463930151</v>
      </c>
      <c r="AA17" s="44">
        <f>IF('2021 Lønnsgr pensjon tjeneste'!E17=0,0,'2021 Pensjon tjeneste'!E17/'2021 Lønnsgr pensjon tjeneste'!E17)</f>
        <v>0.30754774002228813</v>
      </c>
      <c r="AB17" s="44">
        <f>IF('2021 Lønnsgr pensjon tjeneste'!F17=0,0,'2021 Pensjon tjeneste'!F17/'2021 Lønnsgr pensjon tjeneste'!F17)</f>
        <v>0.2075880430836258</v>
      </c>
      <c r="AC17" s="44">
        <f>IF('2021 Lønnsgr pensjon tjeneste'!G17=0,0,'2021 Pensjon tjeneste'!G17/'2021 Lønnsgr pensjon tjeneste'!G17)</f>
        <v>0.16783412720650043</v>
      </c>
      <c r="AD17" s="44">
        <f>IF('2021 Lønnsgr pensjon tjeneste'!H17=0,0,'2021 Pensjon tjeneste'!H17/'2021 Lønnsgr pensjon tjeneste'!H17)</f>
        <v>0.21012947409225999</v>
      </c>
      <c r="AE17" s="44">
        <f>IF('2021 Lønnsgr pensjon tjeneste'!I17=0,0,'2021 Pensjon tjeneste'!I17/'2021 Lønnsgr pensjon tjeneste'!I17)</f>
        <v>0.29087483037600703</v>
      </c>
      <c r="AF17" s="44">
        <f>IF('2021 Lønnsgr pensjon tjeneste'!J17=0,0,'2021 Pensjon tjeneste'!J17/'2021 Lønnsgr pensjon tjeneste'!J17)</f>
        <v>0</v>
      </c>
      <c r="AG17" s="44">
        <f>IF('2021 Lønnsgr pensjon tjeneste'!K17=0,0,'2021 Pensjon tjeneste'!K17/'2021 Lønnsgr pensjon tjeneste'!K17)</f>
        <v>0.34663665836079627</v>
      </c>
      <c r="AH17" s="44">
        <f>IF('2021 Lønnsgr pensjon tjeneste'!L17=0,0,'2021 Pensjon tjeneste'!L17/'2021 Lønnsgr pensjon tjeneste'!L17)</f>
        <v>0.19886497533310926</v>
      </c>
      <c r="AI17" s="44">
        <f>IF('2021 Lønnsgr pensjon tjeneste'!M17=0,0,'2021 Pensjon tjeneste'!M17/'2021 Lønnsgr pensjon tjeneste'!M17)</f>
        <v>0.18196939454424485</v>
      </c>
      <c r="AJ17" s="44">
        <f>IF('2021 Lønnsgr pensjon tjeneste'!N17=0,0,'2021 Pensjon tjeneste'!N17/'2021 Lønnsgr pensjon tjeneste'!N17)</f>
        <v>0.18002739298531528</v>
      </c>
      <c r="AK17" s="44">
        <f>IF('2021 Lønnsgr pensjon tjeneste'!O17=0,0,'2021 Pensjon tjeneste'!O17/'2021 Lønnsgr pensjon tjeneste'!O17)</f>
        <v>0.16573426573426572</v>
      </c>
      <c r="AL17" s="44">
        <f>IF('2021 Lønnsgr pensjon tjeneste'!P17=0,0,'2021 Pensjon tjeneste'!P17/'2021 Lønnsgr pensjon tjeneste'!P17)</f>
        <v>0.21657401826178196</v>
      </c>
      <c r="AM17" s="44">
        <f>IF('2021 Lønnsgr pensjon tjeneste'!Q17=0,0,'2021 Pensjon tjeneste'!Q17/'2021 Lønnsgr pensjon tjeneste'!Q17)</f>
        <v>0</v>
      </c>
    </row>
    <row r="18" spans="2:39" x14ac:dyDescent="0.3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2:39" x14ac:dyDescent="0.3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2:39" x14ac:dyDescent="0.3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2:39" x14ac:dyDescent="0.3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</sheetData>
  <sheetProtection algorithmName="SHA-512" hashValue="Y90Ab8xZQlwXV1HOgHeHQGRpeW/u38VesgtNc7TXYW2wqi6amZ83M0i/Lug5yPvw6VbjpdrtbqErUWpBAzHhRw==" saltValue="vTQopt1Dfe+2O/Ol7Ja8/Q==" spinCount="100000" sheet="1" objects="1" scenarios="1" selectLockedCells="1" selectUnlockedCells="1"/>
  <mergeCells count="3">
    <mergeCell ref="D1:H1"/>
    <mergeCell ref="J1:X1"/>
    <mergeCell ref="Z1:AM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3289-FC64-4E1A-9CB3-C0FC26383770}">
  <sheetPr>
    <tabColor rgb="FF92D050"/>
  </sheetPr>
  <dimension ref="A1:Y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7.109375" customWidth="1"/>
    <col min="20" max="21" width="13.109375" customWidth="1"/>
    <col min="24" max="24" width="14" customWidth="1"/>
    <col min="25" max="25" width="14.109375" customWidth="1"/>
  </cols>
  <sheetData>
    <row r="1" spans="1:25" x14ac:dyDescent="0.3">
      <c r="D1" s="5"/>
      <c r="E1" s="5"/>
      <c r="F1" s="5"/>
      <c r="G1" s="5"/>
      <c r="H1" s="5"/>
      <c r="J1" s="5"/>
      <c r="K1" s="5"/>
      <c r="L1" s="5"/>
      <c r="M1" s="5"/>
    </row>
    <row r="2" spans="1:25" ht="104.25" customHeight="1" x14ac:dyDescent="0.3">
      <c r="A2" s="22" t="s">
        <v>2</v>
      </c>
      <c r="B2" s="22" t="s">
        <v>1</v>
      </c>
      <c r="C2" s="22" t="s">
        <v>107</v>
      </c>
      <c r="D2" s="22" t="s">
        <v>247</v>
      </c>
      <c r="E2" s="22" t="s">
        <v>248</v>
      </c>
      <c r="F2" s="22" t="s">
        <v>304</v>
      </c>
      <c r="G2" s="22" t="s">
        <v>305</v>
      </c>
      <c r="H2" s="22" t="s">
        <v>249</v>
      </c>
      <c r="I2" s="11" t="s">
        <v>250</v>
      </c>
      <c r="J2" s="22" t="s">
        <v>251</v>
      </c>
      <c r="K2" s="22" t="s">
        <v>252</v>
      </c>
      <c r="L2" s="22" t="s">
        <v>253</v>
      </c>
      <c r="M2" s="22" t="s">
        <v>254</v>
      </c>
      <c r="N2" s="22" t="s">
        <v>255</v>
      </c>
      <c r="O2" s="22" t="s">
        <v>256</v>
      </c>
      <c r="P2" s="22" t="s">
        <v>257</v>
      </c>
      <c r="Q2" s="22" t="s">
        <v>258</v>
      </c>
      <c r="R2" s="22" t="s">
        <v>106</v>
      </c>
      <c r="S2" s="22"/>
      <c r="T2" s="22" t="s">
        <v>409</v>
      </c>
      <c r="U2" s="22" t="s">
        <v>389</v>
      </c>
      <c r="V2" s="22"/>
      <c r="W2" s="22"/>
      <c r="X2" s="22"/>
      <c r="Y2" s="22"/>
    </row>
    <row r="3" spans="1:25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</row>
    <row r="4" spans="1:25" x14ac:dyDescent="0.3">
      <c r="C4" s="5"/>
      <c r="I4" s="19"/>
    </row>
    <row r="5" spans="1:25" x14ac:dyDescent="0.3">
      <c r="A5" s="41">
        <v>300</v>
      </c>
      <c r="B5" s="42" t="s">
        <v>0</v>
      </c>
      <c r="C5" s="1">
        <f t="shared" ref="C5:C15" si="1">SUM(D5:I5)+R5</f>
        <v>7404543.9339376697</v>
      </c>
      <c r="D5" s="1">
        <v>3936911</v>
      </c>
      <c r="E5" s="1">
        <v>0</v>
      </c>
      <c r="F5" s="1">
        <v>3230607</v>
      </c>
      <c r="G5" s="1">
        <v>26853</v>
      </c>
      <c r="H5" s="1">
        <v>247620</v>
      </c>
      <c r="I5" s="9">
        <f t="shared" ref="I5:I15" si="2">SUM(J5:Q5)</f>
        <v>287967</v>
      </c>
      <c r="J5" s="1"/>
      <c r="K5" s="1">
        <v>115692</v>
      </c>
      <c r="L5" s="1">
        <v>0</v>
      </c>
      <c r="M5" s="1">
        <v>61504</v>
      </c>
      <c r="N5" s="1">
        <v>110771</v>
      </c>
      <c r="O5" s="1">
        <v>0</v>
      </c>
      <c r="P5" s="1">
        <v>0</v>
      </c>
      <c r="Q5" s="1"/>
      <c r="R5" s="117">
        <v>-325414.06606233004</v>
      </c>
      <c r="S5" s="1"/>
      <c r="T5" s="1">
        <f>+'2021 Nto driftsutg'!V5</f>
        <v>696108</v>
      </c>
      <c r="U5" s="1">
        <f>+'2021 Nto driftsutg'!W5</f>
        <v>696108</v>
      </c>
      <c r="W5" s="5"/>
      <c r="X5" s="1"/>
      <c r="Y5" s="1"/>
    </row>
    <row r="6" spans="1:25" x14ac:dyDescent="0.3">
      <c r="A6" s="41">
        <v>1100</v>
      </c>
      <c r="B6" s="42" t="s">
        <v>139</v>
      </c>
      <c r="C6" s="1">
        <f t="shared" si="1"/>
        <v>8091420</v>
      </c>
      <c r="D6" s="1">
        <v>3841598</v>
      </c>
      <c r="E6" s="1">
        <v>1012530</v>
      </c>
      <c r="F6" s="1">
        <v>1223427</v>
      </c>
      <c r="G6" s="1">
        <v>478365</v>
      </c>
      <c r="H6" s="1">
        <v>396420</v>
      </c>
      <c r="I6" s="9">
        <f t="shared" si="2"/>
        <v>1201680</v>
      </c>
      <c r="J6" s="1"/>
      <c r="K6" s="1">
        <v>312385</v>
      </c>
      <c r="L6" s="1">
        <v>121714</v>
      </c>
      <c r="M6" s="1">
        <v>229875</v>
      </c>
      <c r="N6" s="1">
        <v>343353</v>
      </c>
      <c r="O6" s="1">
        <v>0</v>
      </c>
      <c r="P6" s="1">
        <v>194353</v>
      </c>
      <c r="Q6" s="1"/>
      <c r="R6" s="1">
        <v>-62600</v>
      </c>
      <c r="S6" s="1"/>
      <c r="T6" s="1">
        <f>+'2021 Nto driftsutg'!V6</f>
        <v>484091</v>
      </c>
      <c r="U6" s="1">
        <f>+'2021 Nto driftsutg'!W6</f>
        <v>484091</v>
      </c>
      <c r="X6" s="1"/>
      <c r="Y6" s="1"/>
    </row>
    <row r="7" spans="1:25" x14ac:dyDescent="0.3">
      <c r="A7" s="41">
        <v>1500</v>
      </c>
      <c r="B7" s="42" t="s">
        <v>140</v>
      </c>
      <c r="C7" s="1">
        <f t="shared" si="1"/>
        <v>6134691</v>
      </c>
      <c r="D7" s="1">
        <v>2128189</v>
      </c>
      <c r="E7" s="1">
        <v>1051596</v>
      </c>
      <c r="F7" s="1">
        <v>839900</v>
      </c>
      <c r="G7" s="1">
        <v>1209969</v>
      </c>
      <c r="H7" s="1">
        <v>190619</v>
      </c>
      <c r="I7" s="9">
        <f t="shared" si="2"/>
        <v>779442</v>
      </c>
      <c r="J7" s="1"/>
      <c r="K7" s="1">
        <v>247923</v>
      </c>
      <c r="L7" s="1">
        <v>170974</v>
      </c>
      <c r="M7" s="1">
        <v>131371</v>
      </c>
      <c r="N7" s="1">
        <v>225198</v>
      </c>
      <c r="O7" s="1">
        <v>1672</v>
      </c>
      <c r="P7" s="1">
        <v>2304</v>
      </c>
      <c r="Q7" s="1"/>
      <c r="R7" s="1">
        <v>-65024</v>
      </c>
      <c r="S7" s="1"/>
      <c r="T7" s="1">
        <f>+'2021 Nto driftsutg'!V7</f>
        <v>265297</v>
      </c>
      <c r="U7" s="1">
        <f>+'2021 Nto driftsutg'!W7</f>
        <v>265297</v>
      </c>
      <c r="X7" s="1"/>
      <c r="Y7" s="1"/>
    </row>
    <row r="8" spans="1:25" x14ac:dyDescent="0.3">
      <c r="A8" s="41">
        <v>1800</v>
      </c>
      <c r="B8" s="42" t="s">
        <v>141</v>
      </c>
      <c r="C8" s="1">
        <f t="shared" si="1"/>
        <v>6652757</v>
      </c>
      <c r="D8" s="1">
        <v>2398504</v>
      </c>
      <c r="E8" s="1">
        <v>1022767</v>
      </c>
      <c r="F8" s="1">
        <v>596868</v>
      </c>
      <c r="G8" s="1">
        <v>1243752</v>
      </c>
      <c r="H8" s="1">
        <v>310984</v>
      </c>
      <c r="I8" s="9">
        <f t="shared" si="2"/>
        <v>1136486</v>
      </c>
      <c r="J8" s="1"/>
      <c r="K8" s="1">
        <v>304543</v>
      </c>
      <c r="L8" s="1">
        <v>188119</v>
      </c>
      <c r="M8" s="1">
        <v>325031</v>
      </c>
      <c r="N8" s="1">
        <v>303216</v>
      </c>
      <c r="O8" s="1">
        <v>15186</v>
      </c>
      <c r="P8" s="1">
        <v>391</v>
      </c>
      <c r="Q8" s="1"/>
      <c r="R8" s="1">
        <v>-56604</v>
      </c>
      <c r="S8" s="1"/>
      <c r="T8" s="1">
        <f>+'2021 Nto driftsutg'!V8</f>
        <v>240496</v>
      </c>
      <c r="U8" s="1">
        <f>+'2021 Nto driftsutg'!W8</f>
        <v>240496</v>
      </c>
      <c r="X8" s="1"/>
      <c r="Y8" s="1"/>
    </row>
    <row r="9" spans="1:25" x14ac:dyDescent="0.3">
      <c r="A9" s="41">
        <v>3000</v>
      </c>
      <c r="B9" s="42" t="s">
        <v>403</v>
      </c>
      <c r="C9" s="1">
        <f t="shared" si="1"/>
        <v>18651887</v>
      </c>
      <c r="D9" s="1">
        <v>9240455</v>
      </c>
      <c r="E9" s="1">
        <v>2094690</v>
      </c>
      <c r="F9" s="1">
        <v>4294877</v>
      </c>
      <c r="G9" s="1">
        <v>48946</v>
      </c>
      <c r="H9" s="1">
        <v>622319</v>
      </c>
      <c r="I9" s="9">
        <f t="shared" si="2"/>
        <v>2508430</v>
      </c>
      <c r="J9" s="1"/>
      <c r="K9" s="1">
        <v>1124707</v>
      </c>
      <c r="L9" s="1">
        <v>396387</v>
      </c>
      <c r="M9" s="1">
        <v>261928</v>
      </c>
      <c r="N9" s="1">
        <v>722459</v>
      </c>
      <c r="O9" s="1">
        <v>0</v>
      </c>
      <c r="P9" s="1">
        <v>2949</v>
      </c>
      <c r="Q9" s="1"/>
      <c r="R9" s="1">
        <v>-157830</v>
      </c>
      <c r="S9" s="1"/>
      <c r="T9" s="1">
        <f>+'2021 Nto driftsutg'!V9</f>
        <v>1260731</v>
      </c>
      <c r="U9" s="1">
        <f>+'2021 Nto driftsutg'!W9</f>
        <v>1260731</v>
      </c>
      <c r="X9" s="1"/>
      <c r="Y9" s="1"/>
    </row>
    <row r="10" spans="1:25" x14ac:dyDescent="0.3">
      <c r="A10" s="41">
        <v>3400</v>
      </c>
      <c r="B10" s="42" t="s">
        <v>404</v>
      </c>
      <c r="C10" s="1">
        <f t="shared" si="1"/>
        <v>6768707</v>
      </c>
      <c r="D10" s="1">
        <v>3137550</v>
      </c>
      <c r="E10" s="1">
        <v>1108643</v>
      </c>
      <c r="F10" s="1">
        <v>1095766</v>
      </c>
      <c r="G10" s="1">
        <v>12155</v>
      </c>
      <c r="H10" s="1">
        <v>275692</v>
      </c>
      <c r="I10" s="9">
        <f t="shared" si="2"/>
        <v>1178885</v>
      </c>
      <c r="J10" s="1"/>
      <c r="K10" s="1">
        <v>410459</v>
      </c>
      <c r="L10" s="1">
        <v>246740</v>
      </c>
      <c r="M10" s="1">
        <v>202393</v>
      </c>
      <c r="N10" s="1">
        <v>319293</v>
      </c>
      <c r="O10" s="1">
        <v>0</v>
      </c>
      <c r="P10" s="1">
        <v>0</v>
      </c>
      <c r="Q10" s="1"/>
      <c r="R10" s="1">
        <v>-39984</v>
      </c>
      <c r="S10" s="1"/>
      <c r="T10" s="1">
        <f>+'2021 Nto driftsutg'!V10</f>
        <v>370701</v>
      </c>
      <c r="U10" s="1">
        <f>+'2021 Nto driftsutg'!W10</f>
        <v>370701</v>
      </c>
      <c r="X10" s="1"/>
      <c r="Y10" s="1"/>
    </row>
    <row r="11" spans="1:25" x14ac:dyDescent="0.3">
      <c r="A11" s="41">
        <v>3800</v>
      </c>
      <c r="B11" s="42" t="s">
        <v>405</v>
      </c>
      <c r="C11" s="1">
        <f t="shared" si="1"/>
        <v>6622687</v>
      </c>
      <c r="D11" s="1">
        <v>3275899</v>
      </c>
      <c r="E11" s="1">
        <v>928650</v>
      </c>
      <c r="F11" s="1">
        <v>905731</v>
      </c>
      <c r="G11" s="1">
        <v>28001</v>
      </c>
      <c r="H11" s="1">
        <v>273020</v>
      </c>
      <c r="I11" s="9">
        <f t="shared" si="2"/>
        <v>1268769</v>
      </c>
      <c r="J11" s="1"/>
      <c r="K11" s="1">
        <v>400478</v>
      </c>
      <c r="L11" s="1">
        <v>271422</v>
      </c>
      <c r="M11" s="1">
        <v>271215</v>
      </c>
      <c r="N11" s="1">
        <v>319829</v>
      </c>
      <c r="O11" s="1">
        <v>3889</v>
      </c>
      <c r="P11" s="1">
        <v>1936</v>
      </c>
      <c r="Q11" s="1"/>
      <c r="R11" s="1">
        <v>-57383</v>
      </c>
      <c r="S11" s="1"/>
      <c r="T11" s="1">
        <f>+'2021 Nto driftsutg'!V11</f>
        <v>423144</v>
      </c>
      <c r="U11" s="1">
        <f>+'2021 Nto driftsutg'!W11</f>
        <v>423144</v>
      </c>
      <c r="X11" s="1"/>
      <c r="Y11" s="1"/>
    </row>
    <row r="12" spans="1:25" x14ac:dyDescent="0.3">
      <c r="A12" s="41">
        <v>4200</v>
      </c>
      <c r="B12" s="42" t="s">
        <v>406</v>
      </c>
      <c r="C12" s="1">
        <f t="shared" si="1"/>
        <v>5273209</v>
      </c>
      <c r="D12" s="1">
        <v>2738289</v>
      </c>
      <c r="E12" s="1">
        <v>899683</v>
      </c>
      <c r="F12" s="1">
        <v>573132</v>
      </c>
      <c r="G12" s="1">
        <v>45437</v>
      </c>
      <c r="H12" s="1">
        <v>208885</v>
      </c>
      <c r="I12" s="9">
        <f t="shared" si="2"/>
        <v>887356</v>
      </c>
      <c r="J12" s="1"/>
      <c r="K12" s="1">
        <v>301762</v>
      </c>
      <c r="L12" s="1">
        <v>245341</v>
      </c>
      <c r="M12" s="1">
        <v>87896</v>
      </c>
      <c r="N12" s="1">
        <v>252107</v>
      </c>
      <c r="O12" s="1">
        <v>0</v>
      </c>
      <c r="P12" s="1">
        <v>250</v>
      </c>
      <c r="Q12" s="1"/>
      <c r="R12" s="1">
        <v>-79573</v>
      </c>
      <c r="S12" s="1"/>
      <c r="T12" s="1">
        <f>+'2021 Nto driftsutg'!V12</f>
        <v>309508</v>
      </c>
      <c r="U12" s="1">
        <f>+'2021 Nto driftsutg'!W12</f>
        <v>309508</v>
      </c>
      <c r="X12" s="1"/>
      <c r="Y12" s="1"/>
    </row>
    <row r="13" spans="1:25" x14ac:dyDescent="0.3">
      <c r="A13" s="41">
        <v>4600</v>
      </c>
      <c r="B13" s="42" t="s">
        <v>407</v>
      </c>
      <c r="C13" s="1">
        <f t="shared" si="1"/>
        <v>13791219</v>
      </c>
      <c r="D13" s="1">
        <v>4899905</v>
      </c>
      <c r="E13" s="1">
        <v>1933739</v>
      </c>
      <c r="F13" s="1">
        <v>3068871</v>
      </c>
      <c r="G13" s="1">
        <v>1401483</v>
      </c>
      <c r="H13" s="1">
        <v>447163</v>
      </c>
      <c r="I13" s="9">
        <f t="shared" si="2"/>
        <v>1984827</v>
      </c>
      <c r="J13" s="1"/>
      <c r="K13" s="1">
        <v>611570</v>
      </c>
      <c r="L13" s="1">
        <v>322401</v>
      </c>
      <c r="M13" s="1">
        <v>490172</v>
      </c>
      <c r="N13" s="1">
        <v>558992</v>
      </c>
      <c r="O13" s="1">
        <v>0</v>
      </c>
      <c r="P13" s="1">
        <v>1692</v>
      </c>
      <c r="Q13" s="1"/>
      <c r="R13" s="1">
        <v>55231</v>
      </c>
      <c r="S13" s="1"/>
      <c r="T13" s="1">
        <f>+'2021 Nto driftsutg'!V13</f>
        <v>639102</v>
      </c>
      <c r="U13" s="1">
        <f>+'2021 Nto driftsutg'!W13</f>
        <v>639102</v>
      </c>
      <c r="X13" s="1"/>
      <c r="Y13" s="1"/>
    </row>
    <row r="14" spans="1:25" x14ac:dyDescent="0.3">
      <c r="A14" s="41">
        <v>5000</v>
      </c>
      <c r="B14" s="42" t="s">
        <v>388</v>
      </c>
      <c r="C14" s="1">
        <f t="shared" si="1"/>
        <v>8970739</v>
      </c>
      <c r="D14" s="1">
        <v>3920326</v>
      </c>
      <c r="E14" s="1">
        <v>1485445</v>
      </c>
      <c r="F14" s="1">
        <v>1357034</v>
      </c>
      <c r="G14" s="1">
        <v>420602</v>
      </c>
      <c r="H14" s="1">
        <v>428834</v>
      </c>
      <c r="I14" s="9">
        <f t="shared" si="2"/>
        <v>1432400</v>
      </c>
      <c r="J14" s="1"/>
      <c r="K14" s="1">
        <v>443356</v>
      </c>
      <c r="L14" s="1">
        <v>242507</v>
      </c>
      <c r="M14" s="1">
        <v>262056</v>
      </c>
      <c r="N14" s="1">
        <v>484481</v>
      </c>
      <c r="O14" s="1">
        <v>0</v>
      </c>
      <c r="P14" s="1">
        <v>0</v>
      </c>
      <c r="Q14" s="1"/>
      <c r="R14" s="1">
        <v>-73902</v>
      </c>
      <c r="S14" s="1"/>
      <c r="T14" s="1">
        <f>+'2021 Nto driftsutg'!V14</f>
        <v>470984</v>
      </c>
      <c r="U14" s="1">
        <f>+'2021 Nto driftsutg'!W14</f>
        <v>470984</v>
      </c>
      <c r="X14" s="1"/>
      <c r="Y14" s="1"/>
    </row>
    <row r="15" spans="1:25" x14ac:dyDescent="0.3">
      <c r="A15" s="41">
        <v>5400</v>
      </c>
      <c r="B15" s="42" t="s">
        <v>408</v>
      </c>
      <c r="C15" s="1">
        <f t="shared" si="1"/>
        <v>6963951</v>
      </c>
      <c r="D15" s="1">
        <v>2307196</v>
      </c>
      <c r="E15" s="1">
        <v>1165117</v>
      </c>
      <c r="F15" s="1">
        <v>1170451</v>
      </c>
      <c r="G15" s="1">
        <v>736680</v>
      </c>
      <c r="H15" s="1">
        <v>388190</v>
      </c>
      <c r="I15" s="9">
        <f t="shared" si="2"/>
        <v>1267814</v>
      </c>
      <c r="J15" s="1"/>
      <c r="K15" s="1">
        <v>400337</v>
      </c>
      <c r="L15" s="1">
        <v>222409</v>
      </c>
      <c r="M15" s="1">
        <v>236123</v>
      </c>
      <c r="N15" s="1">
        <v>340544</v>
      </c>
      <c r="O15" s="1">
        <v>0</v>
      </c>
      <c r="P15" s="1">
        <v>68401</v>
      </c>
      <c r="Q15" s="1"/>
      <c r="R15" s="1">
        <v>-71497</v>
      </c>
      <c r="S15" s="1"/>
      <c r="T15" s="1">
        <f>+'2021 Nto driftsutg'!V15</f>
        <v>241663</v>
      </c>
      <c r="U15" s="1">
        <f>+'2021 Nto driftsutg'!W15</f>
        <v>241663</v>
      </c>
      <c r="X15" s="1"/>
      <c r="Y15" s="1"/>
    </row>
    <row r="16" spans="1:25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</row>
    <row r="17" spans="2:25" x14ac:dyDescent="0.3">
      <c r="B17" s="1" t="s">
        <v>3</v>
      </c>
      <c r="C17" s="1">
        <f t="shared" ref="C17:R17" si="3">SUM(C5:C15)</f>
        <v>95325810.933937669</v>
      </c>
      <c r="D17" s="1">
        <f t="shared" si="3"/>
        <v>41824822</v>
      </c>
      <c r="E17" s="1">
        <f t="shared" si="3"/>
        <v>12702860</v>
      </c>
      <c r="F17" s="1">
        <f t="shared" si="3"/>
        <v>18356664</v>
      </c>
      <c r="G17" s="1">
        <f t="shared" si="3"/>
        <v>5652243</v>
      </c>
      <c r="H17" s="1">
        <f t="shared" si="3"/>
        <v>3789746</v>
      </c>
      <c r="I17" s="9">
        <f t="shared" si="3"/>
        <v>13934056</v>
      </c>
      <c r="J17" s="1">
        <f t="shared" si="3"/>
        <v>0</v>
      </c>
      <c r="K17" s="1">
        <f t="shared" si="3"/>
        <v>4673212</v>
      </c>
      <c r="L17" s="1">
        <f t="shared" si="3"/>
        <v>2428014</v>
      </c>
      <c r="M17" s="1">
        <f t="shared" si="3"/>
        <v>2559564</v>
      </c>
      <c r="N17" s="1">
        <f t="shared" si="3"/>
        <v>3980243</v>
      </c>
      <c r="O17" s="1">
        <f t="shared" si="3"/>
        <v>20747</v>
      </c>
      <c r="P17" s="1">
        <f t="shared" si="3"/>
        <v>272276</v>
      </c>
      <c r="Q17" s="1">
        <f t="shared" si="3"/>
        <v>0</v>
      </c>
      <c r="R17" s="1">
        <f t="shared" si="3"/>
        <v>-934580.06606233004</v>
      </c>
      <c r="S17" s="1"/>
      <c r="T17" s="1">
        <f>SUM(T5:T15)</f>
        <v>5401825</v>
      </c>
      <c r="U17" s="1">
        <f>SUM(U5:U15)</f>
        <v>5401825</v>
      </c>
      <c r="X17" s="1">
        <f>SUM(X5:X15)</f>
        <v>0</v>
      </c>
      <c r="Y17" s="1">
        <f>SUM(Y5:Y15)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18F4-993B-496F-9EF7-5AE3FE5A738D}">
  <sheetPr>
    <tabColor rgb="FFFFC000"/>
  </sheetPr>
  <dimension ref="A1:U18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6.44140625" customWidth="1"/>
    <col min="20" max="20" width="13.5546875" customWidth="1"/>
    <col min="21" max="21" width="13.88671875" customWidth="1"/>
  </cols>
  <sheetData>
    <row r="1" spans="1:21" x14ac:dyDescent="0.3">
      <c r="I1" s="5"/>
    </row>
    <row r="2" spans="1:21" ht="104.25" customHeight="1" x14ac:dyDescent="0.3">
      <c r="A2" s="22" t="s">
        <v>2</v>
      </c>
      <c r="B2" s="22" t="s">
        <v>1</v>
      </c>
      <c r="C2" s="22" t="s">
        <v>274</v>
      </c>
      <c r="D2" s="22" t="s">
        <v>259</v>
      </c>
      <c r="E2" s="22" t="s">
        <v>260</v>
      </c>
      <c r="F2" s="22" t="s">
        <v>306</v>
      </c>
      <c r="G2" s="22" t="s">
        <v>307</v>
      </c>
      <c r="H2" s="22" t="s">
        <v>261</v>
      </c>
      <c r="I2" s="11" t="s">
        <v>108</v>
      </c>
      <c r="J2" s="22" t="s">
        <v>109</v>
      </c>
      <c r="K2" s="22" t="s">
        <v>262</v>
      </c>
      <c r="L2" s="22" t="s">
        <v>263</v>
      </c>
      <c r="M2" s="22" t="s">
        <v>110</v>
      </c>
      <c r="N2" s="22" t="s">
        <v>264</v>
      </c>
      <c r="O2" s="22" t="s">
        <v>111</v>
      </c>
      <c r="P2" s="22" t="s">
        <v>112</v>
      </c>
      <c r="Q2" s="22" t="s">
        <v>265</v>
      </c>
      <c r="R2" s="22" t="s">
        <v>113</v>
      </c>
      <c r="S2" s="22"/>
      <c r="T2" s="22"/>
      <c r="U2" s="22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19"/>
    </row>
    <row r="5" spans="1:21" x14ac:dyDescent="0.3">
      <c r="A5" s="41">
        <v>300</v>
      </c>
      <c r="B5" s="42" t="s">
        <v>0</v>
      </c>
      <c r="C5" s="1">
        <f t="shared" ref="C5:C15" si="1">SUM(D5:I5)+R5</f>
        <v>7167037.9339376697</v>
      </c>
      <c r="D5" s="1">
        <f>+'2021 Bto driftsutg'!D5-'2021 Avskrivning'!D5</f>
        <v>3708037</v>
      </c>
      <c r="E5" s="1">
        <f>+'2021 Bto driftsutg'!E5-'2021 Avskrivning'!E5</f>
        <v>0</v>
      </c>
      <c r="F5" s="1">
        <f>+'2021 Bto driftsutg'!F5-'2021 Avskrivning'!F5</f>
        <v>3228884</v>
      </c>
      <c r="G5" s="1">
        <f>+'2021 Bto driftsutg'!G5-'2021 Avskrivning'!G5</f>
        <v>26853</v>
      </c>
      <c r="H5" s="1">
        <f>+'2021 Bto driftsutg'!H5-'2021 Avskrivning'!H5</f>
        <v>242594</v>
      </c>
      <c r="I5" s="9">
        <f>+'2021 Bto driftsutg'!I5-'2021 Avskrivning'!I5</f>
        <v>286084</v>
      </c>
      <c r="J5" s="1">
        <f>+'2021 Bto driftsutg'!J5-'2021 Avskrivning'!J5</f>
        <v>0</v>
      </c>
      <c r="K5" s="1">
        <f>+'2021 Bto driftsutg'!K5-'2021 Avskrivning'!K5</f>
        <v>113809</v>
      </c>
      <c r="L5" s="1">
        <f>+'2021 Bto driftsutg'!L5-'2021 Avskrivning'!L5</f>
        <v>0</v>
      </c>
      <c r="M5" s="1">
        <f>+'2021 Bto driftsutg'!M5-'2021 Avskrivning'!M5</f>
        <v>61504</v>
      </c>
      <c r="N5" s="1">
        <f>+'2021 Bto driftsutg'!N5-'2021 Avskrivning'!N5</f>
        <v>110771</v>
      </c>
      <c r="O5" s="1">
        <f>+'2021 Bto driftsutg'!O5-'2021 Avskrivning'!O5</f>
        <v>0</v>
      </c>
      <c r="P5" s="1">
        <f>+'2021 Bto driftsutg'!P5-'2021 Avskrivning'!P5</f>
        <v>0</v>
      </c>
      <c r="Q5" s="1">
        <f>+'2021 Bto driftsutg'!Q5-'2021 Avskrivning'!Q5</f>
        <v>0</v>
      </c>
      <c r="R5" s="1">
        <f>+'2021 Bto driftsutg'!R5-'2021 Avskrivning'!R5</f>
        <v>-325414.06606233004</v>
      </c>
      <c r="S5" s="1"/>
      <c r="T5" s="1"/>
      <c r="U5" s="1"/>
    </row>
    <row r="6" spans="1:21" x14ac:dyDescent="0.3">
      <c r="A6" s="41">
        <v>1100</v>
      </c>
      <c r="B6" s="42" t="s">
        <v>139</v>
      </c>
      <c r="C6" s="1">
        <f t="shared" si="1"/>
        <v>7480456</v>
      </c>
      <c r="D6" s="1">
        <f>+'2021 Bto driftsutg'!D6-'2021 Avskrivning'!D6</f>
        <v>3623496</v>
      </c>
      <c r="E6" s="1">
        <f>+'2021 Bto driftsutg'!E6-'2021 Avskrivning'!E6</f>
        <v>667741</v>
      </c>
      <c r="F6" s="1">
        <f>+'2021 Bto driftsutg'!F6-'2021 Avskrivning'!F6</f>
        <v>1223427</v>
      </c>
      <c r="G6" s="1">
        <f>+'2021 Bto driftsutg'!G6-'2021 Avskrivning'!G6</f>
        <v>478365</v>
      </c>
      <c r="H6" s="1">
        <f>+'2021 Bto driftsutg'!H6-'2021 Avskrivning'!H6</f>
        <v>378747</v>
      </c>
      <c r="I6" s="9">
        <f>+'2021 Bto driftsutg'!I6-'2021 Avskrivning'!I6</f>
        <v>1171280</v>
      </c>
      <c r="J6" s="1">
        <f>+'2021 Bto driftsutg'!J6-'2021 Avskrivning'!J6</f>
        <v>0</v>
      </c>
      <c r="K6" s="1">
        <f>+'2021 Bto driftsutg'!K6-'2021 Avskrivning'!K6</f>
        <v>282021</v>
      </c>
      <c r="L6" s="1">
        <f>+'2021 Bto driftsutg'!L6-'2021 Avskrivning'!L6</f>
        <v>121678</v>
      </c>
      <c r="M6" s="1">
        <f>+'2021 Bto driftsutg'!M6-'2021 Avskrivning'!M6</f>
        <v>229875</v>
      </c>
      <c r="N6" s="1">
        <f>+'2021 Bto driftsutg'!N6-'2021 Avskrivning'!N6</f>
        <v>343353</v>
      </c>
      <c r="O6" s="1">
        <f>+'2021 Bto driftsutg'!O6-'2021 Avskrivning'!O6</f>
        <v>0</v>
      </c>
      <c r="P6" s="1">
        <f>+'2021 Bto driftsutg'!P6-'2021 Avskrivning'!P6</f>
        <v>194353</v>
      </c>
      <c r="Q6" s="1">
        <f>+'2021 Bto driftsutg'!Q6-'2021 Avskrivning'!Q6</f>
        <v>0</v>
      </c>
      <c r="R6" s="1">
        <f>+'2021 Bto driftsutg'!R6-'2021 Avskrivning'!R6</f>
        <v>-62600</v>
      </c>
      <c r="T6" s="1"/>
      <c r="U6" s="1"/>
    </row>
    <row r="7" spans="1:21" x14ac:dyDescent="0.3">
      <c r="A7" s="41">
        <v>1500</v>
      </c>
      <c r="B7" s="42" t="s">
        <v>140</v>
      </c>
      <c r="C7" s="1">
        <f t="shared" si="1"/>
        <v>5715523</v>
      </c>
      <c r="D7" s="1">
        <f>+'2021 Bto driftsutg'!D7-'2021 Avskrivning'!D7</f>
        <v>2009852</v>
      </c>
      <c r="E7" s="1">
        <f>+'2021 Bto driftsutg'!E7-'2021 Avskrivning'!E7</f>
        <v>769417</v>
      </c>
      <c r="F7" s="1">
        <f>+'2021 Bto driftsutg'!F7-'2021 Avskrivning'!F7</f>
        <v>833690</v>
      </c>
      <c r="G7" s="1">
        <f>+'2021 Bto driftsutg'!G7-'2021 Avskrivning'!G7</f>
        <v>1209197</v>
      </c>
      <c r="H7" s="1">
        <f>+'2021 Bto driftsutg'!H7-'2021 Avskrivning'!H7</f>
        <v>183020</v>
      </c>
      <c r="I7" s="9">
        <f>+'2021 Bto driftsutg'!I7-'2021 Avskrivning'!I7</f>
        <v>775371</v>
      </c>
      <c r="J7" s="1">
        <f>+'2021 Bto driftsutg'!J7-'2021 Avskrivning'!J7</f>
        <v>0</v>
      </c>
      <c r="K7" s="1">
        <f>+'2021 Bto driftsutg'!K7-'2021 Avskrivning'!K7</f>
        <v>244522</v>
      </c>
      <c r="L7" s="1">
        <f>+'2021 Bto driftsutg'!L7-'2021 Avskrivning'!L7</f>
        <v>170974</v>
      </c>
      <c r="M7" s="1">
        <f>+'2021 Bto driftsutg'!M7-'2021 Avskrivning'!M7</f>
        <v>131306</v>
      </c>
      <c r="N7" s="1">
        <f>+'2021 Bto driftsutg'!N7-'2021 Avskrivning'!N7</f>
        <v>224593</v>
      </c>
      <c r="O7" s="1">
        <f>+'2021 Bto driftsutg'!O7-'2021 Avskrivning'!O7</f>
        <v>1672</v>
      </c>
      <c r="P7" s="1">
        <f>+'2021 Bto driftsutg'!P7-'2021 Avskrivning'!P7</f>
        <v>2304</v>
      </c>
      <c r="Q7" s="1">
        <f>+'2021 Bto driftsutg'!Q7-'2021 Avskrivning'!Q7</f>
        <v>0</v>
      </c>
      <c r="R7" s="1">
        <f>+'2021 Bto driftsutg'!R7-'2021 Avskrivning'!R7</f>
        <v>-65024</v>
      </c>
      <c r="T7" s="1"/>
      <c r="U7" s="1"/>
    </row>
    <row r="8" spans="1:21" x14ac:dyDescent="0.3">
      <c r="A8" s="41">
        <v>1800</v>
      </c>
      <c r="B8" s="42" t="s">
        <v>141</v>
      </c>
      <c r="C8" s="1">
        <f t="shared" si="1"/>
        <v>6240033</v>
      </c>
      <c r="D8" s="1">
        <f>+'2021 Bto driftsutg'!D8-'2021 Avskrivning'!D8</f>
        <v>2235518</v>
      </c>
      <c r="E8" s="1">
        <f>+'2021 Bto driftsutg'!E8-'2021 Avskrivning'!E8</f>
        <v>797979</v>
      </c>
      <c r="F8" s="1">
        <f>+'2021 Bto driftsutg'!F8-'2021 Avskrivning'!F8</f>
        <v>595557</v>
      </c>
      <c r="G8" s="1">
        <f>+'2021 Bto driftsutg'!G8-'2021 Avskrivning'!G8</f>
        <v>1241843</v>
      </c>
      <c r="H8" s="1">
        <f>+'2021 Bto driftsutg'!H8-'2021 Avskrivning'!H8</f>
        <v>299369</v>
      </c>
      <c r="I8" s="9">
        <f>+'2021 Bto driftsutg'!I8-'2021 Avskrivning'!I8</f>
        <v>1126371</v>
      </c>
      <c r="J8" s="1">
        <f>+'2021 Bto driftsutg'!J8-'2021 Avskrivning'!J8</f>
        <v>0</v>
      </c>
      <c r="K8" s="1">
        <f>+'2021 Bto driftsutg'!K8-'2021 Avskrivning'!K8</f>
        <v>299656</v>
      </c>
      <c r="L8" s="1">
        <f>+'2021 Bto driftsutg'!L8-'2021 Avskrivning'!L8</f>
        <v>187747</v>
      </c>
      <c r="M8" s="1">
        <f>+'2021 Bto driftsutg'!M8-'2021 Avskrivning'!M8</f>
        <v>324183</v>
      </c>
      <c r="N8" s="1">
        <f>+'2021 Bto driftsutg'!N8-'2021 Avskrivning'!N8</f>
        <v>299574</v>
      </c>
      <c r="O8" s="1">
        <f>+'2021 Bto driftsutg'!O8-'2021 Avskrivning'!O8</f>
        <v>15186</v>
      </c>
      <c r="P8" s="1">
        <f>+'2021 Bto driftsutg'!P8-'2021 Avskrivning'!P8</f>
        <v>25</v>
      </c>
      <c r="Q8" s="1">
        <f>+'2021 Bto driftsutg'!Q8-'2021 Avskrivning'!Q8</f>
        <v>0</v>
      </c>
      <c r="R8" s="1">
        <f>+'2021 Bto driftsutg'!R8-'2021 Avskrivning'!R8</f>
        <v>-56604</v>
      </c>
      <c r="T8" s="1"/>
      <c r="U8" s="1"/>
    </row>
    <row r="9" spans="1:21" x14ac:dyDescent="0.3">
      <c r="A9" s="41">
        <v>3000</v>
      </c>
      <c r="B9" s="42" t="s">
        <v>403</v>
      </c>
      <c r="C9" s="1">
        <f t="shared" si="1"/>
        <v>17614190</v>
      </c>
      <c r="D9" s="1">
        <f>+'2021 Bto driftsutg'!D9-'2021 Avskrivning'!D9</f>
        <v>8760899</v>
      </c>
      <c r="E9" s="1">
        <f>+'2021 Bto driftsutg'!E9-'2021 Avskrivning'!E9</f>
        <v>1697613</v>
      </c>
      <c r="F9" s="1">
        <f>+'2021 Bto driftsutg'!F9-'2021 Avskrivning'!F9</f>
        <v>4228464</v>
      </c>
      <c r="G9" s="1">
        <f>+'2021 Bto driftsutg'!G9-'2021 Avskrivning'!G9</f>
        <v>48946</v>
      </c>
      <c r="H9" s="1">
        <f>+'2021 Bto driftsutg'!H9-'2021 Avskrivning'!H9</f>
        <v>590054</v>
      </c>
      <c r="I9" s="9">
        <f>+'2021 Bto driftsutg'!I9-'2021 Avskrivning'!I9</f>
        <v>2446044</v>
      </c>
      <c r="J9" s="1">
        <f>+'2021 Bto driftsutg'!J9-'2021 Avskrivning'!J9</f>
        <v>0</v>
      </c>
      <c r="K9" s="1">
        <f>+'2021 Bto driftsutg'!K9-'2021 Avskrivning'!K9</f>
        <v>1064617</v>
      </c>
      <c r="L9" s="1">
        <f>+'2021 Bto driftsutg'!L9-'2021 Avskrivning'!L9</f>
        <v>396119</v>
      </c>
      <c r="M9" s="1">
        <f>+'2021 Bto driftsutg'!M9-'2021 Avskrivning'!M9</f>
        <v>261928</v>
      </c>
      <c r="N9" s="1">
        <f>+'2021 Bto driftsutg'!N9-'2021 Avskrivning'!N9</f>
        <v>720431</v>
      </c>
      <c r="O9" s="1">
        <f>+'2021 Bto driftsutg'!O9-'2021 Avskrivning'!O9</f>
        <v>0</v>
      </c>
      <c r="P9" s="1">
        <f>+'2021 Bto driftsutg'!P9-'2021 Avskrivning'!P9</f>
        <v>2949</v>
      </c>
      <c r="Q9" s="1">
        <f>+'2021 Bto driftsutg'!Q9-'2021 Avskrivning'!Q9</f>
        <v>0</v>
      </c>
      <c r="R9" s="1">
        <f>+'2021 Bto driftsutg'!R9-'2021 Avskrivning'!R9</f>
        <v>-157830</v>
      </c>
      <c r="T9" s="1"/>
      <c r="U9" s="1"/>
    </row>
    <row r="10" spans="1:21" x14ac:dyDescent="0.3">
      <c r="A10" s="41">
        <v>3400</v>
      </c>
      <c r="B10" s="42" t="s">
        <v>404</v>
      </c>
      <c r="C10" s="1">
        <f t="shared" si="1"/>
        <v>6374913</v>
      </c>
      <c r="D10" s="1">
        <f>+'2021 Bto driftsutg'!D10-'2021 Avskrivning'!D10</f>
        <v>2939130</v>
      </c>
      <c r="E10" s="1">
        <f>+'2021 Bto driftsutg'!E10-'2021 Avskrivning'!E10</f>
        <v>935347</v>
      </c>
      <c r="F10" s="1">
        <f>+'2021 Bto driftsutg'!F10-'2021 Avskrivning'!F10</f>
        <v>1090942</v>
      </c>
      <c r="G10" s="1">
        <f>+'2021 Bto driftsutg'!G10-'2021 Avskrivning'!G10</f>
        <v>12155</v>
      </c>
      <c r="H10" s="1">
        <f>+'2021 Bto driftsutg'!H10-'2021 Avskrivning'!H10</f>
        <v>268256</v>
      </c>
      <c r="I10" s="9">
        <f>+'2021 Bto driftsutg'!I10-'2021 Avskrivning'!I10</f>
        <v>1169067</v>
      </c>
      <c r="J10" s="1">
        <f>+'2021 Bto driftsutg'!J10-'2021 Avskrivning'!J10</f>
        <v>0</v>
      </c>
      <c r="K10" s="1">
        <f>+'2021 Bto driftsutg'!K10-'2021 Avskrivning'!K10</f>
        <v>402022</v>
      </c>
      <c r="L10" s="1">
        <f>+'2021 Bto driftsutg'!L10-'2021 Avskrivning'!L10</f>
        <v>246733</v>
      </c>
      <c r="M10" s="1">
        <f>+'2021 Bto driftsutg'!M10-'2021 Avskrivning'!M10</f>
        <v>201589</v>
      </c>
      <c r="N10" s="1">
        <f>+'2021 Bto driftsutg'!N10-'2021 Avskrivning'!N10</f>
        <v>318723</v>
      </c>
      <c r="O10" s="1">
        <f>+'2021 Bto driftsutg'!O10-'2021 Avskrivning'!O10</f>
        <v>0</v>
      </c>
      <c r="P10" s="1">
        <f>+'2021 Bto driftsutg'!P10-'2021 Avskrivning'!P10</f>
        <v>0</v>
      </c>
      <c r="Q10" s="1">
        <f>+'2021 Bto driftsutg'!Q10-'2021 Avskrivning'!Q10</f>
        <v>0</v>
      </c>
      <c r="R10" s="1">
        <f>+'2021 Bto driftsutg'!R10-'2021 Avskrivning'!R10</f>
        <v>-39984</v>
      </c>
      <c r="T10" s="1"/>
      <c r="U10" s="1"/>
    </row>
    <row r="11" spans="1:21" x14ac:dyDescent="0.3">
      <c r="A11" s="41">
        <v>3800</v>
      </c>
      <c r="B11" s="42" t="s">
        <v>405</v>
      </c>
      <c r="C11" s="1">
        <f t="shared" si="1"/>
        <v>6278152</v>
      </c>
      <c r="D11" s="1">
        <f>+'2021 Bto driftsutg'!D11-'2021 Avskrivning'!D11</f>
        <v>3105446</v>
      </c>
      <c r="E11" s="1">
        <f>+'2021 Bto driftsutg'!E11-'2021 Avskrivning'!E11</f>
        <v>786963</v>
      </c>
      <c r="F11" s="1">
        <f>+'2021 Bto driftsutg'!F11-'2021 Avskrivning'!F11</f>
        <v>904114</v>
      </c>
      <c r="G11" s="1">
        <f>+'2021 Bto driftsutg'!G11-'2021 Avskrivning'!G11</f>
        <v>28001</v>
      </c>
      <c r="H11" s="1">
        <f>+'2021 Bto driftsutg'!H11-'2021 Avskrivning'!H11</f>
        <v>268935</v>
      </c>
      <c r="I11" s="9">
        <f>+'2021 Bto driftsutg'!I11-'2021 Avskrivning'!I11</f>
        <v>1242076</v>
      </c>
      <c r="J11" s="1">
        <f>+'2021 Bto driftsutg'!J11-'2021 Avskrivning'!J11</f>
        <v>0</v>
      </c>
      <c r="K11" s="1">
        <f>+'2021 Bto driftsutg'!K11-'2021 Avskrivning'!K11</f>
        <v>382677</v>
      </c>
      <c r="L11" s="1">
        <f>+'2021 Bto driftsutg'!L11-'2021 Avskrivning'!L11</f>
        <v>264386</v>
      </c>
      <c r="M11" s="1">
        <f>+'2021 Bto driftsutg'!M11-'2021 Avskrivning'!M11</f>
        <v>271215</v>
      </c>
      <c r="N11" s="1">
        <f>+'2021 Bto driftsutg'!N11-'2021 Avskrivning'!N11</f>
        <v>317973</v>
      </c>
      <c r="O11" s="1">
        <f>+'2021 Bto driftsutg'!O11-'2021 Avskrivning'!O11</f>
        <v>3889</v>
      </c>
      <c r="P11" s="1">
        <f>+'2021 Bto driftsutg'!P11-'2021 Avskrivning'!P11</f>
        <v>1936</v>
      </c>
      <c r="Q11" s="1">
        <f>+'2021 Bto driftsutg'!Q11-'2021 Avskrivning'!Q11</f>
        <v>0</v>
      </c>
      <c r="R11" s="1">
        <f>+'2021 Bto driftsutg'!R11-'2021 Avskrivning'!R11</f>
        <v>-57383</v>
      </c>
      <c r="T11" s="1"/>
      <c r="U11" s="1"/>
    </row>
    <row r="12" spans="1:21" x14ac:dyDescent="0.3">
      <c r="A12" s="41">
        <v>4200</v>
      </c>
      <c r="B12" s="42" t="s">
        <v>406</v>
      </c>
      <c r="C12" s="1">
        <f t="shared" si="1"/>
        <v>4906500</v>
      </c>
      <c r="D12" s="1">
        <f>+'2021 Bto driftsutg'!D12-'2021 Avskrivning'!D12</f>
        <v>2579826</v>
      </c>
      <c r="E12" s="1">
        <f>+'2021 Bto driftsutg'!E12-'2021 Avskrivning'!E12</f>
        <v>723081</v>
      </c>
      <c r="F12" s="1">
        <f>+'2021 Bto driftsutg'!F12-'2021 Avskrivning'!F12</f>
        <v>568076</v>
      </c>
      <c r="G12" s="1">
        <f>+'2021 Bto driftsutg'!G12-'2021 Avskrivning'!G12</f>
        <v>45437</v>
      </c>
      <c r="H12" s="1">
        <f>+'2021 Bto driftsutg'!H12-'2021 Avskrivning'!H12</f>
        <v>201340</v>
      </c>
      <c r="I12" s="9">
        <f>+'2021 Bto driftsutg'!I12-'2021 Avskrivning'!I12</f>
        <v>868313</v>
      </c>
      <c r="J12" s="1">
        <f>+'2021 Bto driftsutg'!J12-'2021 Avskrivning'!J12</f>
        <v>0</v>
      </c>
      <c r="K12" s="1">
        <f>+'2021 Bto driftsutg'!K12-'2021 Avskrivning'!K12</f>
        <v>289365</v>
      </c>
      <c r="L12" s="1">
        <f>+'2021 Bto driftsutg'!L12-'2021 Avskrivning'!L12</f>
        <v>243353</v>
      </c>
      <c r="M12" s="1">
        <f>+'2021 Bto driftsutg'!M12-'2021 Avskrivning'!M12</f>
        <v>83437</v>
      </c>
      <c r="N12" s="1">
        <f>+'2021 Bto driftsutg'!N12-'2021 Avskrivning'!N12</f>
        <v>252107</v>
      </c>
      <c r="O12" s="1">
        <f>+'2021 Bto driftsutg'!O12-'2021 Avskrivning'!O12</f>
        <v>0</v>
      </c>
      <c r="P12" s="1">
        <f>+'2021 Bto driftsutg'!P12-'2021 Avskrivning'!P12</f>
        <v>51</v>
      </c>
      <c r="Q12" s="1">
        <f>+'2021 Bto driftsutg'!Q12-'2021 Avskrivning'!Q12</f>
        <v>0</v>
      </c>
      <c r="R12" s="1">
        <f>+'2021 Bto driftsutg'!R12-'2021 Avskrivning'!R12</f>
        <v>-79573</v>
      </c>
      <c r="T12" s="1"/>
      <c r="U12" s="1"/>
    </row>
    <row r="13" spans="1:21" x14ac:dyDescent="0.3">
      <c r="A13" s="41">
        <v>4600</v>
      </c>
      <c r="B13" s="42" t="s">
        <v>407</v>
      </c>
      <c r="C13" s="1">
        <f t="shared" si="1"/>
        <v>12591758</v>
      </c>
      <c r="D13" s="1">
        <f>+'2021 Bto driftsutg'!D13-'2021 Avskrivning'!D13</f>
        <v>4599940</v>
      </c>
      <c r="E13" s="1">
        <f>+'2021 Bto driftsutg'!E13-'2021 Avskrivning'!E13</f>
        <v>1334685</v>
      </c>
      <c r="F13" s="1">
        <f>+'2021 Bto driftsutg'!F13-'2021 Avskrivning'!F13</f>
        <v>2821211</v>
      </c>
      <c r="G13" s="1">
        <f>+'2021 Bto driftsutg'!G13-'2021 Avskrivning'!G13</f>
        <v>1400441</v>
      </c>
      <c r="H13" s="1">
        <f>+'2021 Bto driftsutg'!H13-'2021 Avskrivning'!H13</f>
        <v>432747</v>
      </c>
      <c r="I13" s="9">
        <f>+'2021 Bto driftsutg'!I13-'2021 Avskrivning'!I13</f>
        <v>1947503</v>
      </c>
      <c r="J13" s="1">
        <f>+'2021 Bto driftsutg'!J13-'2021 Avskrivning'!J13</f>
        <v>0</v>
      </c>
      <c r="K13" s="1">
        <f>+'2021 Bto driftsutg'!K13-'2021 Avskrivning'!K13</f>
        <v>577331</v>
      </c>
      <c r="L13" s="1">
        <f>+'2021 Bto driftsutg'!L13-'2021 Avskrivning'!L13</f>
        <v>322345</v>
      </c>
      <c r="M13" s="1">
        <f>+'2021 Bto driftsutg'!M13-'2021 Avskrivning'!M13</f>
        <v>490055</v>
      </c>
      <c r="N13" s="1">
        <f>+'2021 Bto driftsutg'!N13-'2021 Avskrivning'!N13</f>
        <v>556080</v>
      </c>
      <c r="O13" s="1">
        <f>+'2021 Bto driftsutg'!O13-'2021 Avskrivning'!O13</f>
        <v>0</v>
      </c>
      <c r="P13" s="1">
        <f>+'2021 Bto driftsutg'!P13-'2021 Avskrivning'!P13</f>
        <v>1692</v>
      </c>
      <c r="Q13" s="1">
        <f>+'2021 Bto driftsutg'!Q13-'2021 Avskrivning'!Q13</f>
        <v>0</v>
      </c>
      <c r="R13" s="1">
        <f>+'2021 Bto driftsutg'!R13-'2021 Avskrivning'!R13</f>
        <v>55231</v>
      </c>
      <c r="T13" s="1"/>
      <c r="U13" s="1"/>
    </row>
    <row r="14" spans="1:21" x14ac:dyDescent="0.3">
      <c r="A14" s="41">
        <v>5000</v>
      </c>
      <c r="B14" s="42" t="s">
        <v>388</v>
      </c>
      <c r="C14" s="1">
        <f t="shared" si="1"/>
        <v>8242627</v>
      </c>
      <c r="D14" s="1">
        <f>+'2021 Bto driftsutg'!D14-'2021 Avskrivning'!D14</f>
        <v>3625964</v>
      </c>
      <c r="E14" s="1">
        <f>+'2021 Bto driftsutg'!E14-'2021 Avskrivning'!E14</f>
        <v>1081878</v>
      </c>
      <c r="F14" s="1">
        <f>+'2021 Bto driftsutg'!F14-'2021 Avskrivning'!F14</f>
        <v>1351082</v>
      </c>
      <c r="G14" s="1">
        <f>+'2021 Bto driftsutg'!G14-'2021 Avskrivning'!G14</f>
        <v>416550</v>
      </c>
      <c r="H14" s="1">
        <f>+'2021 Bto driftsutg'!H14-'2021 Avskrivning'!H14</f>
        <v>420978</v>
      </c>
      <c r="I14" s="9">
        <f>+'2021 Bto driftsutg'!I14-'2021 Avskrivning'!I14</f>
        <v>1420077</v>
      </c>
      <c r="J14" s="1">
        <f>+'2021 Bto driftsutg'!J14-'2021 Avskrivning'!J14</f>
        <v>0</v>
      </c>
      <c r="K14" s="1">
        <f>+'2021 Bto driftsutg'!K14-'2021 Avskrivning'!K14</f>
        <v>439457</v>
      </c>
      <c r="L14" s="1">
        <f>+'2021 Bto driftsutg'!L14-'2021 Avskrivning'!L14</f>
        <v>242507</v>
      </c>
      <c r="M14" s="1">
        <f>+'2021 Bto driftsutg'!M14-'2021 Avskrivning'!M14</f>
        <v>254614</v>
      </c>
      <c r="N14" s="1">
        <f>+'2021 Bto driftsutg'!N14-'2021 Avskrivning'!N14</f>
        <v>483499</v>
      </c>
      <c r="O14" s="1">
        <f>+'2021 Bto driftsutg'!O14-'2021 Avskrivning'!O14</f>
        <v>0</v>
      </c>
      <c r="P14" s="1">
        <f>+'2021 Bto driftsutg'!P14-'2021 Avskrivning'!P14</f>
        <v>0</v>
      </c>
      <c r="Q14" s="1">
        <f>+'2021 Bto driftsutg'!Q14-'2021 Avskrivning'!Q14</f>
        <v>0</v>
      </c>
      <c r="R14" s="1">
        <f>+'2021 Bto driftsutg'!R14-'2021 Avskrivning'!R14</f>
        <v>-73902</v>
      </c>
      <c r="T14" s="1"/>
      <c r="U14" s="1"/>
    </row>
    <row r="15" spans="1:21" x14ac:dyDescent="0.3">
      <c r="A15" s="41">
        <v>5400</v>
      </c>
      <c r="B15" s="42" t="s">
        <v>408</v>
      </c>
      <c r="C15" s="1">
        <f t="shared" si="1"/>
        <v>6601427</v>
      </c>
      <c r="D15" s="1">
        <f>+'2021 Bto driftsutg'!D15-'2021 Avskrivning'!D15</f>
        <v>2196157</v>
      </c>
      <c r="E15" s="1">
        <f>+'2021 Bto driftsutg'!E15-'2021 Avskrivning'!E15</f>
        <v>970665</v>
      </c>
      <c r="F15" s="1">
        <f>+'2021 Bto driftsutg'!F15-'2021 Avskrivning'!F15</f>
        <v>1161443</v>
      </c>
      <c r="G15" s="1">
        <f>+'2021 Bto driftsutg'!G15-'2021 Avskrivning'!G15</f>
        <v>733630</v>
      </c>
      <c r="H15" s="1">
        <f>+'2021 Bto driftsutg'!H15-'2021 Avskrivning'!H15</f>
        <v>371109</v>
      </c>
      <c r="I15" s="9">
        <f>+'2021 Bto driftsutg'!I15-'2021 Avskrivning'!I15</f>
        <v>1239920</v>
      </c>
      <c r="J15" s="1">
        <f>+'2021 Bto driftsutg'!J15-'2021 Avskrivning'!J15</f>
        <v>0</v>
      </c>
      <c r="K15" s="1">
        <f>+'2021 Bto driftsutg'!K15-'2021 Avskrivning'!K15</f>
        <v>379081</v>
      </c>
      <c r="L15" s="1">
        <f>+'2021 Bto driftsutg'!L15-'2021 Avskrivning'!L15</f>
        <v>222318</v>
      </c>
      <c r="M15" s="1">
        <f>+'2021 Bto driftsutg'!M15-'2021 Avskrivning'!M15</f>
        <v>236123</v>
      </c>
      <c r="N15" s="1">
        <f>+'2021 Bto driftsutg'!N15-'2021 Avskrivning'!N15</f>
        <v>339328</v>
      </c>
      <c r="O15" s="1">
        <f>+'2021 Bto driftsutg'!O15-'2021 Avskrivning'!O15</f>
        <v>0</v>
      </c>
      <c r="P15" s="1">
        <f>+'2021 Bto driftsutg'!P15-'2021 Avskrivning'!P15</f>
        <v>63070</v>
      </c>
      <c r="Q15" s="1">
        <f>+'2021 Bto driftsutg'!Q15-'2021 Avskrivning'!Q15</f>
        <v>0</v>
      </c>
      <c r="R15" s="1">
        <f>+'2021 Bto driftsutg'!R15-'2021 Avskrivning'!R15</f>
        <v>-71497</v>
      </c>
      <c r="T15" s="1"/>
      <c r="U15" s="1"/>
    </row>
    <row r="16" spans="1:21" x14ac:dyDescent="0.3">
      <c r="C16" s="1"/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>SUM(C5:C16)</f>
        <v>89212616.933937669</v>
      </c>
      <c r="D17" s="1">
        <f t="shared" ref="D17:R17" si="2">SUM(D5:D15)</f>
        <v>39384265</v>
      </c>
      <c r="E17" s="1">
        <f t="shared" si="2"/>
        <v>9765369</v>
      </c>
      <c r="F17" s="1">
        <f t="shared" si="2"/>
        <v>18006890</v>
      </c>
      <c r="G17" s="1">
        <f t="shared" si="2"/>
        <v>5641418</v>
      </c>
      <c r="H17" s="1">
        <f t="shared" si="2"/>
        <v>3657149</v>
      </c>
      <c r="I17" s="9">
        <f t="shared" si="2"/>
        <v>13692106</v>
      </c>
      <c r="J17" s="1">
        <f t="shared" si="2"/>
        <v>0</v>
      </c>
      <c r="K17" s="1">
        <f t="shared" si="2"/>
        <v>4474558</v>
      </c>
      <c r="L17" s="1">
        <f t="shared" si="2"/>
        <v>2418160</v>
      </c>
      <c r="M17" s="1">
        <f t="shared" si="2"/>
        <v>2545829</v>
      </c>
      <c r="N17" s="1">
        <f t="shared" si="2"/>
        <v>3966432</v>
      </c>
      <c r="O17" s="1">
        <f t="shared" si="2"/>
        <v>20747</v>
      </c>
      <c r="P17" s="1">
        <f t="shared" si="2"/>
        <v>266380</v>
      </c>
      <c r="Q17" s="1">
        <f t="shared" si="2"/>
        <v>0</v>
      </c>
      <c r="R17" s="1">
        <f t="shared" si="2"/>
        <v>-934580.06606233004</v>
      </c>
      <c r="S17" s="1"/>
      <c r="T17" s="1"/>
      <c r="U17" s="1"/>
    </row>
    <row r="18" spans="2:21" x14ac:dyDescent="0.3">
      <c r="C18" s="5"/>
      <c r="I18" s="5">
        <f>SUM(J17:Q17)</f>
        <v>13692106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047E-1A24-4EC1-B3BD-9C685FBFAA22}">
  <dimension ref="A2:Q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2.5546875" customWidth="1"/>
    <col min="9" max="9" width="3.109375" customWidth="1"/>
    <col min="11" max="11" width="5.44140625" customWidth="1"/>
    <col min="14" max="14" width="12.109375" customWidth="1"/>
  </cols>
  <sheetData>
    <row r="2" spans="1:17" ht="42.75" customHeight="1" x14ac:dyDescent="0.35">
      <c r="A2" s="22" t="s">
        <v>2</v>
      </c>
      <c r="B2" s="22" t="s">
        <v>1</v>
      </c>
      <c r="C2" s="22" t="s">
        <v>5</v>
      </c>
      <c r="D2" s="22" t="s">
        <v>171</v>
      </c>
      <c r="E2" s="22" t="s">
        <v>172</v>
      </c>
      <c r="F2" s="22" t="s">
        <v>275</v>
      </c>
      <c r="G2" s="22" t="s">
        <v>276</v>
      </c>
      <c r="H2" s="22" t="s">
        <v>266</v>
      </c>
      <c r="J2" s="111" t="s">
        <v>318</v>
      </c>
      <c r="L2" s="51" t="s">
        <v>275</v>
      </c>
      <c r="M2" s="51" t="s">
        <v>276</v>
      </c>
      <c r="N2" s="51" t="s">
        <v>171</v>
      </c>
      <c r="O2" s="51" t="s">
        <v>266</v>
      </c>
      <c r="P2" s="51" t="s">
        <v>172</v>
      </c>
    </row>
    <row r="3" spans="1:17" ht="15.6" x14ac:dyDescent="0.4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J3" s="107">
        <v>10</v>
      </c>
      <c r="L3" s="52">
        <v>0.16489654789568156</v>
      </c>
      <c r="M3" s="52">
        <v>6.9395989723856327E-2</v>
      </c>
      <c r="N3" s="52">
        <v>0.5257917876352628</v>
      </c>
      <c r="O3" s="52">
        <v>4.2073218087223863E-2</v>
      </c>
      <c r="P3" s="52">
        <v>0.19784245665797537</v>
      </c>
      <c r="Q3" s="97"/>
    </row>
    <row r="5" spans="1:17" x14ac:dyDescent="0.3">
      <c r="A5" s="41">
        <v>300</v>
      </c>
      <c r="B5" s="42" t="s">
        <v>0</v>
      </c>
      <c r="C5" s="3">
        <f>+'2021 Nøkkel revektet'!D5*'2021 Nto driftsutg landet'!$C$5/'2021 Nto driftsutg landet'!$C$10+'2021 Nøkkel revektet'!E5*'2021 Nto driftsutg landet'!$C$6/'2021 Nto driftsutg landet'!$C$10+'2021 Nøkkel revektet'!F5*'2021 Nto driftsutg landet'!$C$7/'2021 Nto driftsutg landet'!$C$10+'2021 Nøkkel revektet'!G5*'2021 Nto driftsutg landet'!$C$8/'2021 Nto driftsutg landet'!$C$10+'2021 Nøkkel revektet'!H5*'2021 Nto driftsutg landet'!$C$9/'2021 Nto driftsutg landet'!$C$10</f>
        <v>0.821858680948934</v>
      </c>
      <c r="D5" s="3">
        <f>+'2021 Revekting utgiftsbehov'!Z5</f>
        <v>0.69992741792473367</v>
      </c>
      <c r="E5" s="3">
        <f>+'2021 Revekting utgiftsbehov'!AA5</f>
        <v>0.27329987791232591</v>
      </c>
      <c r="F5" s="3">
        <f>+'2021 Revekting utgiftsbehov'!AB5</f>
        <v>1.7366784242575655</v>
      </c>
      <c r="G5" s="3">
        <f>+'2021 Revekting utgiftsbehov'!AC5</f>
        <v>1.3162579476841962E-3</v>
      </c>
      <c r="H5" s="3">
        <f>+'2021 Revekting utgiftsbehov'!AD5</f>
        <v>0.86214546100876743</v>
      </c>
      <c r="I5" s="4"/>
      <c r="J5" s="4">
        <f>+C5-'2021 Revekting utgiftsbehov'!I5</f>
        <v>7.6873780948934045E-2</v>
      </c>
      <c r="K5" s="4"/>
      <c r="L5" s="4"/>
      <c r="M5" s="4"/>
      <c r="N5" s="4"/>
      <c r="O5" s="4"/>
    </row>
    <row r="6" spans="1:17" x14ac:dyDescent="0.3">
      <c r="A6" s="41">
        <v>1100</v>
      </c>
      <c r="B6" s="42" t="s">
        <v>139</v>
      </c>
      <c r="C6" s="3">
        <f>+'2021 Nøkkel revektet'!D6*'2021 Nto driftsutg landet'!$C$5/'2021 Nto driftsutg landet'!$C$10+'2021 Nøkkel revektet'!E6*'2021 Nto driftsutg landet'!$C$6/'2021 Nto driftsutg landet'!$C$10+'2021 Nøkkel revektet'!F6*'2021 Nto driftsutg landet'!$C$7/'2021 Nto driftsutg landet'!$C$10+'2021 Nøkkel revektet'!G6*'2021 Nto driftsutg landet'!$C$8/'2021 Nto driftsutg landet'!$C$10+'2021 Nøkkel revektet'!H6*'2021 Nto driftsutg landet'!$C$9/'2021 Nto driftsutg landet'!$C$10</f>
        <v>1.0076082085102009</v>
      </c>
      <c r="D6" s="3">
        <f>+'2021 Revekting utgiftsbehov'!Z6</f>
        <v>1.0673194667707337</v>
      </c>
      <c r="E6" s="3">
        <f>+'2021 Revekting utgiftsbehov'!AA6</f>
        <v>0.81816777174632593</v>
      </c>
      <c r="F6" s="3">
        <f>+'2021 Revekting utgiftsbehov'!AB6</f>
        <v>1.0249622923455652</v>
      </c>
      <c r="G6" s="3">
        <f>+'2021 Revekting utgiftsbehov'!AC6</f>
        <v>0.84093635143568424</v>
      </c>
      <c r="H6" s="3">
        <f>+'2021 Revekting utgiftsbehov'!AD6</f>
        <v>1.0806156114827672</v>
      </c>
      <c r="I6" s="4"/>
      <c r="J6" s="4">
        <f>+C6-'2021 Revekting utgiftsbehov'!I6</f>
        <v>1.182371851020092E-2</v>
      </c>
      <c r="K6" s="4"/>
    </row>
    <row r="7" spans="1:17" x14ac:dyDescent="0.3">
      <c r="A7" s="41">
        <v>1500</v>
      </c>
      <c r="B7" s="42" t="s">
        <v>140</v>
      </c>
      <c r="C7" s="3">
        <f>+'2021 Nøkkel revektet'!D7*'2021 Nto driftsutg landet'!$C$5/'2021 Nto driftsutg landet'!$C$10+'2021 Nøkkel revektet'!E7*'2021 Nto driftsutg landet'!$C$6/'2021 Nto driftsutg landet'!$C$10+'2021 Nøkkel revektet'!F7*'2021 Nto driftsutg landet'!$C$7/'2021 Nto driftsutg landet'!$C$10+'2021 Nøkkel revektet'!G7*'2021 Nto driftsutg landet'!$C$8/'2021 Nto driftsutg landet'!$C$10+'2021 Nøkkel revektet'!H7*'2021 Nto driftsutg landet'!$C$9/'2021 Nto driftsutg landet'!$C$10</f>
        <v>1.2731589374959902</v>
      </c>
      <c r="D7" s="3">
        <f>+'2021 Revekting utgiftsbehov'!Z7</f>
        <v>1.1152289651167338</v>
      </c>
      <c r="E7" s="3">
        <f>+'2021 Revekting utgiftsbehov'!AA7</f>
        <v>1.4589049308723259</v>
      </c>
      <c r="F7" s="3">
        <f>+'2021 Revekting utgiftsbehov'!AB7</f>
        <v>0.99652723642556551</v>
      </c>
      <c r="G7" s="3">
        <f>+'2021 Revekting utgiftsbehov'!AC7</f>
        <v>3.1024151359976844</v>
      </c>
      <c r="H7" s="3">
        <f>+'2021 Revekting utgiftsbehov'!AD7</f>
        <v>1.0303618783517672</v>
      </c>
      <c r="I7" s="4"/>
      <c r="J7" s="4">
        <f>+C7-'2021 Revekting utgiftsbehov'!I7</f>
        <v>-2.4854342504009752E-2</v>
      </c>
      <c r="K7" s="4"/>
    </row>
    <row r="8" spans="1:17" x14ac:dyDescent="0.3">
      <c r="A8" s="41">
        <v>1800</v>
      </c>
      <c r="B8" s="42" t="s">
        <v>141</v>
      </c>
      <c r="C8" s="3">
        <f>+'2021 Nøkkel revektet'!D8*'2021 Nto driftsutg landet'!$C$5/'2021 Nto driftsutg landet'!$C$10+'2021 Nøkkel revektet'!E8*'2021 Nto driftsutg landet'!$C$6/'2021 Nto driftsutg landet'!$C$10+'2021 Nøkkel revektet'!F8*'2021 Nto driftsutg landet'!$C$7/'2021 Nto driftsutg landet'!$C$10+'2021 Nøkkel revektet'!G8*'2021 Nto driftsutg landet'!$C$8/'2021 Nto driftsutg landet'!$C$10+'2021 Nøkkel revektet'!H8*'2021 Nto driftsutg landet'!$C$9/'2021 Nto driftsutg landet'!$C$10</f>
        <v>1.4750003297770415</v>
      </c>
      <c r="D8" s="3">
        <f>+'2021 Revekting utgiftsbehov'!Z8</f>
        <v>1.0985606160047334</v>
      </c>
      <c r="E8" s="3">
        <f>+'2021 Revekting utgiftsbehov'!AA8</f>
        <v>1.7407988890863257</v>
      </c>
      <c r="F8" s="3">
        <f>+'2021 Revekting utgiftsbehov'!AB8</f>
        <v>1.0164832520175653</v>
      </c>
      <c r="G8" s="3">
        <f>+'2021 Revekting utgiftsbehov'!AC8</f>
        <v>5.5170510266876844</v>
      </c>
      <c r="H8" s="3">
        <f>+'2021 Revekting utgiftsbehov'!AD8</f>
        <v>0.98545390484276729</v>
      </c>
      <c r="I8" s="4"/>
      <c r="J8" s="4">
        <f>+C8-'2021 Revekting utgiftsbehov'!I8</f>
        <v>-3.8830280222958535E-2</v>
      </c>
      <c r="K8" s="4"/>
    </row>
    <row r="9" spans="1:17" x14ac:dyDescent="0.3">
      <c r="A9" s="41">
        <v>3000</v>
      </c>
      <c r="B9" s="42" t="s">
        <v>403</v>
      </c>
      <c r="C9" s="3">
        <f>+'2021 Nøkkel revektet'!D9*'2021 Nto driftsutg landet'!$C$5/'2021 Nto driftsutg landet'!$C$10+'2021 Nøkkel revektet'!E9*'2021 Nto driftsutg landet'!$C$6/'2021 Nto driftsutg landet'!$C$10+'2021 Nøkkel revektet'!F9*'2021 Nto driftsutg landet'!$C$7/'2021 Nto driftsutg landet'!$C$10+'2021 Nøkkel revektet'!G9*'2021 Nto driftsutg landet'!$C$8/'2021 Nto driftsutg landet'!$C$10+'2021 Nøkkel revektet'!H9*'2021 Nto driftsutg landet'!$C$9/'2021 Nto driftsutg landet'!$C$10</f>
        <v>0.82654777366632737</v>
      </c>
      <c r="D9" s="3">
        <f>+'2021 Revekting utgiftsbehov'!Z9</f>
        <v>1.0213270274347337</v>
      </c>
      <c r="E9" s="3">
        <f>+'2021 Revekting utgiftsbehov'!AA9</f>
        <v>0.64741047014432584</v>
      </c>
      <c r="F9" s="3">
        <f>+'2021 Revekting utgiftsbehov'!AB9</f>
        <v>0.67128453064956539</v>
      </c>
      <c r="G9" s="3">
        <f>+'2021 Revekting utgiftsbehov'!AC9</f>
        <v>6.3826615473684067E-2</v>
      </c>
      <c r="H9" s="3">
        <f>+'2021 Revekting utgiftsbehov'!AD9</f>
        <v>1.0371859456287673</v>
      </c>
      <c r="I9" s="4"/>
      <c r="J9" s="4">
        <f>+C9-'2021 Revekting utgiftsbehov'!I9</f>
        <v>2.9290436663274022E-3</v>
      </c>
      <c r="K9" s="4"/>
    </row>
    <row r="10" spans="1:17" x14ac:dyDescent="0.3">
      <c r="A10" s="41">
        <v>3400</v>
      </c>
      <c r="B10" s="42" t="s">
        <v>404</v>
      </c>
      <c r="C10" s="3">
        <f>+'2021 Nøkkel revektet'!D10*'2021 Nto driftsutg landet'!$C$5/'2021 Nto driftsutg landet'!$C$10+'2021 Nøkkel revektet'!E10*'2021 Nto driftsutg landet'!$C$6/'2021 Nto driftsutg landet'!$C$10+'2021 Nøkkel revektet'!F10*'2021 Nto driftsutg landet'!$C$7/'2021 Nto driftsutg landet'!$C$10+'2021 Nøkkel revektet'!G10*'2021 Nto driftsutg landet'!$C$8/'2021 Nto driftsutg landet'!$C$10+'2021 Nøkkel revektet'!H10*'2021 Nto driftsutg landet'!$C$9/'2021 Nto driftsutg landet'!$C$10</f>
        <v>1.021161835429286</v>
      </c>
      <c r="D10" s="3">
        <f>+'2021 Revekting utgiftsbehov'!Z10</f>
        <v>1.0261357863467335</v>
      </c>
      <c r="E10" s="3">
        <f>+'2021 Revekting utgiftsbehov'!AA10</f>
        <v>1.5201988442463259</v>
      </c>
      <c r="F10" s="3">
        <f>+'2021 Revekting utgiftsbehov'!AB10</f>
        <v>1.0097293367215654</v>
      </c>
      <c r="G10" s="3">
        <f>+'2021 Revekting utgiftsbehov'!AC10</f>
        <v>3.8547034611684072E-2</v>
      </c>
      <c r="H10" s="3">
        <f>+'2021 Revekting utgiftsbehov'!AD10</f>
        <v>0.96374535243076731</v>
      </c>
      <c r="I10" s="4"/>
      <c r="J10" s="4">
        <f>+C10-'2021 Revekting utgiftsbehov'!I10</f>
        <v>-2.8911754570714043E-2</v>
      </c>
      <c r="K10" s="4"/>
    </row>
    <row r="11" spans="1:17" x14ac:dyDescent="0.3">
      <c r="A11" s="41">
        <v>3800</v>
      </c>
      <c r="B11" s="42" t="s">
        <v>405</v>
      </c>
      <c r="C11" s="3">
        <f>+'2021 Nøkkel revektet'!D11*'2021 Nto driftsutg landet'!$C$5/'2021 Nto driftsutg landet'!$C$10+'2021 Nøkkel revektet'!E11*'2021 Nto driftsutg landet'!$C$6/'2021 Nto driftsutg landet'!$C$10+'2021 Nøkkel revektet'!F11*'2021 Nto driftsutg landet'!$C$7/'2021 Nto driftsutg landet'!$C$10+'2021 Nøkkel revektet'!G11*'2021 Nto driftsutg landet'!$C$8/'2021 Nto driftsutg landet'!$C$10+'2021 Nøkkel revektet'!H11*'2021 Nto driftsutg landet'!$C$9/'2021 Nto driftsutg landet'!$C$10</f>
        <v>0.88759317902253743</v>
      </c>
      <c r="D11" s="3">
        <f>+'2021 Revekting utgiftsbehov'!Z11</f>
        <v>1.0188882734107336</v>
      </c>
      <c r="E11" s="3">
        <f>+'2021 Revekting utgiftsbehov'!AA11</f>
        <v>0.96541871694032599</v>
      </c>
      <c r="F11" s="3">
        <f>+'2021 Revekting utgiftsbehov'!AB11</f>
        <v>0.72761217776956544</v>
      </c>
      <c r="G11" s="3">
        <f>+'2021 Revekting utgiftsbehov'!AC11</f>
        <v>0.16001458546168412</v>
      </c>
      <c r="H11" s="3">
        <f>+'2021 Revekting utgiftsbehov'!AD11</f>
        <v>0.99862059185776741</v>
      </c>
      <c r="I11" s="4"/>
      <c r="J11" s="4">
        <f>+C11-'2021 Revekting utgiftsbehov'!I11</f>
        <v>-1.2172060977462595E-2</v>
      </c>
      <c r="K11" s="4"/>
    </row>
    <row r="12" spans="1:17" x14ac:dyDescent="0.3">
      <c r="A12" s="41">
        <v>4200</v>
      </c>
      <c r="B12" s="42" t="s">
        <v>406</v>
      </c>
      <c r="C12" s="3">
        <f>+'2021 Nøkkel revektet'!D12*'2021 Nto driftsutg landet'!$C$5/'2021 Nto driftsutg landet'!$C$10+'2021 Nøkkel revektet'!E12*'2021 Nto driftsutg landet'!$C$6/'2021 Nto driftsutg landet'!$C$10+'2021 Nøkkel revektet'!F12*'2021 Nto driftsutg landet'!$C$7/'2021 Nto driftsutg landet'!$C$10+'2021 Nøkkel revektet'!G12*'2021 Nto driftsutg landet'!$C$8/'2021 Nto driftsutg landet'!$C$10+'2021 Nøkkel revektet'!H12*'2021 Nto driftsutg landet'!$C$9/'2021 Nto driftsutg landet'!$C$10</f>
        <v>0.95877326751652792</v>
      </c>
      <c r="D12" s="3">
        <f>+'2021 Revekting utgiftsbehov'!Z12</f>
        <v>1.0503006917547337</v>
      </c>
      <c r="E12" s="3">
        <f>+'2021 Revekting utgiftsbehov'!AA12</f>
        <v>1.1653561072683258</v>
      </c>
      <c r="F12" s="3">
        <f>+'2021 Revekting utgiftsbehov'!AB12</f>
        <v>0.81375635873756547</v>
      </c>
      <c r="G12" s="3">
        <f>+'2021 Revekting utgiftsbehov'!AC12</f>
        <v>0.23760515370768409</v>
      </c>
      <c r="H12" s="3">
        <f>+'2021 Revekting utgiftsbehov'!AD12</f>
        <v>1.0486821083187674</v>
      </c>
      <c r="I12" s="4"/>
      <c r="J12" s="4">
        <f>+C12-'2021 Revekting utgiftsbehov'!I12</f>
        <v>-1.8911152483472082E-2</v>
      </c>
      <c r="K12" s="4"/>
    </row>
    <row r="13" spans="1:17" x14ac:dyDescent="0.3">
      <c r="A13" s="41">
        <v>4600</v>
      </c>
      <c r="B13" s="42" t="s">
        <v>407</v>
      </c>
      <c r="C13" s="3">
        <f>+'2021 Nøkkel revektet'!D13*'2021 Nto driftsutg landet'!$C$5/'2021 Nto driftsutg landet'!$C$10+'2021 Nøkkel revektet'!E13*'2021 Nto driftsutg landet'!$C$6/'2021 Nto driftsutg landet'!$C$10+'2021 Nøkkel revektet'!F13*'2021 Nto driftsutg landet'!$C$7/'2021 Nto driftsutg landet'!$C$10+'2021 Nøkkel revektet'!G13*'2021 Nto driftsutg landet'!$C$8/'2021 Nto driftsutg landet'!$C$10+'2021 Nøkkel revektet'!H13*'2021 Nto driftsutg landet'!$C$9/'2021 Nto driftsutg landet'!$C$10</f>
        <v>1.1257997232889609</v>
      </c>
      <c r="D13" s="3">
        <f>+'2021 Revekting utgiftsbehov'!Z13</f>
        <v>1.0627111444147337</v>
      </c>
      <c r="E13" s="3">
        <f>+'2021 Revekting utgiftsbehov'!AA13</f>
        <v>1.1796744476343259</v>
      </c>
      <c r="F13" s="3">
        <f>+'2021 Revekting utgiftsbehov'!AB13</f>
        <v>1.0003785474175653</v>
      </c>
      <c r="G13" s="3">
        <f>+'2021 Revekting utgiftsbehov'!AC13</f>
        <v>1.9450823651376841</v>
      </c>
      <c r="H13" s="3">
        <f>+'2021 Revekting utgiftsbehov'!AD13</f>
        <v>1.0273527193617673</v>
      </c>
      <c r="I13" s="4"/>
      <c r="J13" s="4">
        <f>+C13-'2021 Revekting utgiftsbehov'!I13</f>
        <v>-9.5876167110391375E-3</v>
      </c>
      <c r="K13" s="4"/>
    </row>
    <row r="14" spans="1:17" x14ac:dyDescent="0.3">
      <c r="A14" s="41">
        <v>5000</v>
      </c>
      <c r="B14" s="42" t="s">
        <v>388</v>
      </c>
      <c r="C14" s="3">
        <f>+'2021 Nøkkel revektet'!D14*'2021 Nto driftsutg landet'!$C$5/'2021 Nto driftsutg landet'!$C$10+'2021 Nøkkel revektet'!E14*'2021 Nto driftsutg landet'!$C$6/'2021 Nto driftsutg landet'!$C$10+'2021 Nøkkel revektet'!F14*'2021 Nto driftsutg landet'!$C$7/'2021 Nto driftsutg landet'!$C$10+'2021 Nøkkel revektet'!G14*'2021 Nto driftsutg landet'!$C$8/'2021 Nto driftsutg landet'!$C$10+'2021 Nøkkel revektet'!H14*'2021 Nto driftsutg landet'!$C$9/'2021 Nto driftsutg landet'!$C$10</f>
        <v>1.069642294144614</v>
      </c>
      <c r="D14" s="3">
        <f>+'2021 Revekting utgiftsbehov'!Z14</f>
        <v>1.0125725469497338</v>
      </c>
      <c r="E14" s="3">
        <f>+'2021 Revekting utgiftsbehov'!AA14</f>
        <v>1.2942396963363261</v>
      </c>
      <c r="F14" s="3">
        <f>+'2021 Revekting utgiftsbehov'!AB14</f>
        <v>1.0551423826255655</v>
      </c>
      <c r="G14" s="3">
        <f>+'2021 Revekting utgiftsbehov'!AC14</f>
        <v>1.1381059234196842</v>
      </c>
      <c r="H14" s="3">
        <f>+'2021 Revekting utgiftsbehov'!AD14</f>
        <v>0.99297800175476725</v>
      </c>
      <c r="I14" s="4"/>
      <c r="J14" s="4">
        <f>+C14-'2021 Revekting utgiftsbehov'!I14</f>
        <v>-1.3829625855386052E-2</v>
      </c>
      <c r="K14" s="4"/>
    </row>
    <row r="15" spans="1:17" x14ac:dyDescent="0.3">
      <c r="A15" s="41">
        <v>5400</v>
      </c>
      <c r="B15" s="42" t="s">
        <v>408</v>
      </c>
      <c r="C15" s="3">
        <f>+'2021 Nøkkel revektet'!D15*'2021 Nto driftsutg landet'!$C$5/'2021 Nto driftsutg landet'!$C$10+'2021 Nøkkel revektet'!E15*'2021 Nto driftsutg landet'!$C$6/'2021 Nto driftsutg landet'!$C$10+'2021 Nøkkel revektet'!F15*'2021 Nto driftsutg landet'!$C$7/'2021 Nto driftsutg landet'!$C$10+'2021 Nøkkel revektet'!G15*'2021 Nto driftsutg landet'!$C$8/'2021 Nto driftsutg landet'!$C$10+'2021 Nøkkel revektet'!H15*'2021 Nto driftsutg landet'!$C$9/'2021 Nto driftsutg landet'!$C$10</f>
        <v>1.3789388762943178</v>
      </c>
      <c r="D15" s="3">
        <f>+'2021 Revekting utgiftsbehov'!Z15</f>
        <v>1.0657255153337337</v>
      </c>
      <c r="E15" s="3">
        <f>+'2021 Revekting utgiftsbehov'!AA15</f>
        <v>2.0580994936803263</v>
      </c>
      <c r="F15" s="3">
        <f>+'2021 Revekting utgiftsbehov'!AB15</f>
        <v>1.1223627891775654</v>
      </c>
      <c r="G15" s="3">
        <f>+'2021 Revekting utgiftsbehov'!AC15</f>
        <v>3.4295099221056851</v>
      </c>
      <c r="H15" s="3">
        <f>+'2021 Revekting utgiftsbehov'!AD15</f>
        <v>0.95977925900576744</v>
      </c>
      <c r="I15" s="4"/>
      <c r="J15" s="4">
        <f>+C15-'2021 Revekting utgiftsbehov'!I15</f>
        <v>-5.2280793705682171E-2</v>
      </c>
      <c r="K15" s="4"/>
    </row>
    <row r="16" spans="1:17" x14ac:dyDescent="0.3">
      <c r="C16" s="4"/>
      <c r="D16" s="4"/>
      <c r="E16" s="4"/>
      <c r="F16" s="4"/>
      <c r="G16" s="4"/>
      <c r="H16" s="4"/>
    </row>
    <row r="17" spans="2:8" x14ac:dyDescent="0.3">
      <c r="B17" s="1" t="s">
        <v>3</v>
      </c>
      <c r="C17" s="3"/>
      <c r="D17" s="3">
        <v>1</v>
      </c>
      <c r="E17" s="3">
        <v>1</v>
      </c>
      <c r="F17" s="3">
        <v>1</v>
      </c>
      <c r="G17" s="3">
        <v>1</v>
      </c>
      <c r="H17" s="3">
        <v>1</v>
      </c>
    </row>
  </sheetData>
  <sheetProtection algorithmName="SHA-512" hashValue="oq43qC367GuwaaRHPjA2Q6RB8DEFQ4MCRTkeNBqTXUIEOHwaD2VId86m3BGyHexrSoCkFe4YDtOtkWHBsVHdQA==" saltValue="RTt74ZShVplyWXORJkfhe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AA8D-5F32-4DD1-AF04-7DF06685AE8B}">
  <dimension ref="A2:AW22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4.5546875" customWidth="1"/>
    <col min="4" max="4" width="4" customWidth="1"/>
    <col min="5" max="9" width="13.109375" customWidth="1"/>
    <col min="10" max="10" width="14.5546875" customWidth="1"/>
    <col min="11" max="11" width="3.5546875" customWidth="1"/>
    <col min="17" max="17" width="14.5546875" customWidth="1"/>
    <col min="26" max="26" width="14.5546875" customWidth="1"/>
    <col min="27" max="27" width="4.88671875" customWidth="1"/>
    <col min="33" max="33" width="14.5546875" customWidth="1"/>
    <col min="42" max="42" width="14.5546875" customWidth="1"/>
    <col min="43" max="43" width="5.44140625" customWidth="1"/>
    <col min="44" max="44" width="14.5546875" customWidth="1"/>
    <col min="45" max="45" width="6" customWidth="1"/>
    <col min="46" max="46" width="14.5546875" customWidth="1"/>
    <col min="47" max="47" width="6" customWidth="1"/>
    <col min="48" max="48" width="14.5546875" customWidth="1"/>
    <col min="49" max="49" width="16.44140625" customWidth="1"/>
  </cols>
  <sheetData>
    <row r="2" spans="1:49" ht="104.25" customHeight="1" x14ac:dyDescent="0.3">
      <c r="A2" s="22" t="s">
        <v>2</v>
      </c>
      <c r="B2" s="22" t="s">
        <v>1</v>
      </c>
      <c r="C2" s="11" t="s">
        <v>16</v>
      </c>
      <c r="D2" s="22"/>
      <c r="E2" s="22" t="s">
        <v>176</v>
      </c>
      <c r="F2" s="22" t="s">
        <v>177</v>
      </c>
      <c r="G2" s="22" t="s">
        <v>277</v>
      </c>
      <c r="H2" s="22" t="s">
        <v>278</v>
      </c>
      <c r="I2" s="22" t="s">
        <v>178</v>
      </c>
      <c r="J2" s="11" t="s">
        <v>89</v>
      </c>
      <c r="K2" s="22"/>
      <c r="L2" s="22" t="s">
        <v>179</v>
      </c>
      <c r="M2" s="22" t="s">
        <v>180</v>
      </c>
      <c r="N2" s="22" t="s">
        <v>279</v>
      </c>
      <c r="O2" s="22" t="s">
        <v>280</v>
      </c>
      <c r="P2" s="22" t="s">
        <v>181</v>
      </c>
      <c r="Q2" s="45" t="s">
        <v>82</v>
      </c>
      <c r="R2" s="22" t="s">
        <v>84</v>
      </c>
      <c r="S2" s="22" t="s">
        <v>182</v>
      </c>
      <c r="T2" s="22" t="s">
        <v>183</v>
      </c>
      <c r="U2" s="22" t="s">
        <v>85</v>
      </c>
      <c r="V2" s="22" t="s">
        <v>184</v>
      </c>
      <c r="W2" s="22" t="s">
        <v>86</v>
      </c>
      <c r="X2" s="22" t="s">
        <v>87</v>
      </c>
      <c r="Y2" s="22"/>
      <c r="Z2" s="11" t="s">
        <v>90</v>
      </c>
      <c r="AA2" s="22"/>
      <c r="AB2" s="22" t="s">
        <v>185</v>
      </c>
      <c r="AC2" s="22" t="s">
        <v>186</v>
      </c>
      <c r="AD2" s="22" t="s">
        <v>281</v>
      </c>
      <c r="AE2" s="22" t="s">
        <v>282</v>
      </c>
      <c r="AF2" s="22" t="s">
        <v>187</v>
      </c>
      <c r="AG2" s="45" t="s">
        <v>99</v>
      </c>
      <c r="AH2" s="22"/>
      <c r="AI2" s="22" t="s">
        <v>188</v>
      </c>
      <c r="AJ2" s="22" t="s">
        <v>189</v>
      </c>
      <c r="AK2" s="22" t="s">
        <v>100</v>
      </c>
      <c r="AL2" s="22" t="s">
        <v>190</v>
      </c>
      <c r="AM2" s="22" t="s">
        <v>101</v>
      </c>
      <c r="AN2" s="22" t="s">
        <v>102</v>
      </c>
      <c r="AO2" s="22"/>
      <c r="AP2" s="11" t="s">
        <v>103</v>
      </c>
      <c r="AQ2" s="109"/>
      <c r="AR2" s="11" t="s">
        <v>120</v>
      </c>
      <c r="AS2" s="109"/>
      <c r="AT2" s="11"/>
      <c r="AU2" s="109"/>
      <c r="AV2" s="11" t="s">
        <v>104</v>
      </c>
    </row>
    <row r="3" spans="1:49" x14ac:dyDescent="0.3">
      <c r="A3" s="107">
        <v>1</v>
      </c>
      <c r="B3" s="107">
        <f t="shared" ref="B3:AV3" si="0">+A3+1</f>
        <v>2</v>
      </c>
      <c r="C3" s="10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46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  <c r="AE3" s="107">
        <f t="shared" si="0"/>
        <v>31</v>
      </c>
      <c r="AF3" s="107">
        <f t="shared" si="0"/>
        <v>32</v>
      </c>
      <c r="AG3" s="46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7">
        <f t="shared" si="0"/>
        <v>39</v>
      </c>
      <c r="AN3" s="107">
        <f t="shared" si="0"/>
        <v>40</v>
      </c>
      <c r="AO3" s="107">
        <f t="shared" si="0"/>
        <v>41</v>
      </c>
      <c r="AP3" s="10">
        <f t="shared" si="0"/>
        <v>42</v>
      </c>
      <c r="AQ3" s="110">
        <f t="shared" si="0"/>
        <v>43</v>
      </c>
      <c r="AR3" s="10">
        <f t="shared" si="0"/>
        <v>44</v>
      </c>
      <c r="AS3" s="110">
        <f t="shared" si="0"/>
        <v>45</v>
      </c>
      <c r="AT3" s="10">
        <f t="shared" si="0"/>
        <v>46</v>
      </c>
      <c r="AU3" s="110">
        <f t="shared" si="0"/>
        <v>47</v>
      </c>
      <c r="AV3" s="10">
        <f t="shared" si="0"/>
        <v>48</v>
      </c>
    </row>
    <row r="4" spans="1:49" x14ac:dyDescent="0.3">
      <c r="C4" s="19"/>
      <c r="J4" s="19"/>
      <c r="Q4" s="47"/>
      <c r="Z4" s="19"/>
      <c r="AG4" s="47"/>
      <c r="AP4" s="19"/>
      <c r="AR4" s="19"/>
      <c r="AT4" s="19"/>
      <c r="AV4" s="19"/>
    </row>
    <row r="5" spans="1:49" x14ac:dyDescent="0.3">
      <c r="A5" s="41">
        <v>300</v>
      </c>
      <c r="B5" s="42" t="s">
        <v>0</v>
      </c>
      <c r="C5" s="9">
        <f>+'2022 Grunnlag korreksjoner'!C5*1000/'2022 Nto driftsutg'!W5</f>
        <v>-78.023633716561378</v>
      </c>
      <c r="D5" s="1"/>
      <c r="E5" s="1">
        <f>+'2022 Nto driftsutg landet'!$C$5*'2022 Revekting utgiftsbehov'!Z5-'2022 Nto driftsutg landet'!$C$5</f>
        <v>-1868.6332413223945</v>
      </c>
      <c r="F5" s="1">
        <f>+'2022 Nto driftsutg landet'!$C$6*'2022 Revekting utgiftsbehov'!AA5-'2022 Nto driftsutg landet'!$C$6</f>
        <v>-1320.0721635140515</v>
      </c>
      <c r="G5" s="1">
        <f>+'2022 Nto driftsutg landet'!$C$7*'2022 Revekting utgiftsbehov'!AB5-'2022 Nto driftsutg landet'!$C$7</f>
        <v>1863.4960765737887</v>
      </c>
      <c r="H5" s="1">
        <f>+'2022 Nto driftsutg landet'!$C$8*'2022 Revekting utgiftsbehov'!AC5-'2022 Nto driftsutg landet'!$C$8</f>
        <v>-932.12030524140278</v>
      </c>
      <c r="I5" s="1">
        <f>+'2022 Nto driftsutg landet'!$C$9*'2022 Revekting utgiftsbehov'!AD5-'2022 Nto driftsutg landet'!$C$9</f>
        <v>-66.603460800484811</v>
      </c>
      <c r="J5" s="9">
        <f t="shared" ref="J5:J15" si="1">SUM(E5:I5)</f>
        <v>-2323.9330943045452</v>
      </c>
      <c r="L5" s="1">
        <f>'2022 Korr med revekting arbavg'!I5</f>
        <v>40.035394696705019</v>
      </c>
      <c r="M5" s="1">
        <f>'2022 Korr med revekting arbavg'!P5</f>
        <v>0</v>
      </c>
      <c r="N5" s="1">
        <f>'2022 Korr med revekting arbavg'!W5</f>
        <v>0.36668194843930335</v>
      </c>
      <c r="O5" s="1">
        <f>'2022 Korr med revekting arbavg'!AD5</f>
        <v>0</v>
      </c>
      <c r="P5" s="1">
        <f>'2022 Korr med revekting arbavg'!AK5</f>
        <v>2.9807491008090752</v>
      </c>
      <c r="Q5" s="48">
        <f t="shared" ref="Q5:Q15" si="2">SUM(R5:Y5)</f>
        <v>25.500932037394897</v>
      </c>
      <c r="R5" s="1"/>
      <c r="S5" s="1">
        <f>'2022 Korr med revekting arbavg'!AR5</f>
        <v>25.360387487953385</v>
      </c>
      <c r="T5" s="1">
        <f>'2022 Korr med revekting arbavg'!AY5</f>
        <v>0</v>
      </c>
      <c r="U5" s="1">
        <f>'2022 Korr med revekting arbavg'!BF5</f>
        <v>-2.5737700242690887E-2</v>
      </c>
      <c r="V5" s="1">
        <f>'2022 Korr med revekting arbavg'!BM5</f>
        <v>0.16628224968420138</v>
      </c>
      <c r="W5" s="1">
        <f>'2022 Korr med revekting arbavg'!BT5</f>
        <v>0</v>
      </c>
      <c r="X5" s="1">
        <f>'2022 Korr med revekting arbavg'!CA5</f>
        <v>0</v>
      </c>
      <c r="Y5" s="1"/>
      <c r="Z5" s="9">
        <f t="shared" ref="Z5:Z15" si="3">SUM(L5:P5)+Q5</f>
        <v>68.883757783348301</v>
      </c>
      <c r="AB5" s="1">
        <f>+'2022 Korr med revekting pensjon'!I5</f>
        <v>72.969050198747681</v>
      </c>
      <c r="AC5" s="1">
        <f>+'2022 Korr med revekting pensjon'!P5</f>
        <v>0</v>
      </c>
      <c r="AD5" s="1">
        <f>+'2022 Korr med revekting pensjon'!W5</f>
        <v>3.5247107746274384</v>
      </c>
      <c r="AE5" s="1">
        <f>+'2022 Korr med revekting pensjon'!AD5</f>
        <v>0</v>
      </c>
      <c r="AF5" s="1">
        <f>+'2022 Korr med revekting pensjon'!AK5</f>
        <v>45.914369074344172</v>
      </c>
      <c r="AG5" s="48">
        <f t="shared" ref="AG5:AG15" si="4">SUM(AH5:AO5)</f>
        <v>30.310753790421977</v>
      </c>
      <c r="AH5" s="1"/>
      <c r="AI5" s="1">
        <f>+'2022 Korr med revekting pensjon'!AR5</f>
        <v>26.547104988572375</v>
      </c>
      <c r="AJ5" s="1">
        <f>+'2022 Korr med revekting pensjon'!AY5</f>
        <v>0</v>
      </c>
      <c r="AK5" s="1">
        <f>+'2022 Korr med revekting pensjon'!BF5</f>
        <v>-0.32740047431171604</v>
      </c>
      <c r="AL5" s="1">
        <f>+'2022 Korr med revekting pensjon'!BM5</f>
        <v>4.0910492761613169</v>
      </c>
      <c r="AM5" s="1">
        <f>+'2022 Korr med revekting pensjon'!BT5</f>
        <v>0</v>
      </c>
      <c r="AN5" s="1">
        <f>+'2022 Korr med revekting pensjon'!CA5</f>
        <v>0</v>
      </c>
      <c r="AO5" s="1"/>
      <c r="AP5" s="9">
        <f t="shared" ref="AP5:AP15" si="5">SUM(AB5:AF5)+AG5</f>
        <v>152.71888383814127</v>
      </c>
      <c r="AQ5" s="1"/>
      <c r="AR5" s="9">
        <f>+'2022 Korr med revekt premieavv'!J5</f>
        <v>-574.25786035378133</v>
      </c>
      <c r="AT5" s="9"/>
      <c r="AV5" s="9">
        <f t="shared" ref="AV5:AV15" si="6">+C5+J5+Z5+AP5+AR5+AT5</f>
        <v>-2754.6119467533986</v>
      </c>
      <c r="AW5" s="1">
        <f>+AV5*'2022 Nto driftsutg'!W5</f>
        <v>-1927751814.8605907</v>
      </c>
    </row>
    <row r="6" spans="1:49" x14ac:dyDescent="0.3">
      <c r="A6" s="41">
        <v>1100</v>
      </c>
      <c r="B6" s="42" t="s">
        <v>139</v>
      </c>
      <c r="C6" s="9">
        <f>+'2022 Grunnlag korreksjoner'!C6*1000/'2022 Nto driftsutg'!W6</f>
        <v>-107.97156682752261</v>
      </c>
      <c r="D6" s="1"/>
      <c r="E6" s="1">
        <f>+'2022 Nto driftsutg landet'!$C$5*'2022 Revekting utgiftsbehov'!Z6-'2022 Nto driftsutg landet'!$C$5</f>
        <v>454.5102815649534</v>
      </c>
      <c r="F6" s="1">
        <f>+'2022 Nto driftsutg landet'!$C$6*'2022 Revekting utgiftsbehov'!AA6-'2022 Nto driftsutg landet'!$C$6</f>
        <v>-350.35311557752516</v>
      </c>
      <c r="G6" s="1">
        <f>+'2022 Nto driftsutg landet'!$C$7*'2022 Revekting utgiftsbehov'!AB6-'2022 Nto driftsutg landet'!$C$7</f>
        <v>51.533343917754792</v>
      </c>
      <c r="H6" s="1">
        <f>+'2022 Nto driftsutg landet'!$C$8*'2022 Revekting utgiftsbehov'!AC6-'2022 Nto driftsutg landet'!$C$8</f>
        <v>-235.9646004858422</v>
      </c>
      <c r="I6" s="1">
        <f>+'2022 Nto driftsutg landet'!$C$9*'2022 Revekting utgiftsbehov'!AD6-'2022 Nto driftsutg landet'!$C$9</f>
        <v>40.478829437114314</v>
      </c>
      <c r="J6" s="9">
        <f t="shared" si="1"/>
        <v>-39.795261143544849</v>
      </c>
      <c r="L6" s="1">
        <f>'2022 Korr med revekting arbavg'!I6</f>
        <v>48.167278581730507</v>
      </c>
      <c r="M6" s="1">
        <f>'2022 Korr med revekting arbavg'!P6</f>
        <v>-9.7444895979307091</v>
      </c>
      <c r="N6" s="1">
        <f>'2022 Korr med revekting arbavg'!W6</f>
        <v>0.23632731856414171</v>
      </c>
      <c r="O6" s="1">
        <f>'2022 Korr med revekting arbavg'!AD6</f>
        <v>0.22632913498877458</v>
      </c>
      <c r="P6" s="1">
        <f>'2022 Korr med revekting arbavg'!AK6</f>
        <v>4.9276367175813158</v>
      </c>
      <c r="Q6" s="48">
        <f t="shared" si="2"/>
        <v>9.0307407227035323</v>
      </c>
      <c r="R6" s="1"/>
      <c r="S6" s="1">
        <f>'2022 Korr med revekting arbavg'!AR6</f>
        <v>8.1071528697258426</v>
      </c>
      <c r="T6" s="1">
        <f>'2022 Korr med revekting arbavg'!AY6</f>
        <v>0.58350560740191337</v>
      </c>
      <c r="U6" s="1">
        <f>'2022 Korr med revekting arbavg'!BF6</f>
        <v>-3.6395769442737598E-2</v>
      </c>
      <c r="V6" s="1">
        <f>'2022 Korr med revekting arbavg'!BM6</f>
        <v>0.36650425504895967</v>
      </c>
      <c r="W6" s="1">
        <f>'2022 Korr med revekting arbavg'!BT6</f>
        <v>0</v>
      </c>
      <c r="X6" s="1">
        <f>'2022 Korr med revekting arbavg'!CA6</f>
        <v>9.9737599695560123E-3</v>
      </c>
      <c r="Y6" s="1"/>
      <c r="Z6" s="9">
        <f t="shared" si="3"/>
        <v>52.843822877637564</v>
      </c>
      <c r="AB6" s="1">
        <f>+'2022 Korr med revekting pensjon'!I6</f>
        <v>28.206284661426931</v>
      </c>
      <c r="AC6" s="1">
        <f>+'2022 Korr med revekting pensjon'!P6</f>
        <v>-14.163412786674304</v>
      </c>
      <c r="AD6" s="1">
        <f>+'2022 Korr med revekting pensjon'!W6</f>
        <v>-1.228826867805719</v>
      </c>
      <c r="AE6" s="1">
        <f>+'2022 Korr med revekting pensjon'!AD6</f>
        <v>-9.5010577246476373E-3</v>
      </c>
      <c r="AF6" s="1">
        <f>+'2022 Korr med revekting pensjon'!AK6</f>
        <v>-0.96831833069352768</v>
      </c>
      <c r="AG6" s="48">
        <f t="shared" si="4"/>
        <v>-105.75342659228258</v>
      </c>
      <c r="AH6" s="1"/>
      <c r="AI6" s="1">
        <f>+'2022 Korr med revekting pensjon'!AR6</f>
        <v>-105.68441678504875</v>
      </c>
      <c r="AJ6" s="1">
        <f>+'2022 Korr med revekting pensjon'!AY6</f>
        <v>0.1462921251963433</v>
      </c>
      <c r="AK6" s="1">
        <f>+'2022 Korr med revekting pensjon'!BF6</f>
        <v>2.14873258248434E-2</v>
      </c>
      <c r="AL6" s="1">
        <f>+'2022 Korr med revekting pensjon'!BM6</f>
        <v>-0.24187775853310844</v>
      </c>
      <c r="AM6" s="1">
        <f>+'2022 Korr med revekting pensjon'!BT6</f>
        <v>0</v>
      </c>
      <c r="AN6" s="1">
        <f>+'2022 Korr med revekting pensjon'!CA6</f>
        <v>5.0885002780894284E-3</v>
      </c>
      <c r="AO6" s="1"/>
      <c r="AP6" s="9">
        <f t="shared" si="5"/>
        <v>-93.91720097375385</v>
      </c>
      <c r="AQ6" s="1"/>
      <c r="AR6" s="9">
        <f>+'2022 Korr med revekt premieavv'!J6</f>
        <v>82.422310384567098</v>
      </c>
      <c r="AT6" s="9"/>
      <c r="AV6" s="9">
        <f t="shared" si="6"/>
        <v>-106.41789568261667</v>
      </c>
      <c r="AW6" s="1">
        <f>+AV6*'2022 Nto driftsutg'!W6</f>
        <v>-51697494.468928136</v>
      </c>
    </row>
    <row r="7" spans="1:49" x14ac:dyDescent="0.3">
      <c r="A7" s="41">
        <v>1500</v>
      </c>
      <c r="B7" s="42" t="s">
        <v>140</v>
      </c>
      <c r="C7" s="9">
        <f>+'2022 Grunnlag korreksjoner'!C7*1000/'2022 Nto driftsutg'!W7</f>
        <v>243.34188637616234</v>
      </c>
      <c r="D7" s="1"/>
      <c r="E7" s="1">
        <f>+'2022 Nto driftsutg landet'!$C$5*'2022 Revekting utgiftsbehov'!Z7-'2022 Nto driftsutg landet'!$C$5</f>
        <v>734.59051994295532</v>
      </c>
      <c r="F7" s="1">
        <f>+'2022 Nto driftsutg landet'!$C$6*'2022 Revekting utgiftsbehov'!AA7-'2022 Nto driftsutg landet'!$C$6</f>
        <v>989.10227721402248</v>
      </c>
      <c r="G7" s="1">
        <f>+'2022 Nto driftsutg landet'!$C$7*'2022 Revekting utgiftsbehov'!AB7-'2022 Nto driftsutg landet'!$C$7</f>
        <v>-12.103610701794423</v>
      </c>
      <c r="H7" s="1">
        <f>+'2022 Nto driftsutg landet'!$C$8*'2022 Revekting utgiftsbehov'!AC7-'2022 Nto driftsutg landet'!$C$8</f>
        <v>1937.9106653538749</v>
      </c>
      <c r="I7" s="1">
        <f>+'2022 Nto driftsutg landet'!$C$9*'2022 Revekting utgiftsbehov'!AD7-'2022 Nto driftsutg landet'!$C$9</f>
        <v>15.997700148754461</v>
      </c>
      <c r="J7" s="9">
        <f t="shared" si="1"/>
        <v>3665.4975519578129</v>
      </c>
      <c r="L7" s="1">
        <f>'2022 Korr med revekting arbavg'!I7</f>
        <v>25.924872759678721</v>
      </c>
      <c r="M7" s="1">
        <f>'2022 Korr med revekting arbavg'!P7</f>
        <v>21.580466946048265</v>
      </c>
      <c r="N7" s="1">
        <f>'2022 Korr med revekting arbavg'!W7</f>
        <v>1.307550037037533</v>
      </c>
      <c r="O7" s="1">
        <f>'2022 Korr med revekting arbavg'!AD7</f>
        <v>0.85855146406511118</v>
      </c>
      <c r="P7" s="1">
        <f>'2022 Korr med revekting arbavg'!AK7</f>
        <v>9.3527441869347236E-2</v>
      </c>
      <c r="Q7" s="48">
        <f t="shared" si="2"/>
        <v>10.215165033976572</v>
      </c>
      <c r="R7" s="1"/>
      <c r="S7" s="1">
        <f>'2022 Korr med revekting arbavg'!AR7</f>
        <v>9.6646451371245483</v>
      </c>
      <c r="T7" s="1">
        <f>'2022 Korr med revekting arbavg'!AY7</f>
        <v>0.36946776711311435</v>
      </c>
      <c r="U7" s="1">
        <f>'2022 Korr med revekting arbavg'!BF7</f>
        <v>-2.6013430920969575E-2</v>
      </c>
      <c r="V7" s="1">
        <f>'2022 Korr med revekting arbavg'!BM7</f>
        <v>0.20706556065987702</v>
      </c>
      <c r="W7" s="1">
        <f>'2022 Korr med revekting arbavg'!BT7</f>
        <v>0</v>
      </c>
      <c r="X7" s="1">
        <f>'2022 Korr med revekting arbavg'!CA7</f>
        <v>0</v>
      </c>
      <c r="Y7" s="1"/>
      <c r="Z7" s="9">
        <f t="shared" si="3"/>
        <v>59.980133682675543</v>
      </c>
      <c r="AB7" s="1">
        <f>+'2022 Korr med revekting pensjon'!I7</f>
        <v>16.573262990160959</v>
      </c>
      <c r="AC7" s="1">
        <f>+'2022 Korr med revekting pensjon'!P7</f>
        <v>32.150850458298557</v>
      </c>
      <c r="AD7" s="1">
        <f>+'2022 Korr med revekting pensjon'!W7</f>
        <v>2.2283229527754331</v>
      </c>
      <c r="AE7" s="1">
        <f>+'2022 Korr med revekting pensjon'!AD7</f>
        <v>-1.6297524226749505E-2</v>
      </c>
      <c r="AF7" s="1">
        <f>+'2022 Korr med revekting pensjon'!AK7</f>
        <v>4.441881766783097</v>
      </c>
      <c r="AG7" s="48">
        <f t="shared" si="4"/>
        <v>-91.694537426232444</v>
      </c>
      <c r="AH7" s="1"/>
      <c r="AI7" s="1">
        <f>+'2022 Korr med revekting pensjon'!AR7</f>
        <v>-93.906782777956451</v>
      </c>
      <c r="AJ7" s="1">
        <f>+'2022 Korr med revekting pensjon'!AY7</f>
        <v>1.415243373231055</v>
      </c>
      <c r="AK7" s="1">
        <f>+'2022 Korr med revekting pensjon'!BF7</f>
        <v>-3.9100457094664975E-2</v>
      </c>
      <c r="AL7" s="1">
        <f>+'2022 Korr med revekting pensjon'!BM7</f>
        <v>0.83610243558762598</v>
      </c>
      <c r="AM7" s="1">
        <f>+'2022 Korr med revekting pensjon'!BT7</f>
        <v>0</v>
      </c>
      <c r="AN7" s="1">
        <f>+'2022 Korr med revekting pensjon'!CA7</f>
        <v>0</v>
      </c>
      <c r="AO7" s="1"/>
      <c r="AP7" s="9">
        <f t="shared" si="5"/>
        <v>-36.316516782441141</v>
      </c>
      <c r="AQ7" s="1"/>
      <c r="AR7" s="9">
        <f>+'2022 Korr med revekt premieavv'!J7</f>
        <v>173.67374807967451</v>
      </c>
      <c r="AT7" s="9"/>
      <c r="AV7" s="9">
        <f t="shared" si="6"/>
        <v>4106.1768033138833</v>
      </c>
      <c r="AW7" s="1">
        <f>+AV7*'2022 Nto driftsutg'!W7</f>
        <v>1091618890.8073893</v>
      </c>
    </row>
    <row r="8" spans="1:49" x14ac:dyDescent="0.3">
      <c r="A8" s="41">
        <v>1800</v>
      </c>
      <c r="B8" s="42" t="s">
        <v>141</v>
      </c>
      <c r="C8" s="9">
        <f>+'2022 Grunnlag korreksjoner'!C8*1000/'2022 Nto driftsutg'!W8</f>
        <v>387.06359189000375</v>
      </c>
      <c r="D8" s="1"/>
      <c r="E8" s="1">
        <f>+'2022 Nto driftsutg landet'!$C$5*'2022 Revekting utgiftsbehov'!Z8-'2022 Nto driftsutg landet'!$C$5</f>
        <v>476.72286519791214</v>
      </c>
      <c r="F8" s="1">
        <f>+'2022 Nto driftsutg landet'!$C$6*'2022 Revekting utgiftsbehov'!AA8-'2022 Nto driftsutg landet'!$C$6</f>
        <v>1362.5136159893834</v>
      </c>
      <c r="G8" s="1">
        <f>+'2022 Nto driftsutg landet'!$C$7*'2022 Revekting utgiftsbehov'!AB8-'2022 Nto driftsutg landet'!$C$7</f>
        <v>49.831995522486523</v>
      </c>
      <c r="H8" s="1">
        <f>+'2022 Nto driftsutg landet'!$C$8*'2022 Revekting utgiftsbehov'!AC8-'2022 Nto driftsutg landet'!$C$8</f>
        <v>4064.1357003811454</v>
      </c>
      <c r="I8" s="1">
        <f>+'2022 Nto driftsutg landet'!$C$9*'2022 Revekting utgiftsbehov'!AD8-'2022 Nto driftsutg landet'!$C$9</f>
        <v>-9.3894557347830414</v>
      </c>
      <c r="J8" s="9">
        <f t="shared" si="1"/>
        <v>5943.8147213561442</v>
      </c>
      <c r="L8" s="1">
        <f>'2022 Korr med revekting arbavg'!I8</f>
        <v>-302.46521280612546</v>
      </c>
      <c r="M8" s="1">
        <f>'2022 Korr med revekting arbavg'!P8</f>
        <v>-33.516408331879767</v>
      </c>
      <c r="N8" s="1">
        <f>'2022 Korr med revekting arbavg'!W8</f>
        <v>-2.6124430245731354</v>
      </c>
      <c r="O8" s="1">
        <f>'2022 Korr med revekting arbavg'!AD8</f>
        <v>-0.60449589512648194</v>
      </c>
      <c r="P8" s="1">
        <f>'2022 Korr med revekting arbavg'!AK8</f>
        <v>-24.182746927325486</v>
      </c>
      <c r="Q8" s="48">
        <f t="shared" si="2"/>
        <v>-29.088030415677249</v>
      </c>
      <c r="R8" s="1"/>
      <c r="S8" s="1">
        <f>'2022 Korr med revekting arbavg'!AR8</f>
        <v>-23.661833435596954</v>
      </c>
      <c r="T8" s="1">
        <f>'2022 Korr med revekting arbavg'!AY8</f>
        <v>-3.4100664376535703</v>
      </c>
      <c r="U8" s="1">
        <f>'2022 Korr med revekting arbavg'!BF8</f>
        <v>0.14900685494373869</v>
      </c>
      <c r="V8" s="1">
        <f>'2022 Korr med revekting arbavg'!BM8</f>
        <v>-2.1651373973704655</v>
      </c>
      <c r="W8" s="1">
        <f>'2022 Korr med revekting arbavg'!BT8</f>
        <v>0</v>
      </c>
      <c r="X8" s="1">
        <f>'2022 Korr med revekting arbavg'!CA8</f>
        <v>0</v>
      </c>
      <c r="Y8" s="1"/>
      <c r="Z8" s="9">
        <f t="shared" si="3"/>
        <v>-392.4693374007075</v>
      </c>
      <c r="AB8" s="1">
        <f>+'2022 Korr med revekting pensjon'!I8</f>
        <v>80.341326806397205</v>
      </c>
      <c r="AC8" s="1">
        <f>+'2022 Korr med revekting pensjon'!P8</f>
        <v>12.327267553333954</v>
      </c>
      <c r="AD8" s="1">
        <f>+'2022 Korr med revekting pensjon'!W8</f>
        <v>1.6198527416229647</v>
      </c>
      <c r="AE8" s="1">
        <f>+'2022 Korr med revekting pensjon'!AD8</f>
        <v>0.87933475185761401</v>
      </c>
      <c r="AF8" s="1">
        <f>+'2022 Korr med revekting pensjon'!AK8</f>
        <v>11.36276104498454</v>
      </c>
      <c r="AG8" s="48">
        <f t="shared" si="4"/>
        <v>-77.432902776878947</v>
      </c>
      <c r="AH8" s="1"/>
      <c r="AI8" s="1">
        <f>+'2022 Korr med revekting pensjon'!AR8</f>
        <v>-81.967902808762346</v>
      </c>
      <c r="AJ8" s="1">
        <f>+'2022 Korr med revekting pensjon'!AY8</f>
        <v>3.325169657661402</v>
      </c>
      <c r="AK8" s="1">
        <f>+'2022 Korr med revekting pensjon'!BF8</f>
        <v>-9.6778766729163107E-2</v>
      </c>
      <c r="AL8" s="1">
        <f>+'2022 Korr med revekting pensjon'!BM8</f>
        <v>1.3066091409511535</v>
      </c>
      <c r="AM8" s="1">
        <f>+'2022 Korr med revekting pensjon'!BT8</f>
        <v>0</v>
      </c>
      <c r="AN8" s="1">
        <f>+'2022 Korr med revekting pensjon'!CA8</f>
        <v>0</v>
      </c>
      <c r="AO8" s="1"/>
      <c r="AP8" s="9">
        <f t="shared" si="5"/>
        <v>29.097640121317326</v>
      </c>
      <c r="AQ8" s="1"/>
      <c r="AR8" s="9">
        <f>+'2022 Korr med revekt premieavv'!J8</f>
        <v>31.496106589573529</v>
      </c>
      <c r="AT8" s="9"/>
      <c r="AV8" s="9">
        <f t="shared" si="6"/>
        <v>5999.0027225563308</v>
      </c>
      <c r="AW8" s="1">
        <f>+AV8*'2022 Nto driftsutg'!W8</f>
        <v>1440900463.9308052</v>
      </c>
    </row>
    <row r="9" spans="1:49" x14ac:dyDescent="0.3">
      <c r="A9" s="41">
        <v>3000</v>
      </c>
      <c r="B9" s="42" t="s">
        <v>403</v>
      </c>
      <c r="C9" s="9">
        <f>+'2022 Grunnlag korreksjoner'!C9*1000/'2022 Nto driftsutg'!W9</f>
        <v>-110.76666584070657</v>
      </c>
      <c r="D9" s="1"/>
      <c r="E9" s="1">
        <f>+'2022 Nto driftsutg landet'!$C$5*'2022 Revekting utgiftsbehov'!Z9-'2022 Nto driftsutg landet'!$C$5</f>
        <v>120.07457248466017</v>
      </c>
      <c r="F9" s="1">
        <f>+'2022 Nto driftsutg landet'!$C$6*'2022 Revekting utgiftsbehov'!AA9-'2022 Nto driftsutg landet'!$C$6</f>
        <v>-650.74392297918416</v>
      </c>
      <c r="G9" s="1">
        <f>+'2022 Nto driftsutg landet'!$C$7*'2022 Revekting utgiftsbehov'!AB9-'2022 Nto driftsutg landet'!$C$7</f>
        <v>-842.19989569438621</v>
      </c>
      <c r="H9" s="1">
        <f>+'2022 Nto driftsutg landet'!$C$8*'2022 Revekting utgiftsbehov'!AC9-'2022 Nto driftsutg landet'!$C$8</f>
        <v>-868.27891142943031</v>
      </c>
      <c r="I9" s="1">
        <f>+'2022 Nto driftsutg landet'!$C$9*'2022 Revekting utgiftsbehov'!AD9-'2022 Nto driftsutg landet'!$C$9</f>
        <v>13.171232424029313</v>
      </c>
      <c r="J9" s="9">
        <f t="shared" si="1"/>
        <v>-2227.9769251943112</v>
      </c>
      <c r="L9" s="1">
        <f>'2022 Korr med revekting arbavg'!I9</f>
        <v>46.039351986843485</v>
      </c>
      <c r="M9" s="1">
        <f>'2022 Korr med revekting arbavg'!P9</f>
        <v>4.4023882161939829</v>
      </c>
      <c r="N9" s="1">
        <f>'2022 Korr med revekting arbavg'!W9</f>
        <v>0.17930921546345202</v>
      </c>
      <c r="O9" s="1">
        <f>'2022 Korr med revekting arbavg'!AD9</f>
        <v>0</v>
      </c>
      <c r="P9" s="1">
        <f>'2022 Korr med revekting arbavg'!AK9</f>
        <v>4.7113805853414714</v>
      </c>
      <c r="Q9" s="48">
        <f t="shared" si="2"/>
        <v>7.4331262614592051</v>
      </c>
      <c r="R9" s="1"/>
      <c r="S9" s="1">
        <f>'2022 Korr med revekting arbavg'!AR9</f>
        <v>6.4936673702457623</v>
      </c>
      <c r="T9" s="1">
        <f>'2022 Korr med revekting arbavg'!AY9</f>
        <v>0.61203465031699467</v>
      </c>
      <c r="U9" s="1">
        <f>'2022 Korr med revekting arbavg'!BF9</f>
        <v>-2.2103912314933197E-2</v>
      </c>
      <c r="V9" s="1">
        <f>'2022 Korr med revekting arbavg'!BM9</f>
        <v>0.35477205339619833</v>
      </c>
      <c r="W9" s="1">
        <f>'2022 Korr med revekting arbavg'!BT9</f>
        <v>-3.4272597289338241E-3</v>
      </c>
      <c r="X9" s="1">
        <f>'2022 Korr med revekting arbavg'!CA9</f>
        <v>-1.8166404558826485E-3</v>
      </c>
      <c r="Y9" s="1"/>
      <c r="Z9" s="9">
        <f t="shared" si="3"/>
        <v>62.765556265301605</v>
      </c>
      <c r="AB9" s="1">
        <f>+'2022 Korr med revekting pensjon'!I9</f>
        <v>7.8342730576856807</v>
      </c>
      <c r="AC9" s="1">
        <f>+'2022 Korr med revekting pensjon'!P9</f>
        <v>-5.1076325652123344</v>
      </c>
      <c r="AD9" s="1">
        <f>+'2022 Korr med revekting pensjon'!W9</f>
        <v>-0.56580569114354318</v>
      </c>
      <c r="AE9" s="1">
        <f>+'2022 Korr med revekting pensjon'!AD9</f>
        <v>0</v>
      </c>
      <c r="AF9" s="1">
        <f>+'2022 Korr med revekting pensjon'!AK9</f>
        <v>-20.573334301113352</v>
      </c>
      <c r="AG9" s="48">
        <f t="shared" si="4"/>
        <v>57.814104082591463</v>
      </c>
      <c r="AH9" s="1"/>
      <c r="AI9" s="1">
        <f>+'2022 Korr med revekting pensjon'!AR9</f>
        <v>61.515421388680316</v>
      </c>
      <c r="AJ9" s="1">
        <f>+'2022 Korr med revekting pensjon'!AY9</f>
        <v>-2.2545988854501959</v>
      </c>
      <c r="AK9" s="1">
        <f>+'2022 Korr med revekting pensjon'!BF9</f>
        <v>0.14225394259671201</v>
      </c>
      <c r="AL9" s="1">
        <f>+'2022 Korr med revekting pensjon'!BM9</f>
        <v>-1.5947777559997591</v>
      </c>
      <c r="AM9" s="1">
        <f>+'2022 Korr med revekting pensjon'!BT9</f>
        <v>3.1206245743969027E-3</v>
      </c>
      <c r="AN9" s="1">
        <f>+'2022 Korr med revekting pensjon'!CA9</f>
        <v>2.6847681899885775E-3</v>
      </c>
      <c r="AO9" s="1"/>
      <c r="AP9" s="9">
        <f t="shared" si="5"/>
        <v>39.401604582807913</v>
      </c>
      <c r="AQ9" s="1"/>
      <c r="AR9" s="9">
        <f>+'2022 Korr med revekt premieavv'!J9</f>
        <v>-2.8979139098150632</v>
      </c>
      <c r="AT9" s="9"/>
      <c r="AV9" s="9">
        <f t="shared" si="6"/>
        <v>-2239.4743440967231</v>
      </c>
      <c r="AW9" s="1">
        <f>+AV9*'2022 Nto driftsutg'!W9</f>
        <v>-2842408021.757884</v>
      </c>
    </row>
    <row r="10" spans="1:49" x14ac:dyDescent="0.3">
      <c r="A10" s="41">
        <v>3400</v>
      </c>
      <c r="B10" s="42" t="s">
        <v>404</v>
      </c>
      <c r="C10" s="9">
        <f>+'2022 Grunnlag korreksjoner'!C10*1000/'2022 Nto driftsutg'!W10</f>
        <v>179.82077644229136</v>
      </c>
      <c r="D10" s="1"/>
      <c r="E10" s="1">
        <f>+'2022 Nto driftsutg landet'!$C$5*'2022 Revekting utgiftsbehov'!Z10-'2022 Nto driftsutg landet'!$C$5</f>
        <v>73.493206196697429</v>
      </c>
      <c r="F10" s="1">
        <f>+'2022 Nto driftsutg landet'!$C$6*'2022 Revekting utgiftsbehov'!AA10-'2022 Nto driftsutg landet'!$C$6</f>
        <v>977.27838373119198</v>
      </c>
      <c r="G10" s="1">
        <f>+'2022 Nto driftsutg landet'!$C$7*'2022 Revekting utgiftsbehov'!AB10-'2022 Nto driftsutg landet'!$C$7</f>
        <v>13.903194936797263</v>
      </c>
      <c r="H10" s="1">
        <f>+'2022 Nto driftsutg landet'!$C$8*'2022 Revekting utgiftsbehov'!AC10-'2022 Nto driftsutg landet'!$C$8</f>
        <v>-898.34755170637118</v>
      </c>
      <c r="I10" s="1">
        <f>+'2022 Nto driftsutg landet'!$C$9*'2022 Revekting utgiftsbehov'!AD10-'2022 Nto driftsutg landet'!$C$9</f>
        <v>-17.678801101645831</v>
      </c>
      <c r="J10" s="9">
        <f t="shared" si="1"/>
        <v>148.64843205666966</v>
      </c>
      <c r="L10" s="1">
        <f>'2022 Korr med revekting arbavg'!I10</f>
        <v>-15.723402691897826</v>
      </c>
      <c r="M10" s="1">
        <f>'2022 Korr med revekting arbavg'!P10</f>
        <v>-23.22605300440026</v>
      </c>
      <c r="N10" s="1">
        <f>'2022 Korr med revekting arbavg'!W10</f>
        <v>0.24356613673752617</v>
      </c>
      <c r="O10" s="1">
        <f>'2022 Korr med revekting arbavg'!AD10</f>
        <v>9.9759647814333177E-3</v>
      </c>
      <c r="P10" s="1">
        <f>'2022 Korr med revekting arbavg'!AK10</f>
        <v>-2.2023427458834477</v>
      </c>
      <c r="Q10" s="48">
        <f t="shared" si="2"/>
        <v>8.8717403828516375</v>
      </c>
      <c r="R10" s="1"/>
      <c r="S10" s="1">
        <f>'2022 Korr med revekting arbavg'!AR10</f>
        <v>8.0069802088014619</v>
      </c>
      <c r="T10" s="1">
        <f>'2022 Korr med revekting arbavg'!AY10</f>
        <v>0.54520014769329783</v>
      </c>
      <c r="U10" s="1">
        <f>'2022 Korr med revekting arbavg'!BF10</f>
        <v>-3.4608583293853738E-2</v>
      </c>
      <c r="V10" s="1">
        <f>'2022 Korr med revekting arbavg'!BM10</f>
        <v>0.35416860965073244</v>
      </c>
      <c r="W10" s="1">
        <f>'2022 Korr med revekting arbavg'!BT10</f>
        <v>0</v>
      </c>
      <c r="X10" s="1">
        <f>'2022 Korr med revekting arbavg'!CA10</f>
        <v>0</v>
      </c>
      <c r="Y10" s="1"/>
      <c r="Z10" s="9">
        <f t="shared" si="3"/>
        <v>-32.026515957810943</v>
      </c>
      <c r="AB10" s="1">
        <f>+'2022 Korr med revekting pensjon'!I10</f>
        <v>51.054264415918183</v>
      </c>
      <c r="AC10" s="1">
        <f>+'2022 Korr med revekting pensjon'!P10</f>
        <v>-11.132501551846218</v>
      </c>
      <c r="AD10" s="1">
        <f>+'2022 Korr med revekting pensjon'!W10</f>
        <v>1.8097774878179425</v>
      </c>
      <c r="AE10" s="1">
        <f>+'2022 Korr med revekting pensjon'!AD10</f>
        <v>-2.1297297465315061E-2</v>
      </c>
      <c r="AF10" s="1">
        <f>+'2022 Korr med revekting pensjon'!AK10</f>
        <v>11.676329182699382</v>
      </c>
      <c r="AG10" s="48">
        <f t="shared" si="4"/>
        <v>-83.036339286274952</v>
      </c>
      <c r="AH10" s="1"/>
      <c r="AI10" s="1">
        <f>+'2022 Korr med revekting pensjon'!AR10</f>
        <v>-86.500647061653538</v>
      </c>
      <c r="AJ10" s="1">
        <f>+'2022 Korr med revekting pensjon'!AY10</f>
        <v>5.2229849633699281</v>
      </c>
      <c r="AK10" s="1">
        <f>+'2022 Korr med revekting pensjon'!BF10</f>
        <v>-9.0716570309811131E-2</v>
      </c>
      <c r="AL10" s="1">
        <f>+'2022 Korr med revekting pensjon'!BM10</f>
        <v>-1.667960617681536</v>
      </c>
      <c r="AM10" s="1">
        <f>+'2022 Korr med revekting pensjon'!BT10</f>
        <v>0</v>
      </c>
      <c r="AN10" s="1">
        <f>+'2022 Korr med revekting pensjon'!CA10</f>
        <v>0</v>
      </c>
      <c r="AO10" s="1"/>
      <c r="AP10" s="9">
        <f t="shared" si="5"/>
        <v>-29.649767049150981</v>
      </c>
      <c r="AQ10" s="1"/>
      <c r="AR10" s="9">
        <f>+'2022 Korr med revekt premieavv'!J10</f>
        <v>269.82853291614538</v>
      </c>
      <c r="AT10" s="9"/>
      <c r="AV10" s="9">
        <f t="shared" si="6"/>
        <v>536.62145840814446</v>
      </c>
      <c r="AW10" s="1">
        <f>+AV10*'2022 Nto driftsutg'!W10</f>
        <v>199222326.29839885</v>
      </c>
    </row>
    <row r="11" spans="1:49" x14ac:dyDescent="0.3">
      <c r="A11" s="41">
        <v>3800</v>
      </c>
      <c r="B11" s="42" t="s">
        <v>405</v>
      </c>
      <c r="C11" s="9">
        <f>+'2022 Grunnlag korreksjoner'!C11*1000/'2022 Nto driftsutg'!W11</f>
        <v>70.556157238508405</v>
      </c>
      <c r="D11" s="1"/>
      <c r="E11" s="1">
        <f>+'2022 Nto driftsutg landet'!$C$5*'2022 Revekting utgiftsbehov'!Z11-'2022 Nto driftsutg landet'!$C$5</f>
        <v>116.40728659227261</v>
      </c>
      <c r="F11" s="1">
        <f>+'2022 Nto driftsutg landet'!$C$6*'2022 Revekting utgiftsbehov'!AA11-'2022 Nto driftsutg landet'!$C$6</f>
        <v>-89.268764889061458</v>
      </c>
      <c r="G11" s="1">
        <f>+'2022 Nto driftsutg landet'!$C$7*'2022 Revekting utgiftsbehov'!AB11-'2022 Nto driftsutg landet'!$C$7</f>
        <v>-668.9905683643176</v>
      </c>
      <c r="H11" s="1">
        <f>+'2022 Nto driftsutg landet'!$C$8*'2022 Revekting utgiftsbehov'!AC11-'2022 Nto driftsutg landet'!$C$8</f>
        <v>-808.40532847555698</v>
      </c>
      <c r="I11" s="1">
        <f>+'2022 Nto driftsutg landet'!$C$9*'2022 Revekting utgiftsbehov'!AD11-'2022 Nto driftsutg landet'!$C$9</f>
        <v>-4.0598919074564037</v>
      </c>
      <c r="J11" s="9">
        <f t="shared" si="1"/>
        <v>-1454.3172670441199</v>
      </c>
      <c r="L11" s="1">
        <f>'2022 Korr med revekting arbavg'!I11</f>
        <v>42.431659529972357</v>
      </c>
      <c r="M11" s="1">
        <f>'2022 Korr med revekting arbavg'!P11</f>
        <v>-11.350423461882921</v>
      </c>
      <c r="N11" s="1">
        <f>'2022 Korr med revekting arbavg'!W11</f>
        <v>0.30826339596772301</v>
      </c>
      <c r="O11" s="1">
        <f>'2022 Korr med revekting arbavg'!AD11</f>
        <v>0</v>
      </c>
      <c r="P11" s="1">
        <f>'2022 Korr med revekting arbavg'!AK11</f>
        <v>3.9941397564361689</v>
      </c>
      <c r="Q11" s="48">
        <f t="shared" si="2"/>
        <v>8.6083684668197638</v>
      </c>
      <c r="R11" s="1"/>
      <c r="S11" s="1">
        <f>'2022 Korr med revekting arbavg'!AR11</f>
        <v>7.905256926183144</v>
      </c>
      <c r="T11" s="1">
        <f>'2022 Korr med revekting arbavg'!AY11</f>
        <v>0.37738852348627916</v>
      </c>
      <c r="U11" s="1">
        <f>'2022 Korr med revekting arbavg'!BF11</f>
        <v>-3.7821370691761912E-2</v>
      </c>
      <c r="V11" s="1">
        <f>'2022 Korr med revekting arbavg'!BM11</f>
        <v>0.35936323198945702</v>
      </c>
      <c r="W11" s="1">
        <f>'2022 Korr med revekting arbavg'!BT11</f>
        <v>1.0239296629619851E-2</v>
      </c>
      <c r="X11" s="1">
        <f>'2022 Korr med revekting arbavg'!CA11</f>
        <v>-6.0581407769728863E-3</v>
      </c>
      <c r="Y11" s="1"/>
      <c r="Z11" s="9">
        <f t="shared" si="3"/>
        <v>43.992007687313091</v>
      </c>
      <c r="AB11" s="1">
        <f>+'2022 Korr med revekting pensjon'!I11</f>
        <v>55.206462265392609</v>
      </c>
      <c r="AC11" s="1">
        <f>+'2022 Korr med revekting pensjon'!P11</f>
        <v>-10.3814272661866</v>
      </c>
      <c r="AD11" s="1">
        <f>+'2022 Korr med revekting pensjon'!W11</f>
        <v>0.65116636025781216</v>
      </c>
      <c r="AE11" s="1">
        <f>+'2022 Korr med revekting pensjon'!AD11</f>
        <v>0</v>
      </c>
      <c r="AF11" s="1">
        <f>+'2022 Korr med revekting pensjon'!AK11</f>
        <v>11.272175724685425</v>
      </c>
      <c r="AG11" s="48">
        <f t="shared" si="4"/>
        <v>-84.828588042651305</v>
      </c>
      <c r="AH11" s="1"/>
      <c r="AI11" s="1">
        <f>+'2022 Korr med revekting pensjon'!AR11</f>
        <v>-89.074939718168281</v>
      </c>
      <c r="AJ11" s="1">
        <f>+'2022 Korr med revekting pensjon'!AY11</f>
        <v>2.743845699474377</v>
      </c>
      <c r="AK11" s="1">
        <f>+'2022 Korr med revekting pensjon'!BF11</f>
        <v>-8.3402362916407707E-2</v>
      </c>
      <c r="AL11" s="1">
        <f>+'2022 Korr med revekting pensjon'!BM11</f>
        <v>1.6060548254304545</v>
      </c>
      <c r="AM11" s="1">
        <f>+'2022 Korr med revekting pensjon'!BT11</f>
        <v>-9.3231920584178601E-3</v>
      </c>
      <c r="AN11" s="1">
        <f>+'2022 Korr med revekting pensjon'!CA11</f>
        <v>-1.0823294413032675E-2</v>
      </c>
      <c r="AO11" s="1"/>
      <c r="AP11" s="9">
        <f t="shared" si="5"/>
        <v>-28.080210958502057</v>
      </c>
      <c r="AQ11" s="1"/>
      <c r="AR11" s="9">
        <f>+'2022 Korr med revekt premieavv'!J11</f>
        <v>31.248815898776275</v>
      </c>
      <c r="AT11" s="9"/>
      <c r="AV11" s="9">
        <f t="shared" si="6"/>
        <v>-1336.6004971780242</v>
      </c>
      <c r="AW11" s="1">
        <f>+AV11*'2022 Nto driftsutg'!W11</f>
        <v>-567830662.4171344</v>
      </c>
    </row>
    <row r="12" spans="1:49" x14ac:dyDescent="0.3">
      <c r="A12" s="41">
        <v>4200</v>
      </c>
      <c r="B12" s="42" t="s">
        <v>406</v>
      </c>
      <c r="C12" s="9">
        <f>+'2022 Grunnlag korreksjoner'!C12*1000/'2022 Nto driftsutg'!W12</f>
        <v>78.322451894907019</v>
      </c>
      <c r="D12" s="1"/>
      <c r="E12" s="1">
        <f>+'2022 Nto driftsutg landet'!$C$5*'2022 Revekting utgiftsbehov'!Z12-'2022 Nto driftsutg landet'!$C$5</f>
        <v>442.38818315413846</v>
      </c>
      <c r="F12" s="1">
        <f>+'2022 Nto driftsutg landet'!$C$6*'2022 Revekting utgiftsbehov'!AA12-'2022 Nto driftsutg landet'!$C$6</f>
        <v>272.63824509219262</v>
      </c>
      <c r="G12" s="1">
        <f>+'2022 Nto driftsutg landet'!$C$7*'2022 Revekting utgiftsbehov'!AB12-'2022 Nto driftsutg landet'!$C$7</f>
        <v>-432.56403802924478</v>
      </c>
      <c r="H12" s="1">
        <f>+'2022 Nto driftsutg landet'!$C$8*'2022 Revekting utgiftsbehov'!AC12-'2022 Nto driftsutg landet'!$C$8</f>
        <v>-719.77645337631213</v>
      </c>
      <c r="I12" s="1">
        <f>+'2022 Nto driftsutg landet'!$C$9*'2022 Revekting utgiftsbehov'!AD12-'2022 Nto driftsutg landet'!$C$9</f>
        <v>26.797491214998104</v>
      </c>
      <c r="J12" s="9">
        <f t="shared" si="1"/>
        <v>-410.51657194422774</v>
      </c>
      <c r="L12" s="1">
        <f>'2022 Korr med revekting arbavg'!I12</f>
        <v>48.147932407849062</v>
      </c>
      <c r="M12" s="1">
        <f>'2022 Korr med revekting arbavg'!P12</f>
        <v>-3.6039729665316607</v>
      </c>
      <c r="N12" s="1">
        <f>'2022 Korr med revekting arbavg'!W12</f>
        <v>-4.9580114509258991E-2</v>
      </c>
      <c r="O12" s="1">
        <f>'2022 Korr med revekting arbavg'!AD12</f>
        <v>-2.4337401089058647E-2</v>
      </c>
      <c r="P12" s="1">
        <f>'2022 Korr med revekting arbavg'!AK12</f>
        <v>0.80613939626141551</v>
      </c>
      <c r="Q12" s="48">
        <f t="shared" si="2"/>
        <v>-10.209053655272303</v>
      </c>
      <c r="R12" s="1"/>
      <c r="S12" s="1">
        <f>'2022 Korr med revekting arbavg'!AR12</f>
        <v>-10.392629257608922</v>
      </c>
      <c r="T12" s="1">
        <f>'2022 Korr med revekting arbavg'!AY12</f>
        <v>0.24126218641331956</v>
      </c>
      <c r="U12" s="1">
        <f>'2022 Korr med revekting arbavg'!BF12</f>
        <v>7.2403528651835358E-2</v>
      </c>
      <c r="V12" s="1">
        <f>'2022 Korr med revekting arbavg'!BM12</f>
        <v>-0.12465044536780442</v>
      </c>
      <c r="W12" s="1">
        <f>'2022 Korr med revekting arbavg'!BT12</f>
        <v>0</v>
      </c>
      <c r="X12" s="1">
        <f>'2022 Korr med revekting arbavg'!CA12</f>
        <v>-5.4396673607316108E-3</v>
      </c>
      <c r="Y12" s="1"/>
      <c r="Z12" s="9">
        <f t="shared" si="3"/>
        <v>35.067127666708188</v>
      </c>
      <c r="AB12" s="1">
        <f>+'2022 Korr med revekting pensjon'!I12</f>
        <v>-91.905184320613316</v>
      </c>
      <c r="AC12" s="1">
        <f>+'2022 Korr med revekting pensjon'!P12</f>
        <v>-4.7478570368626283</v>
      </c>
      <c r="AD12" s="1">
        <f>+'2022 Korr med revekting pensjon'!W12</f>
        <v>-0.5449110968072699</v>
      </c>
      <c r="AE12" s="1">
        <f>+'2022 Korr med revekting pensjon'!AD12</f>
        <v>-2.1476266652544342E-2</v>
      </c>
      <c r="AF12" s="1">
        <f>+'2022 Korr med revekting pensjon'!AK12</f>
        <v>0.51984514907232093</v>
      </c>
      <c r="AG12" s="48">
        <f t="shared" si="4"/>
        <v>52.859539984006638</v>
      </c>
      <c r="AH12" s="1"/>
      <c r="AI12" s="1">
        <f>+'2022 Korr med revekting pensjon'!AR12</f>
        <v>51.8781593309645</v>
      </c>
      <c r="AJ12" s="1">
        <f>+'2022 Korr med revekting pensjon'!AY12</f>
        <v>0.83074649648977261</v>
      </c>
      <c r="AK12" s="1">
        <f>+'2022 Korr med revekting pensjon'!BF12</f>
        <v>1.6333539343726896E-3</v>
      </c>
      <c r="AL12" s="1">
        <f>+'2022 Korr med revekting pensjon'!BM12</f>
        <v>0.13841313956419582</v>
      </c>
      <c r="AM12" s="1">
        <f>+'2022 Korr med revekting pensjon'!BT12</f>
        <v>0</v>
      </c>
      <c r="AN12" s="1">
        <f>+'2022 Korr med revekting pensjon'!CA12</f>
        <v>1.0587663053796839E-2</v>
      </c>
      <c r="AO12" s="1"/>
      <c r="AP12" s="9">
        <f t="shared" si="5"/>
        <v>-43.84004358785679</v>
      </c>
      <c r="AQ12" s="1"/>
      <c r="AR12" s="9">
        <f>+'2022 Korr med revekt premieavv'!J12</f>
        <v>148.86126690456453</v>
      </c>
      <c r="AT12" s="9"/>
      <c r="AV12" s="9">
        <f t="shared" si="6"/>
        <v>-192.10576906590475</v>
      </c>
      <c r="AW12" s="1">
        <f>+AV12*'2022 Nto driftsutg'!W12</f>
        <v>-59770636.352551207</v>
      </c>
    </row>
    <row r="13" spans="1:49" x14ac:dyDescent="0.3">
      <c r="A13" s="41">
        <v>4600</v>
      </c>
      <c r="B13" s="42" t="s">
        <v>407</v>
      </c>
      <c r="C13" s="9">
        <f>+'2022 Grunnlag korreksjoner'!C13*1000/'2022 Nto driftsutg'!W13</f>
        <v>-158.93874257187053</v>
      </c>
      <c r="D13" s="1"/>
      <c r="E13" s="1">
        <f>+'2022 Nto driftsutg landet'!$C$5*'2022 Revekting utgiftsbehov'!Z13-'2022 Nto driftsutg landet'!$C$5</f>
        <v>386.81619498464352</v>
      </c>
      <c r="F13" s="1">
        <f>+'2022 Nto driftsutg landet'!$C$6*'2022 Revekting utgiftsbehov'!AA13-'2022 Nto driftsutg landet'!$C$6</f>
        <v>334.15444767178792</v>
      </c>
      <c r="G13" s="1">
        <f>+'2022 Nto driftsutg landet'!$C$7*'2022 Revekting utgiftsbehov'!AB13-'2022 Nto driftsutg landet'!$C$7</f>
        <v>0.58858672829182979</v>
      </c>
      <c r="H13" s="1">
        <f>+'2022 Nto driftsutg landet'!$C$8*'2022 Revekting utgiftsbehov'!AC13-'2022 Nto driftsutg landet'!$C$8</f>
        <v>1073.4984236889397</v>
      </c>
      <c r="I13" s="1">
        <f>+'2022 Nto driftsutg landet'!$C$9*'2022 Revekting utgiftsbehov'!AD13-'2022 Nto driftsutg landet'!$C$9</f>
        <v>16.767626251326419</v>
      </c>
      <c r="J13" s="9">
        <f t="shared" si="1"/>
        <v>1811.8252793249894</v>
      </c>
      <c r="L13" s="1">
        <f>'2022 Korr med revekting arbavg'!I13</f>
        <v>29.217579937279538</v>
      </c>
      <c r="M13" s="1">
        <f>'2022 Korr med revekting arbavg'!P13</f>
        <v>36.369913657883103</v>
      </c>
      <c r="N13" s="1">
        <f>'2022 Korr med revekting arbavg'!W13</f>
        <v>0.2355209126095949</v>
      </c>
      <c r="O13" s="1">
        <f>'2022 Korr med revekting arbavg'!AD13</f>
        <v>0</v>
      </c>
      <c r="P13" s="1">
        <f>'2022 Korr med revekting arbavg'!AK13</f>
        <v>2.3074614445668487</v>
      </c>
      <c r="Q13" s="48">
        <f t="shared" si="2"/>
        <v>-14.314694075297723</v>
      </c>
      <c r="R13" s="1"/>
      <c r="S13" s="1">
        <f>'2022 Korr med revekting arbavg'!AR13</f>
        <v>-14.474379554194043</v>
      </c>
      <c r="T13" s="1">
        <f>'2022 Korr med revekting arbavg'!AY13</f>
        <v>0.18389823973910716</v>
      </c>
      <c r="U13" s="1">
        <f>'2022 Korr med revekting arbavg'!BF13</f>
        <v>-1.7208185114453205E-2</v>
      </c>
      <c r="V13" s="1">
        <f>'2022 Korr med revekting arbavg'!BM13</f>
        <v>-5.1240317572005525E-3</v>
      </c>
      <c r="W13" s="1">
        <f>'2022 Korr med revekting arbavg'!BT13</f>
        <v>0</v>
      </c>
      <c r="X13" s="1">
        <f>'2022 Korr med revekting arbavg'!CA13</f>
        <v>-1.8805439711355187E-3</v>
      </c>
      <c r="Y13" s="1"/>
      <c r="Z13" s="9">
        <f t="shared" si="3"/>
        <v>53.815781877041374</v>
      </c>
      <c r="AB13" s="1">
        <f>+'2022 Korr med revekting pensjon'!I13</f>
        <v>-199.48485609115687</v>
      </c>
      <c r="AC13" s="1">
        <f>+'2022 Korr med revekting pensjon'!P13</f>
        <v>22.376840207688268</v>
      </c>
      <c r="AD13" s="1">
        <f>+'2022 Korr med revekting pensjon'!W13</f>
        <v>-3.3783631109078525</v>
      </c>
      <c r="AE13" s="1">
        <f>+'2022 Korr med revekting pensjon'!AD13</f>
        <v>0</v>
      </c>
      <c r="AF13" s="1">
        <f>+'2022 Korr med revekting pensjon'!AK13</f>
        <v>-21.86840325130763</v>
      </c>
      <c r="AG13" s="48">
        <f t="shared" si="4"/>
        <v>23.717350207552258</v>
      </c>
      <c r="AH13" s="1"/>
      <c r="AI13" s="1">
        <f>+'2022 Korr med revekting pensjon'!AR13</f>
        <v>27.845549086105681</v>
      </c>
      <c r="AJ13" s="1">
        <f>+'2022 Korr med revekting pensjon'!AY13</f>
        <v>-2.657281244804953</v>
      </c>
      <c r="AK13" s="1">
        <f>+'2022 Korr med revekting pensjon'!BF13</f>
        <v>0.14755744164885165</v>
      </c>
      <c r="AL13" s="1">
        <f>+'2022 Korr med revekting pensjon'!BM13</f>
        <v>-1.6194691086069433</v>
      </c>
      <c r="AM13" s="1">
        <f>+'2022 Korr med revekting pensjon'!BT13</f>
        <v>0</v>
      </c>
      <c r="AN13" s="1">
        <f>+'2022 Korr med revekting pensjon'!CA13</f>
        <v>9.940332096209255E-4</v>
      </c>
      <c r="AO13" s="1"/>
      <c r="AP13" s="9">
        <f t="shared" si="5"/>
        <v>-178.63743203813181</v>
      </c>
      <c r="AQ13" s="1"/>
      <c r="AR13" s="9">
        <f>+'2022 Korr med revekt premieavv'!J13</f>
        <v>200.17855768872795</v>
      </c>
      <c r="AT13" s="9"/>
      <c r="AV13" s="9">
        <f t="shared" si="6"/>
        <v>1728.2434442807564</v>
      </c>
      <c r="AW13" s="1">
        <f>+AV13*'2022 Nto driftsutg'!W13</f>
        <v>1108308694.8696949</v>
      </c>
    </row>
    <row r="14" spans="1:49" x14ac:dyDescent="0.3">
      <c r="A14" s="41">
        <v>5000</v>
      </c>
      <c r="B14" s="42" t="s">
        <v>388</v>
      </c>
      <c r="C14" s="9">
        <f>+'2022 Grunnlag korreksjoner'!C14*1000/'2022 Nto driftsutg'!W14</f>
        <v>24.588236856459499</v>
      </c>
      <c r="D14" s="1"/>
      <c r="E14" s="1">
        <f>+'2022 Nto driftsutg landet'!$C$5*'2022 Revekting utgiftsbehov'!Z14-'2022 Nto driftsutg landet'!$C$5</f>
        <v>131.13930344730397</v>
      </c>
      <c r="F14" s="1">
        <f>+'2022 Nto driftsutg landet'!$C$6*'2022 Revekting utgiftsbehov'!AA14-'2022 Nto driftsutg landet'!$C$6</f>
        <v>505.92046786156629</v>
      </c>
      <c r="G14" s="1">
        <f>+'2022 Nto driftsutg landet'!$C$7*'2022 Revekting utgiftsbehov'!AB14-'2022 Nto driftsutg landet'!$C$7</f>
        <v>151.47476001212863</v>
      </c>
      <c r="H14" s="1">
        <f>+'2022 Nto driftsutg landet'!$C$8*'2022 Revekting utgiftsbehov'!AC14-'2022 Nto driftsutg landet'!$C$8</f>
        <v>210.47979404371313</v>
      </c>
      <c r="I14" s="1">
        <f>+'2022 Nto driftsutg landet'!$C$9*'2022 Revekting utgiftsbehov'!AD14-'2022 Nto driftsutg landet'!$C$9</f>
        <v>2.3471430164789808</v>
      </c>
      <c r="J14" s="9">
        <f t="shared" si="1"/>
        <v>1001.361468381191</v>
      </c>
      <c r="L14" s="1">
        <f>'2022 Korr med revekting arbavg'!I14</f>
        <v>-1.2433413764553691</v>
      </c>
      <c r="M14" s="1">
        <f>'2022 Korr med revekting arbavg'!P14</f>
        <v>13.104209245474539</v>
      </c>
      <c r="N14" s="1">
        <f>'2022 Korr med revekting arbavg'!W14</f>
        <v>0.3795089734806647</v>
      </c>
      <c r="O14" s="1">
        <f>'2022 Korr med revekting arbavg'!AD14</f>
        <v>0.21042606647899464</v>
      </c>
      <c r="P14" s="1">
        <f>'2022 Korr med revekting arbavg'!AK14</f>
        <v>-0.36106876395803478</v>
      </c>
      <c r="Q14" s="48">
        <f t="shared" si="2"/>
        <v>-25.379264069465769</v>
      </c>
      <c r="R14" s="1"/>
      <c r="S14" s="1">
        <f>'2022 Korr med revekting arbavg'!AR14</f>
        <v>-26.197366003971002</v>
      </c>
      <c r="T14" s="1">
        <f>'2022 Korr med revekting arbavg'!AY14</f>
        <v>0.40586810504034165</v>
      </c>
      <c r="U14" s="1">
        <f>'2022 Korr med revekting arbavg'!BF14</f>
        <v>1.0064756933471405E-2</v>
      </c>
      <c r="V14" s="1">
        <f>'2022 Korr med revekting arbavg'!BM14</f>
        <v>0.40216907253141976</v>
      </c>
      <c r="W14" s="1">
        <f>'2022 Korr med revekting arbavg'!BT14</f>
        <v>0</v>
      </c>
      <c r="X14" s="1">
        <f>'2022 Korr med revekting arbavg'!CA14</f>
        <v>0</v>
      </c>
      <c r="Y14" s="1"/>
      <c r="Z14" s="9">
        <f t="shared" si="3"/>
        <v>-13.289529924444974</v>
      </c>
      <c r="AB14" s="1">
        <f>+'2022 Korr med revekting pensjon'!I14</f>
        <v>-11.892328680976629</v>
      </c>
      <c r="AC14" s="1">
        <f>+'2022 Korr med revekting pensjon'!P14</f>
        <v>-2.4273087703997498</v>
      </c>
      <c r="AD14" s="1">
        <f>+'2022 Korr med revekting pensjon'!W14</f>
        <v>-2.0887494060065532</v>
      </c>
      <c r="AE14" s="1">
        <f>+'2022 Korr med revekting pensjon'!AD14</f>
        <v>-0.50503710042929806</v>
      </c>
      <c r="AF14" s="1">
        <f>+'2022 Korr med revekting pensjon'!AK14</f>
        <v>-15.220276536311303</v>
      </c>
      <c r="AG14" s="48">
        <f t="shared" si="4"/>
        <v>116.27937736314134</v>
      </c>
      <c r="AH14" s="1"/>
      <c r="AI14" s="1">
        <f>+'2022 Korr med revekting pensjon'!AR14</f>
        <v>119.10392752688222</v>
      </c>
      <c r="AJ14" s="1">
        <f>+'2022 Korr med revekting pensjon'!AY14</f>
        <v>-1.6010198870799646</v>
      </c>
      <c r="AK14" s="1">
        <f>+'2022 Korr med revekting pensjon'!BF14</f>
        <v>0.14409935065920537</v>
      </c>
      <c r="AL14" s="1">
        <f>+'2022 Korr med revekting pensjon'!BM14</f>
        <v>-1.3676296273201123</v>
      </c>
      <c r="AM14" s="1">
        <f>+'2022 Korr med revekting pensjon'!BT14</f>
        <v>0</v>
      </c>
      <c r="AN14" s="1">
        <f>+'2022 Korr med revekting pensjon'!CA14</f>
        <v>0</v>
      </c>
      <c r="AO14" s="1"/>
      <c r="AP14" s="9">
        <f t="shared" si="5"/>
        <v>84.145676869017805</v>
      </c>
      <c r="AQ14" s="1"/>
      <c r="AR14" s="9">
        <f>+'2022 Korr med revekt premieavv'!J14</f>
        <v>77.436772209780173</v>
      </c>
      <c r="AT14" s="9"/>
      <c r="AV14" s="9">
        <f t="shared" si="6"/>
        <v>1174.2426243920036</v>
      </c>
      <c r="AW14" s="1">
        <f>+AV14*'2022 Nto driftsutg'!W14</f>
        <v>556744829.74560499</v>
      </c>
    </row>
    <row r="15" spans="1:49" x14ac:dyDescent="0.3">
      <c r="A15" s="41">
        <v>5400</v>
      </c>
      <c r="B15" s="42" t="s">
        <v>408</v>
      </c>
      <c r="C15" s="9">
        <f>+'2022 Grunnlag korreksjoner'!C15*1000/'2022 Nto driftsutg'!W15</f>
        <v>244.68317097474102</v>
      </c>
      <c r="D15" s="1"/>
      <c r="E15" s="1">
        <f>+'2022 Nto driftsutg landet'!$C$5*'2022 Revekting utgiftsbehov'!Z15-'2022 Nto driftsutg landet'!$C$5</f>
        <v>414.10906905498905</v>
      </c>
      <c r="F15" s="1">
        <f>+'2022 Nto driftsutg landet'!$C$6*'2022 Revekting utgiftsbehov'!AA15-'2022 Nto driftsutg landet'!$C$6</f>
        <v>1927.1844209667577</v>
      </c>
      <c r="G15" s="1">
        <f>+'2022 Nto driftsutg landet'!$C$7*'2022 Revekting utgiftsbehov'!AB15-'2022 Nto driftsutg landet'!$C$7</f>
        <v>299.79141281427792</v>
      </c>
      <c r="H15" s="1">
        <f>+'2022 Nto driftsutg landet'!$C$8*'2022 Revekting utgiftsbehov'!AC15-'2022 Nto driftsutg landet'!$C$8</f>
        <v>2028.3355520308066</v>
      </c>
      <c r="I15" s="1">
        <f>+'2022 Nto driftsutg landet'!$C$9*'2022 Revekting utgiftsbehov'!AD15-'2022 Nto driftsutg landet'!$C$9</f>
        <v>-15.239553956305599</v>
      </c>
      <c r="J15" s="9">
        <f t="shared" si="1"/>
        <v>4654.1809009105255</v>
      </c>
      <c r="L15" s="1">
        <f>'2022 Korr med revekting arbavg'!I15</f>
        <v>-369.87362732889073</v>
      </c>
      <c r="M15" s="1">
        <f>'2022 Korr med revekting arbavg'!P15</f>
        <v>-55.893124168348727</v>
      </c>
      <c r="N15" s="1">
        <f>'2022 Korr med revekting arbavg'!W15</f>
        <v>-3.5413258218411658</v>
      </c>
      <c r="O15" s="1">
        <f>'2022 Korr med revekting arbavg'!AD15</f>
        <v>-1.1951106603352577</v>
      </c>
      <c r="P15" s="1">
        <f>'2022 Korr med revekting arbavg'!AK15</f>
        <v>-29.431560006609136</v>
      </c>
      <c r="Q15" s="48">
        <f t="shared" si="2"/>
        <v>-41.24268820754768</v>
      </c>
      <c r="R15" s="1"/>
      <c r="S15" s="1">
        <f>'2022 Korr med revekting arbavg'!AR15</f>
        <v>-34.004969957763834</v>
      </c>
      <c r="T15" s="1">
        <f>'2022 Korr med revekting arbavg'!AY15</f>
        <v>-4.4991326210859155</v>
      </c>
      <c r="U15" s="1">
        <f>'2022 Korr med revekting arbavg'!BF15</f>
        <v>0.19660303595777684</v>
      </c>
      <c r="V15" s="1">
        <f>'2022 Korr med revekting arbavg'!BM15</f>
        <v>-2.9473202761054083</v>
      </c>
      <c r="W15" s="1">
        <f>'2022 Korr med revekting arbavg'!BT15</f>
        <v>0</v>
      </c>
      <c r="X15" s="1">
        <f>'2022 Korr med revekting arbavg'!CA15</f>
        <v>1.2131611449696308E-2</v>
      </c>
      <c r="Y15" s="1"/>
      <c r="Z15" s="9">
        <f t="shared" si="3"/>
        <v>-501.1774361935727</v>
      </c>
      <c r="AB15" s="1">
        <f>+'2022 Korr med revekting pensjon'!I15</f>
        <v>88.273921034417853</v>
      </c>
      <c r="AC15" s="1">
        <f>+'2022 Korr med revekting pensjon'!P15</f>
        <v>-5.4749444913775598</v>
      </c>
      <c r="AD15" s="1">
        <f>+'2022 Korr med revekting pensjon'!W15</f>
        <v>1.0127551821912988</v>
      </c>
      <c r="AE15" s="1">
        <f>+'2022 Korr med revekting pensjon'!AD15</f>
        <v>0.21421411498337042</v>
      </c>
      <c r="AF15" s="1">
        <f>+'2022 Korr med revekting pensjon'!AK15</f>
        <v>10.323408204429892</v>
      </c>
      <c r="AG15" s="48">
        <f t="shared" si="4"/>
        <v>-83.54238809271402</v>
      </c>
      <c r="AH15" s="1"/>
      <c r="AI15" s="1">
        <f>+'2022 Korr med revekting pensjon'!AR15</f>
        <v>-87.725414629999221</v>
      </c>
      <c r="AJ15" s="1">
        <f>+'2022 Korr med revekting pensjon'!AY15</f>
        <v>2.9603151303743092</v>
      </c>
      <c r="AK15" s="1">
        <f>+'2022 Korr med revekting pensjon'!BF15</f>
        <v>-9.3384785351751681E-2</v>
      </c>
      <c r="AL15" s="1">
        <f>+'2022 Korr med revekting pensjon'!BM15</f>
        <v>1.3376615866968082</v>
      </c>
      <c r="AM15" s="1">
        <f>+'2022 Korr med revekting pensjon'!BT15</f>
        <v>0</v>
      </c>
      <c r="AN15" s="1">
        <f>+'2022 Korr med revekting pensjon'!CA15</f>
        <v>-2.1565394434180117E-2</v>
      </c>
      <c r="AO15" s="1"/>
      <c r="AP15" s="9">
        <f t="shared" si="5"/>
        <v>10.806965951930835</v>
      </c>
      <c r="AQ15" s="1"/>
      <c r="AR15" s="9">
        <f>+'2022 Korr med revekt premieavv'!J15</f>
        <v>-53.952148498800696</v>
      </c>
      <c r="AT15" s="9"/>
      <c r="AV15" s="9">
        <f t="shared" si="6"/>
        <v>4354.5414531448241</v>
      </c>
      <c r="AW15" s="1">
        <f>+AV15*'2022 Nto driftsutg'!W15</f>
        <v>1052649432.7174172</v>
      </c>
    </row>
    <row r="16" spans="1:49" x14ac:dyDescent="0.3">
      <c r="C16" s="8"/>
      <c r="E16" s="4"/>
      <c r="F16" s="4"/>
      <c r="G16" s="4"/>
      <c r="H16" s="1"/>
      <c r="I16" s="4"/>
      <c r="J16" s="8"/>
      <c r="Q16" s="49"/>
      <c r="Z16" s="9"/>
      <c r="AG16" s="49"/>
      <c r="AP16" s="8"/>
      <c r="AQ16" s="4"/>
      <c r="AR16" s="9"/>
      <c r="AT16" s="9"/>
      <c r="AV16" s="9"/>
    </row>
    <row r="17" spans="2:49" x14ac:dyDescent="0.3">
      <c r="B17" s="1" t="s">
        <v>3</v>
      </c>
      <c r="C17" s="9">
        <v>0</v>
      </c>
      <c r="D17" s="1"/>
      <c r="E17" s="1">
        <v>0</v>
      </c>
      <c r="F17" s="1">
        <f>+'2022 Nto driftsutg landet'!$C$6*'[1]2022 Nøkkel revektet'!E17-'2022 Nto driftsutg landet'!$C$6</f>
        <v>0</v>
      </c>
      <c r="G17" s="1">
        <f>+'2022 Nto driftsutg landet'!$C$6*'[1]2022 Nøkkel revektet'!F17-'2022 Nto driftsutg landet'!$C$6</f>
        <v>0</v>
      </c>
      <c r="H17" s="1">
        <f>+'2022 Nto driftsutg landet'!$C$8*'[1]2022 Nøkkel revektet'!G17-'2022 Nto driftsutg landet'!$C$8</f>
        <v>0</v>
      </c>
      <c r="I17" s="1">
        <f>+'2022 Nto driftsutg landet'!$C$6*'[1]2022 Nøkkel revektet'!H17-'2022 Nto driftsutg landet'!$C$6</f>
        <v>0</v>
      </c>
      <c r="J17" s="9">
        <f>SUM(E17:I17)</f>
        <v>0</v>
      </c>
      <c r="K17" s="1"/>
      <c r="L17" s="1">
        <f>+'2022 Korr med revekting arbavg'!J17</f>
        <v>-1.7462298274040222E-10</v>
      </c>
      <c r="M17" s="1">
        <f>+'2022 Korr med revekting arbavg'!Q17</f>
        <v>-2.0008883439004421E-11</v>
      </c>
      <c r="N17" s="1">
        <f>+'2022 Korr med revekting arbavg'!X17</f>
        <v>-3.4106051316484809E-12</v>
      </c>
      <c r="O17" s="1">
        <f>+'2022 Korr med revekting arbavg'!AE17</f>
        <v>0</v>
      </c>
      <c r="P17" s="1">
        <f>+'2022 Korr med revekting arbavg'!AL17</f>
        <v>2.3646862246096134E-11</v>
      </c>
      <c r="Q17" s="48">
        <f>SUM(R17:Y17)</f>
        <v>-5.9490190551514388E-12</v>
      </c>
      <c r="R17" s="1"/>
      <c r="S17" s="1">
        <f>'2022 Korr med revekting arbavg'!AR17</f>
        <v>0</v>
      </c>
      <c r="T17" s="1">
        <f>'2022 Korr med revekting arbavg'!AZ17</f>
        <v>-3.865352482534945E-12</v>
      </c>
      <c r="U17" s="1">
        <f>'2022 Korr med revekting arbavg'!BG17</f>
        <v>2.0605739337042905E-13</v>
      </c>
      <c r="V17" s="1">
        <f>'2022 Korr med revekting arbavg'!BN17</f>
        <v>-2.2737367544323206E-12</v>
      </c>
      <c r="W17" s="1">
        <f>'2022 Korr med revekting arbavg'!BU17</f>
        <v>-1.5987211554602254E-14</v>
      </c>
      <c r="X17" s="1">
        <f>'2022 Korr med revekting arbavg'!CB17</f>
        <v>0</v>
      </c>
      <c r="Y17" s="1"/>
      <c r="Z17" s="9">
        <f>SUM(L17:P17)+Q17</f>
        <v>-1.8034462812011043E-10</v>
      </c>
      <c r="AB17" s="1">
        <f>+'2022 Korr med revekting pensjon'!J17</f>
        <v>-3.4924596548080444E-10</v>
      </c>
      <c r="AC17" s="1">
        <f>+'2022 Korr med revekting pensjon'!Q17</f>
        <v>-2.2282620193436742E-11</v>
      </c>
      <c r="AD17" s="1">
        <f>+'2022 Korr med revekting pensjon'!X17</f>
        <v>-2.3305801732931286E-12</v>
      </c>
      <c r="AE17" s="1">
        <f>+'2022 Korr med revekting pensjon'!AE17</f>
        <v>-7.1054273576010019E-14</v>
      </c>
      <c r="AF17" s="1">
        <f>+'2022 Korr med revekting pensjon'!AL17</f>
        <v>2.0463630789890885E-11</v>
      </c>
      <c r="AG17" s="48"/>
      <c r="AH17" s="1"/>
      <c r="AI17" s="1">
        <f>+'2022 Korr med revekting pensjon'!AS17</f>
        <v>-31.223445395800809</v>
      </c>
      <c r="AJ17" s="1">
        <f>+'2022 Korr med revekting pensjon'!AZ17</f>
        <v>-3.979039320256561E-12</v>
      </c>
      <c r="AK17" s="1">
        <f>+'2022 Korr med revekting pensjon'!BG17</f>
        <v>2.8421709430404007E-13</v>
      </c>
      <c r="AL17" s="1">
        <f>+'2022 Korr med revekting pensjon'!BN17</f>
        <v>-2.3874235921539366E-12</v>
      </c>
      <c r="AM17" s="1">
        <f>+'2022 Korr med revekting pensjon'!BU17</f>
        <v>4.4408920985006262E-15</v>
      </c>
      <c r="AN17" s="1">
        <f>+'2022 Korr med revekting pensjon'!CB17</f>
        <v>0</v>
      </c>
      <c r="AO17" s="1"/>
      <c r="AP17" s="9">
        <f>SUM(AB17:AF17)+AG17</f>
        <v>-3.5346658933121944E-10</v>
      </c>
      <c r="AQ17" s="1"/>
      <c r="AR17" s="9">
        <f>+'2022 Korr med revekt premieavv'!K17</f>
        <v>28960.625686587766</v>
      </c>
      <c r="AT17" s="9"/>
      <c r="AV17" s="9">
        <f>+C17+J17+Z17+AP17+AR17</f>
        <v>28960.625686587231</v>
      </c>
      <c r="AW17" s="5">
        <f>SUM(AW5:AW15)</f>
        <v>-13991.487777471542</v>
      </c>
    </row>
    <row r="19" spans="2:49" x14ac:dyDescent="0.3">
      <c r="E19" s="5"/>
      <c r="F19" s="5"/>
      <c r="G19" s="5"/>
      <c r="H19" s="5"/>
      <c r="I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M19" s="5"/>
      <c r="AN19" s="5"/>
      <c r="AO19" s="5"/>
    </row>
    <row r="21" spans="2:49" x14ac:dyDescent="0.3">
      <c r="E21" t="s">
        <v>313</v>
      </c>
    </row>
    <row r="22" spans="2:49" x14ac:dyDescent="0.3">
      <c r="C22" t="s">
        <v>314</v>
      </c>
      <c r="E22" s="5">
        <f>+C6+E6+L6+AB6</f>
        <v>422.91227798058821</v>
      </c>
    </row>
  </sheetData>
  <sheetProtection algorithmName="SHA-512" hashValue="W9R84j/rB5eanx44ZIYr/FEYu165ClfHAA6YMBFEIXhJPM7A74oyeYwPLvFs3WoWKJun4nNuhbAzGrp93G8OnA==" saltValue="uv/zq0pfVni6stexOuTsa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2850-E553-4C4E-8A35-9E97F9C8BEAF}">
  <dimension ref="A2:F36"/>
  <sheetViews>
    <sheetView workbookViewId="0">
      <selection activeCell="G30" sqref="G30"/>
    </sheetView>
  </sheetViews>
  <sheetFormatPr baseColWidth="10" defaultRowHeight="14.4" x14ac:dyDescent="0.3"/>
  <cols>
    <col min="1" max="1" width="39.109375" customWidth="1"/>
    <col min="2" max="3" width="21" customWidth="1"/>
  </cols>
  <sheetData>
    <row r="2" spans="1:5" ht="27" x14ac:dyDescent="0.3">
      <c r="A2" s="22" t="s">
        <v>10</v>
      </c>
      <c r="B2" s="22" t="s">
        <v>33</v>
      </c>
      <c r="C2" s="22" t="s">
        <v>33</v>
      </c>
    </row>
    <row r="3" spans="1:5" x14ac:dyDescent="0.3">
      <c r="A3" s="111"/>
      <c r="B3" s="111" t="s">
        <v>11</v>
      </c>
      <c r="C3" s="111" t="s">
        <v>12</v>
      </c>
    </row>
    <row r="4" spans="1:5" x14ac:dyDescent="0.3">
      <c r="A4" s="107">
        <v>1</v>
      </c>
      <c r="B4" s="107">
        <f>+A4+1</f>
        <v>2</v>
      </c>
      <c r="C4" s="107">
        <f>+B4+1</f>
        <v>3</v>
      </c>
    </row>
    <row r="5" spans="1:5" x14ac:dyDescent="0.3">
      <c r="A5" t="s">
        <v>171</v>
      </c>
      <c r="B5" s="5">
        <f>+'2022 Nto driftsutg eks avskriv'!D17</f>
        <v>34985082</v>
      </c>
      <c r="C5" s="5">
        <f>+B5*1000/'2022 Nto driftsutg'!$W$17</f>
        <v>6448.5421002088378</v>
      </c>
      <c r="E5" s="5"/>
    </row>
    <row r="6" spans="1:5" x14ac:dyDescent="0.3">
      <c r="A6" t="s">
        <v>172</v>
      </c>
      <c r="B6" s="5">
        <f>+'2022 Nto driftsutg eks avskriv'!E17</f>
        <v>9821690</v>
      </c>
      <c r="C6" s="5">
        <f>+B6*1000/'2022 Nto driftsutg'!$W$17</f>
        <v>1810.3596687353809</v>
      </c>
      <c r="E6" s="5"/>
    </row>
    <row r="7" spans="1:5" x14ac:dyDescent="0.3">
      <c r="A7" t="s">
        <v>275</v>
      </c>
      <c r="B7" s="5">
        <f>+'2022 Nto driftsutg eks avskriv'!F17</f>
        <v>13408301</v>
      </c>
      <c r="C7" s="5">
        <f>+B7*1000/'2022 Nto driftsutg'!$W$17</f>
        <v>2471.4532179965236</v>
      </c>
      <c r="E7" s="5"/>
    </row>
    <row r="8" spans="1:5" x14ac:dyDescent="0.3">
      <c r="A8" t="s">
        <v>276</v>
      </c>
      <c r="B8" s="5">
        <f>+'2022 Nto driftsutg eks avskriv'!G17</f>
        <v>5051662</v>
      </c>
      <c r="C8" s="5">
        <f>+B8*1000/'2022 Nto driftsutg'!$W$17</f>
        <v>931.13559325158008</v>
      </c>
      <c r="E8" s="5"/>
    </row>
    <row r="9" spans="1:5" x14ac:dyDescent="0.3">
      <c r="A9" s="21" t="s">
        <v>173</v>
      </c>
      <c r="B9" s="20">
        <f>+'2022 Nto driftsutg eks avskriv'!H17</f>
        <v>2885206</v>
      </c>
      <c r="C9" s="20">
        <f>+B9*1000/'2022 Nto driftsutg'!$W$17</f>
        <v>531.80873947287421</v>
      </c>
      <c r="E9" s="5"/>
    </row>
    <row r="10" spans="1:5" x14ac:dyDescent="0.3">
      <c r="A10" s="112" t="s">
        <v>30</v>
      </c>
      <c r="B10" s="7">
        <f>SUM(B5:B9)</f>
        <v>66151941</v>
      </c>
      <c r="C10" s="7">
        <f>SUM(C5:C9)</f>
        <v>12193.299319665197</v>
      </c>
      <c r="D10" s="7"/>
      <c r="E10" s="7"/>
    </row>
    <row r="11" spans="1:5" x14ac:dyDescent="0.3">
      <c r="A11" s="112"/>
      <c r="B11" s="7"/>
      <c r="C11" s="7"/>
    </row>
    <row r="12" spans="1:5" x14ac:dyDescent="0.3">
      <c r="A12" s="112"/>
      <c r="B12" s="7"/>
      <c r="C12" s="7"/>
    </row>
    <row r="13" spans="1:5" x14ac:dyDescent="0.3">
      <c r="A13" t="s">
        <v>22</v>
      </c>
      <c r="B13" s="50">
        <f>+'2022 Nto driftsutg eks avskriv'!I17</f>
        <v>7697296</v>
      </c>
      <c r="C13" s="5">
        <f>+B13*1000/'2022 Nto driftsutg'!$W$17</f>
        <v>1418.7857931494655</v>
      </c>
      <c r="E13" s="5"/>
    </row>
    <row r="14" spans="1:5" x14ac:dyDescent="0.3">
      <c r="A14" t="s">
        <v>26</v>
      </c>
      <c r="B14" s="5">
        <f>+'2022 Nto driftsutg eks avskriv'!R17</f>
        <v>-608659.14792834804</v>
      </c>
      <c r="C14" s="5">
        <f>+B14*1000/'2022 Nto driftsutg'!$W$17</f>
        <v>-112.18965100876972</v>
      </c>
      <c r="E14" s="5"/>
    </row>
    <row r="15" spans="1:5" x14ac:dyDescent="0.3">
      <c r="A15" t="s">
        <v>23</v>
      </c>
      <c r="B15" s="5">
        <f>+'2022 Nto driftsutg eks avskriv'!S17</f>
        <v>3892031.5445139389</v>
      </c>
      <c r="C15" s="5">
        <f>+B15*1000/'2022 Nto driftsutg'!$W$17</f>
        <v>717.38946531950285</v>
      </c>
      <c r="E15" s="5"/>
    </row>
    <row r="16" spans="1:5" x14ac:dyDescent="0.3">
      <c r="A16" s="21" t="s">
        <v>24</v>
      </c>
      <c r="B16" s="20">
        <f>+'2022 Nto driftsutg eks avskriv'!T17</f>
        <v>7109404.8963334756</v>
      </c>
      <c r="C16" s="20">
        <f>+B16*1000/'2022 Nto driftsutg'!$W$17</f>
        <v>1310.4241625455463</v>
      </c>
      <c r="E16" s="5"/>
    </row>
    <row r="17" spans="1:6" x14ac:dyDescent="0.3">
      <c r="A17" s="112" t="s">
        <v>31</v>
      </c>
      <c r="B17" s="7">
        <f>SUM(B13:B16)</f>
        <v>18090073.292919066</v>
      </c>
      <c r="C17" s="7">
        <f>SUM(C13:C16)</f>
        <v>3334.4097700057446</v>
      </c>
      <c r="D17" s="7"/>
      <c r="E17" s="7"/>
    </row>
    <row r="19" spans="1:6" x14ac:dyDescent="0.3">
      <c r="A19" s="6" t="s">
        <v>32</v>
      </c>
      <c r="B19" s="23">
        <f>+B10+B17</f>
        <v>84242014.29291907</v>
      </c>
      <c r="C19" s="23">
        <f>+B19*1000/'2022 Nto driftsutg'!$W$17</f>
        <v>15527.709089670941</v>
      </c>
      <c r="D19" s="23"/>
      <c r="E19" s="5"/>
      <c r="F19" s="5"/>
    </row>
    <row r="22" spans="1:6" x14ac:dyDescent="0.3">
      <c r="A22" s="6" t="s">
        <v>83</v>
      </c>
    </row>
    <row r="23" spans="1:6" x14ac:dyDescent="0.3">
      <c r="A23" t="s">
        <v>4</v>
      </c>
      <c r="B23" s="5">
        <f>+'2022 Nto driftsutg eks avskriv'!K17</f>
        <v>4707694</v>
      </c>
      <c r="C23" s="5">
        <f>+B23*1000/'2022 Nto driftsutg'!$W$17</f>
        <v>867.73450906590824</v>
      </c>
    </row>
    <row r="24" spans="1:6" x14ac:dyDescent="0.3">
      <c r="A24" t="s">
        <v>174</v>
      </c>
      <c r="B24" s="5">
        <f>+'2022 Nto driftsutg eks avskriv'!L17</f>
        <v>1245084</v>
      </c>
      <c r="C24" s="5">
        <f>+B24*1000/'2022 Nto driftsutg'!$W$17</f>
        <v>229.49714945062641</v>
      </c>
    </row>
    <row r="25" spans="1:6" x14ac:dyDescent="0.3">
      <c r="A25" t="s">
        <v>36</v>
      </c>
      <c r="B25" s="5">
        <f>+'2022 Nto driftsutg eks avskriv'!M17</f>
        <v>-183703</v>
      </c>
      <c r="C25" s="5">
        <f>+B25*1000/'2022 Nto driftsutg'!$W$17</f>
        <v>-33.860618918505438</v>
      </c>
    </row>
    <row r="26" spans="1:6" x14ac:dyDescent="0.3">
      <c r="A26" t="s">
        <v>175</v>
      </c>
      <c r="B26" s="5">
        <f>+'2022 Nto driftsutg eks avskriv'!N17</f>
        <v>1939984</v>
      </c>
      <c r="C26" s="5">
        <f>+B26*1000/'2022 Nto driftsutg'!$W$17</f>
        <v>357.58294057254295</v>
      </c>
    </row>
    <row r="27" spans="1:6" x14ac:dyDescent="0.3">
      <c r="A27" t="s">
        <v>37</v>
      </c>
      <c r="B27" s="5">
        <f>+'2022 Nto driftsutg eks avskriv'!O17</f>
        <v>-4225</v>
      </c>
      <c r="C27" s="5">
        <f>+B27*1000/'2022 Nto driftsutg'!$W$17</f>
        <v>-0.77876308460224097</v>
      </c>
    </row>
    <row r="28" spans="1:6" x14ac:dyDescent="0.3">
      <c r="A28" s="21" t="s">
        <v>38</v>
      </c>
      <c r="B28" s="20">
        <f>+'2022 Nto driftsutg eks avskriv'!P17</f>
        <v>-7538</v>
      </c>
      <c r="C28" s="20">
        <f>+B28*1000/'2022 Nto driftsutg'!$W$17</f>
        <v>-1.3894239365045427</v>
      </c>
    </row>
    <row r="29" spans="1:6" x14ac:dyDescent="0.3">
      <c r="A29" t="s">
        <v>17</v>
      </c>
      <c r="B29" s="50">
        <f>SUM(B23:B28)</f>
        <v>7697296</v>
      </c>
      <c r="C29" s="5">
        <f>SUM(C23:C28)</f>
        <v>1418.7857931494657</v>
      </c>
    </row>
    <row r="33" spans="1:3" x14ac:dyDescent="0.3">
      <c r="A33" s="6"/>
    </row>
    <row r="34" spans="1:3" x14ac:dyDescent="0.3">
      <c r="B34" s="5"/>
      <c r="C34" s="5"/>
    </row>
    <row r="35" spans="1:3" x14ac:dyDescent="0.3">
      <c r="B35" s="5"/>
      <c r="C35" s="5"/>
    </row>
    <row r="36" spans="1:3" x14ac:dyDescent="0.3">
      <c r="B36" s="5"/>
      <c r="C36" s="5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6C1F-74DB-4B4E-9FA9-59DA3D751B33}">
  <sheetPr>
    <tabColor rgb="FF92D050"/>
  </sheetPr>
  <dimension ref="A1:AA38"/>
  <sheetViews>
    <sheetView zoomScale="90" zoomScaleNormal="9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7.109375" customWidth="1"/>
    <col min="22" max="23" width="13.109375" customWidth="1"/>
    <col min="24" max="24" width="4.5546875" customWidth="1"/>
    <col min="26" max="26" width="14" customWidth="1"/>
    <col min="27" max="27" width="14.109375" customWidth="1"/>
  </cols>
  <sheetData>
    <row r="1" spans="1:27" x14ac:dyDescent="0.3">
      <c r="D1" s="5"/>
      <c r="E1" s="5"/>
      <c r="F1" s="5"/>
      <c r="G1" s="5"/>
      <c r="H1" s="5"/>
      <c r="J1" s="5"/>
      <c r="K1" s="5"/>
      <c r="L1" s="5"/>
      <c r="M1" s="5"/>
    </row>
    <row r="2" spans="1:27" ht="104.25" customHeight="1" x14ac:dyDescent="0.3">
      <c r="A2" s="22" t="s">
        <v>2</v>
      </c>
      <c r="B2" s="22" t="s">
        <v>1</v>
      </c>
      <c r="C2" s="22" t="s">
        <v>20</v>
      </c>
      <c r="D2" s="22" t="s">
        <v>142</v>
      </c>
      <c r="E2" s="22" t="s">
        <v>143</v>
      </c>
      <c r="F2" s="22" t="s">
        <v>283</v>
      </c>
      <c r="G2" s="22" t="s">
        <v>284</v>
      </c>
      <c r="H2" s="22" t="s">
        <v>144</v>
      </c>
      <c r="I2" s="11" t="s">
        <v>28</v>
      </c>
      <c r="J2" s="22" t="s">
        <v>145</v>
      </c>
      <c r="K2" s="22" t="s">
        <v>146</v>
      </c>
      <c r="L2" s="22" t="s">
        <v>147</v>
      </c>
      <c r="M2" s="22" t="s">
        <v>148</v>
      </c>
      <c r="N2" s="22" t="s">
        <v>149</v>
      </c>
      <c r="O2" s="22" t="s">
        <v>150</v>
      </c>
      <c r="P2" s="22" t="s">
        <v>151</v>
      </c>
      <c r="Q2" s="22" t="s">
        <v>152</v>
      </c>
      <c r="R2" s="22" t="s">
        <v>6</v>
      </c>
      <c r="S2" s="22" t="s">
        <v>18</v>
      </c>
      <c r="T2" s="22" t="s">
        <v>19</v>
      </c>
      <c r="U2" s="22"/>
      <c r="V2" s="22" t="s">
        <v>412</v>
      </c>
      <c r="W2" s="22" t="s">
        <v>412</v>
      </c>
      <c r="X2" s="22"/>
      <c r="Y2" s="22"/>
      <c r="Z2" s="22"/>
      <c r="AA2" s="22"/>
    </row>
    <row r="3" spans="1:27" x14ac:dyDescent="0.3">
      <c r="A3" s="107">
        <v>1</v>
      </c>
      <c r="B3" s="107">
        <f t="shared" ref="B3:Y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/>
      <c r="AA3" s="107"/>
    </row>
    <row r="4" spans="1:27" x14ac:dyDescent="0.3">
      <c r="C4" s="5"/>
      <c r="I4" s="19"/>
    </row>
    <row r="5" spans="1:27" x14ac:dyDescent="0.3">
      <c r="A5" s="41">
        <v>300</v>
      </c>
      <c r="B5" s="42" t="s">
        <v>0</v>
      </c>
      <c r="C5" s="1">
        <f t="shared" ref="C5:C15" si="1">SUM(D5:I5)+R5+S5+T5</f>
        <v>7966598.2929190667</v>
      </c>
      <c r="D5" s="1">
        <v>3657177</v>
      </c>
      <c r="E5" s="1">
        <v>0</v>
      </c>
      <c r="F5" s="116">
        <f>3064139+129450+27576+361839</f>
        <v>3583004</v>
      </c>
      <c r="G5" s="116">
        <f>24877+3855</f>
        <v>28732</v>
      </c>
      <c r="H5" s="1">
        <v>249736</v>
      </c>
      <c r="I5" s="9">
        <f t="shared" ref="I5:I15" si="2">SUM(J5:Q5)</f>
        <v>228248</v>
      </c>
      <c r="J5" s="1"/>
      <c r="K5" s="1">
        <v>133259</v>
      </c>
      <c r="L5" s="1">
        <v>0</v>
      </c>
      <c r="M5" s="1">
        <v>14963</v>
      </c>
      <c r="N5" s="1">
        <v>80026</v>
      </c>
      <c r="O5" s="1">
        <v>0</v>
      </c>
      <c r="P5" s="1">
        <v>0</v>
      </c>
      <c r="Q5" s="1"/>
      <c r="R5" s="117">
        <v>-405955.14792834799</v>
      </c>
      <c r="S5" s="117">
        <v>81265.544513938818</v>
      </c>
      <c r="T5" s="117">
        <v>544390.89633347548</v>
      </c>
      <c r="U5" s="1"/>
      <c r="V5" s="1">
        <f t="shared" ref="V5:V15" si="3">IF(C5&gt;0,W5,0)</f>
        <v>699827</v>
      </c>
      <c r="W5" s="1">
        <v>699827</v>
      </c>
      <c r="Y5" s="5"/>
      <c r="Z5" s="1"/>
      <c r="AA5" s="1"/>
    </row>
    <row r="6" spans="1:27" x14ac:dyDescent="0.3">
      <c r="A6" s="41">
        <v>1100</v>
      </c>
      <c r="B6" s="42" t="s">
        <v>139</v>
      </c>
      <c r="C6" s="1">
        <f t="shared" si="1"/>
        <v>7805255</v>
      </c>
      <c r="D6" s="1">
        <v>3532169</v>
      </c>
      <c r="E6" s="1">
        <v>1146112</v>
      </c>
      <c r="F6" s="1">
        <v>991650</v>
      </c>
      <c r="G6" s="1">
        <v>473299</v>
      </c>
      <c r="H6" s="1">
        <v>311305</v>
      </c>
      <c r="I6" s="9">
        <f t="shared" si="2"/>
        <v>117162</v>
      </c>
      <c r="J6" s="1"/>
      <c r="K6" s="1">
        <v>322239</v>
      </c>
      <c r="L6" s="1">
        <v>72438</v>
      </c>
      <c r="M6" s="1">
        <v>-445959</v>
      </c>
      <c r="N6" s="1">
        <v>159740</v>
      </c>
      <c r="O6" s="1">
        <v>0</v>
      </c>
      <c r="P6" s="1">
        <v>8704</v>
      </c>
      <c r="Q6" s="1"/>
      <c r="R6" s="1">
        <v>-20762</v>
      </c>
      <c r="S6" s="1">
        <v>522086</v>
      </c>
      <c r="T6" s="1">
        <v>732234</v>
      </c>
      <c r="U6" s="1"/>
      <c r="V6" s="1">
        <f t="shared" si="3"/>
        <v>485797</v>
      </c>
      <c r="W6" s="1">
        <v>485797</v>
      </c>
      <c r="Z6" s="1"/>
      <c r="AA6" s="1"/>
    </row>
    <row r="7" spans="1:27" x14ac:dyDescent="0.3">
      <c r="A7" s="41">
        <v>1500</v>
      </c>
      <c r="B7" s="42" t="s">
        <v>140</v>
      </c>
      <c r="C7" s="1">
        <f t="shared" si="1"/>
        <v>6007572</v>
      </c>
      <c r="D7" s="1">
        <v>1955715</v>
      </c>
      <c r="E7" s="1">
        <v>1161383</v>
      </c>
      <c r="F7" s="1">
        <v>577139</v>
      </c>
      <c r="G7" s="1">
        <v>914852</v>
      </c>
      <c r="H7" s="1">
        <v>183464</v>
      </c>
      <c r="I7" s="9">
        <f t="shared" si="2"/>
        <v>573999</v>
      </c>
      <c r="J7" s="1"/>
      <c r="K7" s="1">
        <v>237785</v>
      </c>
      <c r="L7" s="1">
        <v>144581</v>
      </c>
      <c r="M7" s="1">
        <v>71157</v>
      </c>
      <c r="N7" s="1">
        <v>110848</v>
      </c>
      <c r="O7" s="1">
        <v>1137</v>
      </c>
      <c r="P7" s="1">
        <v>8491</v>
      </c>
      <c r="Q7" s="1"/>
      <c r="R7" s="1">
        <v>12462</v>
      </c>
      <c r="S7" s="1">
        <v>415425</v>
      </c>
      <c r="T7" s="1">
        <v>213133</v>
      </c>
      <c r="U7" s="1"/>
      <c r="V7" s="1">
        <f t="shared" si="3"/>
        <v>265848</v>
      </c>
      <c r="W7" s="1">
        <v>265848</v>
      </c>
      <c r="Z7" s="1"/>
      <c r="AA7" s="1"/>
    </row>
    <row r="8" spans="1:27" x14ac:dyDescent="0.3">
      <c r="A8" s="41">
        <v>1800</v>
      </c>
      <c r="B8" s="42" t="s">
        <v>141</v>
      </c>
      <c r="C8" s="1">
        <f t="shared" si="1"/>
        <v>6510844</v>
      </c>
      <c r="D8" s="1">
        <v>2045152</v>
      </c>
      <c r="E8" s="1">
        <v>977050</v>
      </c>
      <c r="F8" s="1">
        <v>478057</v>
      </c>
      <c r="G8" s="1">
        <v>1136858</v>
      </c>
      <c r="H8" s="1">
        <v>214108</v>
      </c>
      <c r="I8" s="9">
        <f t="shared" si="2"/>
        <v>631630</v>
      </c>
      <c r="J8" s="1"/>
      <c r="K8" s="1">
        <v>330212</v>
      </c>
      <c r="L8" s="1">
        <v>26364</v>
      </c>
      <c r="M8" s="1">
        <v>101743</v>
      </c>
      <c r="N8" s="1">
        <v>172931</v>
      </c>
      <c r="O8" s="1">
        <v>14</v>
      </c>
      <c r="P8" s="1">
        <v>366</v>
      </c>
      <c r="Q8" s="1"/>
      <c r="R8" s="1">
        <v>-32019</v>
      </c>
      <c r="S8" s="1">
        <v>269896</v>
      </c>
      <c r="T8" s="1">
        <v>790112</v>
      </c>
      <c r="U8" s="1"/>
      <c r="V8" s="1">
        <f t="shared" si="3"/>
        <v>240190</v>
      </c>
      <c r="W8" s="1">
        <v>240190</v>
      </c>
      <c r="Z8" s="1"/>
      <c r="AA8" s="1"/>
    </row>
    <row r="9" spans="1:27" x14ac:dyDescent="0.3">
      <c r="A9" s="41">
        <v>3000</v>
      </c>
      <c r="B9" s="42" t="s">
        <v>403</v>
      </c>
      <c r="C9" s="1">
        <f t="shared" si="1"/>
        <v>17204341</v>
      </c>
      <c r="D9" s="1">
        <v>8753484</v>
      </c>
      <c r="E9" s="1">
        <v>1908174</v>
      </c>
      <c r="F9" s="1">
        <v>2500839</v>
      </c>
      <c r="G9" s="1">
        <v>15229</v>
      </c>
      <c r="H9" s="1">
        <v>552469</v>
      </c>
      <c r="I9" s="9">
        <f t="shared" si="2"/>
        <v>1854675</v>
      </c>
      <c r="J9" s="1"/>
      <c r="K9" s="1">
        <v>1130837</v>
      </c>
      <c r="L9" s="1">
        <v>223474</v>
      </c>
      <c r="M9" s="1">
        <v>122951</v>
      </c>
      <c r="N9" s="1">
        <v>383503</v>
      </c>
      <c r="O9" s="1">
        <v>-5935</v>
      </c>
      <c r="P9" s="1">
        <v>-155</v>
      </c>
      <c r="Q9" s="1"/>
      <c r="R9" s="1">
        <v>-156821</v>
      </c>
      <c r="S9" s="1">
        <v>169385</v>
      </c>
      <c r="T9" s="1">
        <v>1606907</v>
      </c>
      <c r="U9" s="1"/>
      <c r="V9" s="1">
        <f t="shared" si="3"/>
        <v>1269230</v>
      </c>
      <c r="W9" s="1">
        <v>1269230</v>
      </c>
      <c r="Z9" s="1"/>
      <c r="AA9" s="1"/>
    </row>
    <row r="10" spans="1:27" x14ac:dyDescent="0.3">
      <c r="A10" s="41">
        <v>3400</v>
      </c>
      <c r="B10" s="42" t="s">
        <v>404</v>
      </c>
      <c r="C10" s="1">
        <f t="shared" si="1"/>
        <v>6173422</v>
      </c>
      <c r="D10" s="1">
        <v>2683963</v>
      </c>
      <c r="E10" s="1">
        <v>1199066</v>
      </c>
      <c r="F10" s="1">
        <v>799326</v>
      </c>
      <c r="G10" s="1">
        <v>14937</v>
      </c>
      <c r="H10" s="1">
        <v>220471</v>
      </c>
      <c r="I10" s="9">
        <f t="shared" si="2"/>
        <v>703165</v>
      </c>
      <c r="J10" s="1"/>
      <c r="K10" s="1">
        <v>372662</v>
      </c>
      <c r="L10" s="1">
        <v>76480</v>
      </c>
      <c r="M10" s="1">
        <v>123873</v>
      </c>
      <c r="N10" s="1">
        <v>130146</v>
      </c>
      <c r="O10" s="1">
        <v>0</v>
      </c>
      <c r="P10" s="1">
        <v>4</v>
      </c>
      <c r="Q10" s="1"/>
      <c r="R10" s="1">
        <v>68682</v>
      </c>
      <c r="S10" s="1">
        <v>138440</v>
      </c>
      <c r="T10" s="1">
        <v>345372</v>
      </c>
      <c r="U10" s="1"/>
      <c r="V10" s="1">
        <f t="shared" si="3"/>
        <v>371253</v>
      </c>
      <c r="W10" s="1">
        <v>371253</v>
      </c>
      <c r="Z10" s="1"/>
      <c r="AA10" s="1"/>
    </row>
    <row r="11" spans="1:27" x14ac:dyDescent="0.3">
      <c r="A11" s="41">
        <v>3800</v>
      </c>
      <c r="B11" s="42" t="s">
        <v>405</v>
      </c>
      <c r="C11" s="1">
        <f t="shared" si="1"/>
        <v>6235322</v>
      </c>
      <c r="D11" s="1">
        <v>3041051</v>
      </c>
      <c r="E11" s="1">
        <v>952925</v>
      </c>
      <c r="F11" s="1">
        <v>682787</v>
      </c>
      <c r="G11" s="1">
        <v>41405</v>
      </c>
      <c r="H11" s="1">
        <v>225659</v>
      </c>
      <c r="I11" s="9">
        <f t="shared" si="2"/>
        <v>924351</v>
      </c>
      <c r="J11" s="1"/>
      <c r="K11" s="1">
        <v>396314</v>
      </c>
      <c r="L11" s="1">
        <v>204415</v>
      </c>
      <c r="M11" s="1">
        <v>102200</v>
      </c>
      <c r="N11" s="1">
        <v>210080</v>
      </c>
      <c r="O11" s="1">
        <v>559</v>
      </c>
      <c r="P11" s="1">
        <v>10783</v>
      </c>
      <c r="Q11" s="1"/>
      <c r="R11" s="1">
        <v>-43725</v>
      </c>
      <c r="S11" s="1">
        <v>253513</v>
      </c>
      <c r="T11" s="1">
        <v>157356</v>
      </c>
      <c r="U11" s="1"/>
      <c r="V11" s="1">
        <f t="shared" si="3"/>
        <v>424832</v>
      </c>
      <c r="W11" s="1">
        <v>424832</v>
      </c>
      <c r="Z11" s="1"/>
      <c r="AA11" s="1"/>
    </row>
    <row r="12" spans="1:27" x14ac:dyDescent="0.3">
      <c r="A12" s="41">
        <v>4200</v>
      </c>
      <c r="B12" s="42" t="s">
        <v>406</v>
      </c>
      <c r="C12" s="1">
        <f t="shared" si="1"/>
        <v>5099389</v>
      </c>
      <c r="D12" s="1">
        <v>2409450</v>
      </c>
      <c r="E12" s="1">
        <v>873792</v>
      </c>
      <c r="F12" s="1">
        <v>574531</v>
      </c>
      <c r="G12" s="1">
        <v>54088</v>
      </c>
      <c r="H12" s="1">
        <v>177578</v>
      </c>
      <c r="I12" s="9">
        <f t="shared" si="2"/>
        <v>440874</v>
      </c>
      <c r="J12" s="1"/>
      <c r="K12" s="1">
        <v>349136</v>
      </c>
      <c r="L12" s="1">
        <v>190825</v>
      </c>
      <c r="M12" s="1">
        <v>-182577</v>
      </c>
      <c r="N12" s="1">
        <v>82479</v>
      </c>
      <c r="O12" s="1">
        <v>0</v>
      </c>
      <c r="P12" s="1">
        <v>1011</v>
      </c>
      <c r="Q12" s="1"/>
      <c r="R12" s="1">
        <v>9271</v>
      </c>
      <c r="S12" s="1">
        <v>237954</v>
      </c>
      <c r="T12" s="1">
        <v>321851</v>
      </c>
      <c r="U12" s="1"/>
      <c r="V12" s="1">
        <f t="shared" si="3"/>
        <v>311134</v>
      </c>
      <c r="W12" s="1">
        <v>311134</v>
      </c>
      <c r="Z12" s="1"/>
      <c r="AA12" s="1"/>
    </row>
    <row r="13" spans="1:27" x14ac:dyDescent="0.3">
      <c r="A13" s="41">
        <v>4600</v>
      </c>
      <c r="B13" s="42" t="s">
        <v>407</v>
      </c>
      <c r="C13" s="1">
        <f t="shared" si="1"/>
        <v>12895174</v>
      </c>
      <c r="D13" s="1">
        <v>4025549</v>
      </c>
      <c r="E13" s="1">
        <v>2106761</v>
      </c>
      <c r="F13" s="1">
        <v>2025424</v>
      </c>
      <c r="G13" s="1">
        <v>1244841</v>
      </c>
      <c r="H13" s="1">
        <v>344470</v>
      </c>
      <c r="I13" s="9">
        <f t="shared" si="2"/>
        <v>880322</v>
      </c>
      <c r="J13" s="1"/>
      <c r="K13" s="1">
        <v>793685</v>
      </c>
      <c r="L13" s="1">
        <v>167110</v>
      </c>
      <c r="M13" s="1">
        <v>-298054</v>
      </c>
      <c r="N13" s="1">
        <v>217581</v>
      </c>
      <c r="O13" s="1">
        <v>0</v>
      </c>
      <c r="P13" s="1">
        <v>0</v>
      </c>
      <c r="Q13" s="1"/>
      <c r="R13" s="1">
        <v>49969</v>
      </c>
      <c r="S13" s="1">
        <v>939129</v>
      </c>
      <c r="T13" s="1">
        <v>1278709</v>
      </c>
      <c r="U13" s="1"/>
      <c r="V13" s="1">
        <f t="shared" si="3"/>
        <v>641292</v>
      </c>
      <c r="W13" s="1">
        <v>641292</v>
      </c>
      <c r="Z13" s="1"/>
      <c r="AA13" s="1"/>
    </row>
    <row r="14" spans="1:27" x14ac:dyDescent="0.3">
      <c r="A14" s="41">
        <v>5000</v>
      </c>
      <c r="B14" s="42" t="s">
        <v>388</v>
      </c>
      <c r="C14" s="1">
        <f t="shared" si="1"/>
        <v>8472751</v>
      </c>
      <c r="D14" s="1">
        <v>3406480</v>
      </c>
      <c r="E14" s="1">
        <v>1574017</v>
      </c>
      <c r="F14" s="1">
        <v>889006</v>
      </c>
      <c r="G14" s="1">
        <v>439723</v>
      </c>
      <c r="H14" s="1">
        <v>275290</v>
      </c>
      <c r="I14" s="9">
        <f t="shared" si="2"/>
        <v>936000</v>
      </c>
      <c r="J14" s="1"/>
      <c r="K14" s="1">
        <v>458848</v>
      </c>
      <c r="L14" s="1">
        <v>111099</v>
      </c>
      <c r="M14" s="1">
        <v>119056</v>
      </c>
      <c r="N14" s="1">
        <v>246997</v>
      </c>
      <c r="O14" s="1">
        <v>0</v>
      </c>
      <c r="P14" s="1">
        <v>0</v>
      </c>
      <c r="Q14" s="1"/>
      <c r="R14" s="1">
        <v>-22019</v>
      </c>
      <c r="S14" s="1">
        <v>595466</v>
      </c>
      <c r="T14" s="1">
        <v>378788</v>
      </c>
      <c r="U14" s="1"/>
      <c r="V14" s="1">
        <f t="shared" si="3"/>
        <v>474131</v>
      </c>
      <c r="W14" s="1">
        <v>474131</v>
      </c>
      <c r="Z14" s="1"/>
      <c r="AA14" s="1"/>
    </row>
    <row r="15" spans="1:27" x14ac:dyDescent="0.3">
      <c r="A15" s="41">
        <v>5400</v>
      </c>
      <c r="B15" s="42" t="s">
        <v>408</v>
      </c>
      <c r="C15" s="1">
        <f t="shared" si="1"/>
        <v>6306573</v>
      </c>
      <c r="D15" s="1">
        <v>1957038</v>
      </c>
      <c r="E15" s="1">
        <v>1107607</v>
      </c>
      <c r="F15" s="1">
        <v>662884</v>
      </c>
      <c r="G15" s="1">
        <v>702739</v>
      </c>
      <c r="H15" s="1">
        <v>267385</v>
      </c>
      <c r="I15" s="9">
        <f t="shared" si="2"/>
        <v>666638</v>
      </c>
      <c r="J15" s="1"/>
      <c r="K15" s="1">
        <v>394504</v>
      </c>
      <c r="L15" s="1">
        <v>38077</v>
      </c>
      <c r="M15" s="1">
        <v>105461</v>
      </c>
      <c r="N15" s="1">
        <v>159106</v>
      </c>
      <c r="O15" s="1">
        <v>0</v>
      </c>
      <c r="P15" s="1">
        <v>-30510</v>
      </c>
      <c r="Q15" s="1"/>
      <c r="R15" s="1">
        <v>-67742</v>
      </c>
      <c r="S15" s="1">
        <v>269472</v>
      </c>
      <c r="T15" s="1">
        <v>740552</v>
      </c>
      <c r="U15" s="1"/>
      <c r="V15" s="1">
        <f t="shared" si="3"/>
        <v>241736</v>
      </c>
      <c r="W15" s="1">
        <v>241736</v>
      </c>
      <c r="Z15" s="1"/>
      <c r="AA15" s="1"/>
    </row>
    <row r="16" spans="1:27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Z16" s="4"/>
      <c r="AA16" s="4"/>
    </row>
    <row r="17" spans="2:27" x14ac:dyDescent="0.3">
      <c r="B17" s="1" t="s">
        <v>3</v>
      </c>
      <c r="C17" s="1">
        <f t="shared" ref="C17:T17" si="4">SUM(C5:C15)</f>
        <v>90677241.29291907</v>
      </c>
      <c r="D17" s="1">
        <f t="shared" si="4"/>
        <v>37467228</v>
      </c>
      <c r="E17" s="1">
        <f t="shared" si="4"/>
        <v>13006887</v>
      </c>
      <c r="F17" s="1">
        <f t="shared" si="4"/>
        <v>13764647</v>
      </c>
      <c r="G17" s="1">
        <f t="shared" si="4"/>
        <v>5066703</v>
      </c>
      <c r="H17" s="1">
        <f t="shared" si="4"/>
        <v>3021935</v>
      </c>
      <c r="I17" s="9">
        <f t="shared" si="4"/>
        <v>7957064</v>
      </c>
      <c r="J17" s="1">
        <f t="shared" si="4"/>
        <v>0</v>
      </c>
      <c r="K17" s="1">
        <f t="shared" si="4"/>
        <v>4919481</v>
      </c>
      <c r="L17" s="1">
        <f t="shared" si="4"/>
        <v>1254863</v>
      </c>
      <c r="M17" s="1">
        <f t="shared" si="4"/>
        <v>-165186</v>
      </c>
      <c r="N17" s="1">
        <f t="shared" si="4"/>
        <v>1953437</v>
      </c>
      <c r="O17" s="1">
        <f t="shared" si="4"/>
        <v>-4225</v>
      </c>
      <c r="P17" s="1">
        <f t="shared" si="4"/>
        <v>-1306</v>
      </c>
      <c r="Q17" s="1">
        <f t="shared" si="4"/>
        <v>0</v>
      </c>
      <c r="R17" s="1">
        <f t="shared" si="4"/>
        <v>-608659.14792834804</v>
      </c>
      <c r="S17" s="1">
        <f t="shared" si="4"/>
        <v>3892031.5445139389</v>
      </c>
      <c r="T17" s="1">
        <f t="shared" si="4"/>
        <v>7109404.8963334756</v>
      </c>
      <c r="U17" s="1"/>
      <c r="V17" s="1">
        <f>SUM(V5:V15)</f>
        <v>5425270</v>
      </c>
      <c r="W17" s="1">
        <f>SUM(W5:W15)</f>
        <v>5425270</v>
      </c>
      <c r="Z17" s="1"/>
      <c r="AA17" s="1"/>
    </row>
    <row r="18" spans="2:27" x14ac:dyDescent="0.3">
      <c r="AA18" s="5"/>
    </row>
    <row r="20" spans="2:27" x14ac:dyDescent="0.3">
      <c r="V20" s="5"/>
    </row>
    <row r="21" spans="2:27" x14ac:dyDescent="0.3">
      <c r="V21" s="5"/>
    </row>
    <row r="22" spans="2:27" x14ac:dyDescent="0.3">
      <c r="V22" s="5"/>
      <c r="W22" s="5"/>
    </row>
    <row r="23" spans="2:27" x14ac:dyDescent="0.3">
      <c r="V23" s="5"/>
    </row>
    <row r="24" spans="2:27" x14ac:dyDescent="0.3">
      <c r="V24" s="5"/>
    </row>
    <row r="25" spans="2:27" x14ac:dyDescent="0.3">
      <c r="V25" s="5"/>
    </row>
    <row r="26" spans="2:27" x14ac:dyDescent="0.3">
      <c r="V26" s="5"/>
    </row>
    <row r="27" spans="2:27" x14ac:dyDescent="0.3">
      <c r="V27" s="5"/>
    </row>
    <row r="28" spans="2:27" x14ac:dyDescent="0.3">
      <c r="V28" s="5"/>
    </row>
    <row r="29" spans="2:27" x14ac:dyDescent="0.3">
      <c r="V29" s="5"/>
    </row>
    <row r="30" spans="2:27" x14ac:dyDescent="0.3">
      <c r="V30" s="5"/>
    </row>
    <row r="31" spans="2:27" x14ac:dyDescent="0.3">
      <c r="V31" s="5"/>
    </row>
    <row r="32" spans="2:27" x14ac:dyDescent="0.3">
      <c r="V32" s="5"/>
    </row>
    <row r="33" spans="22:22" x14ac:dyDescent="0.3">
      <c r="V33" s="5"/>
    </row>
    <row r="34" spans="22:22" x14ac:dyDescent="0.3">
      <c r="V34" s="5"/>
    </row>
    <row r="35" spans="22:22" x14ac:dyDescent="0.3">
      <c r="V35" s="5"/>
    </row>
    <row r="36" spans="22:22" x14ac:dyDescent="0.3">
      <c r="V36" s="5"/>
    </row>
    <row r="37" spans="22:22" x14ac:dyDescent="0.3">
      <c r="V37" s="5"/>
    </row>
    <row r="38" spans="22:22" x14ac:dyDescent="0.3">
      <c r="V38" s="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8A24-C3AD-49D2-8942-76757870D069}">
  <sheetPr>
    <tabColor rgb="FF92D050"/>
  </sheetPr>
  <dimension ref="A2:U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109375" customWidth="1"/>
    <col min="10" max="18" width="13.109375" customWidth="1"/>
    <col min="19" max="19" width="6.44140625" customWidth="1"/>
    <col min="20" max="20" width="13.109375" customWidth="1"/>
  </cols>
  <sheetData>
    <row r="2" spans="1:21" ht="104.25" customHeight="1" x14ac:dyDescent="0.3">
      <c r="A2" s="22" t="s">
        <v>2</v>
      </c>
      <c r="B2" s="22" t="s">
        <v>1</v>
      </c>
      <c r="C2" s="22" t="s">
        <v>7</v>
      </c>
      <c r="D2" s="22" t="s">
        <v>153</v>
      </c>
      <c r="E2" s="22" t="s">
        <v>154</v>
      </c>
      <c r="F2" s="22" t="s">
        <v>285</v>
      </c>
      <c r="G2" s="22" t="s">
        <v>286</v>
      </c>
      <c r="H2" s="22" t="s">
        <v>155</v>
      </c>
      <c r="I2" s="11" t="s">
        <v>29</v>
      </c>
      <c r="J2" s="22" t="s">
        <v>156</v>
      </c>
      <c r="K2" s="22" t="s">
        <v>157</v>
      </c>
      <c r="L2" s="22" t="s">
        <v>158</v>
      </c>
      <c r="M2" s="22" t="s">
        <v>159</v>
      </c>
      <c r="N2" s="22" t="s">
        <v>160</v>
      </c>
      <c r="O2" s="22" t="s">
        <v>161</v>
      </c>
      <c r="P2" s="22" t="s">
        <v>162</v>
      </c>
      <c r="Q2" s="22" t="s">
        <v>163</v>
      </c>
      <c r="R2" s="22" t="s">
        <v>8</v>
      </c>
      <c r="S2" s="22"/>
      <c r="T2" s="22"/>
      <c r="U2" s="22"/>
    </row>
    <row r="3" spans="1:21" x14ac:dyDescent="0.3">
      <c r="A3" s="107">
        <v>1</v>
      </c>
      <c r="B3" s="107">
        <f t="shared" ref="B3:U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19"/>
    </row>
    <row r="5" spans="1:21" x14ac:dyDescent="0.3">
      <c r="A5" s="41">
        <v>300</v>
      </c>
      <c r="B5" s="42" t="s">
        <v>0</v>
      </c>
      <c r="C5" s="1">
        <f t="shared" ref="C5:C15" si="1">SUM(D5:I5)+R5</f>
        <v>245445</v>
      </c>
      <c r="D5" s="1">
        <v>234379</v>
      </c>
      <c r="E5" s="1">
        <v>0</v>
      </c>
      <c r="F5" s="1">
        <v>1563</v>
      </c>
      <c r="G5" s="1">
        <v>0</v>
      </c>
      <c r="H5" s="1">
        <v>5111</v>
      </c>
      <c r="I5" s="9">
        <f t="shared" ref="I5:I15" si="2">SUM(J5:Q5)</f>
        <v>4392</v>
      </c>
      <c r="J5" s="1"/>
      <c r="K5" s="1">
        <v>4392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1">
        <v>0</v>
      </c>
      <c r="T5" s="1"/>
      <c r="U5" s="1"/>
    </row>
    <row r="6" spans="1:21" x14ac:dyDescent="0.3">
      <c r="A6" s="41">
        <v>1100</v>
      </c>
      <c r="B6" s="42" t="s">
        <v>139</v>
      </c>
      <c r="C6" s="1">
        <f t="shared" si="1"/>
        <v>650823</v>
      </c>
      <c r="D6" s="1">
        <v>224122</v>
      </c>
      <c r="E6" s="1">
        <v>373420</v>
      </c>
      <c r="F6" s="1">
        <v>0</v>
      </c>
      <c r="G6" s="1">
        <v>0</v>
      </c>
      <c r="H6" s="1">
        <v>20103</v>
      </c>
      <c r="I6" s="9">
        <f t="shared" si="2"/>
        <v>33178</v>
      </c>
      <c r="J6" s="1"/>
      <c r="K6" s="1">
        <v>33140</v>
      </c>
      <c r="L6" s="1">
        <v>38</v>
      </c>
      <c r="M6" s="1">
        <v>0</v>
      </c>
      <c r="N6" s="1">
        <v>0</v>
      </c>
      <c r="O6" s="1">
        <v>0</v>
      </c>
      <c r="P6" s="1">
        <v>0</v>
      </c>
      <c r="Q6" s="1"/>
      <c r="R6" s="1">
        <v>0</v>
      </c>
      <c r="T6" s="1"/>
      <c r="U6" s="1"/>
    </row>
    <row r="7" spans="1:21" x14ac:dyDescent="0.3">
      <c r="A7" s="41">
        <v>1500</v>
      </c>
      <c r="B7" s="42" t="s">
        <v>140</v>
      </c>
      <c r="C7" s="1">
        <f t="shared" si="1"/>
        <v>481777</v>
      </c>
      <c r="D7" s="1">
        <v>121013</v>
      </c>
      <c r="E7" s="1">
        <v>340254</v>
      </c>
      <c r="F7" s="1">
        <v>6634</v>
      </c>
      <c r="G7" s="1">
        <v>750</v>
      </c>
      <c r="H7" s="1">
        <v>9612</v>
      </c>
      <c r="I7" s="9">
        <f t="shared" si="2"/>
        <v>3514</v>
      </c>
      <c r="J7" s="1"/>
      <c r="K7" s="1">
        <v>2782</v>
      </c>
      <c r="L7" s="1">
        <v>62</v>
      </c>
      <c r="M7" s="1">
        <v>65</v>
      </c>
      <c r="N7" s="1">
        <v>605</v>
      </c>
      <c r="O7" s="1">
        <v>0</v>
      </c>
      <c r="P7" s="1">
        <v>0</v>
      </c>
      <c r="Q7" s="1"/>
      <c r="R7" s="1">
        <v>0</v>
      </c>
      <c r="T7" s="1"/>
      <c r="U7" s="1"/>
    </row>
    <row r="8" spans="1:21" x14ac:dyDescent="0.3">
      <c r="A8" s="41">
        <v>1800</v>
      </c>
      <c r="B8" s="42" t="s">
        <v>141</v>
      </c>
      <c r="C8" s="1">
        <f t="shared" si="1"/>
        <v>445454</v>
      </c>
      <c r="D8" s="1">
        <v>170421</v>
      </c>
      <c r="E8" s="1">
        <v>240144</v>
      </c>
      <c r="F8" s="1">
        <v>3737</v>
      </c>
      <c r="G8" s="1">
        <v>2248</v>
      </c>
      <c r="H8" s="1">
        <v>13507</v>
      </c>
      <c r="I8" s="9">
        <f t="shared" si="2"/>
        <v>15397</v>
      </c>
      <c r="J8" s="1"/>
      <c r="K8" s="1">
        <v>5670</v>
      </c>
      <c r="L8" s="1">
        <v>327</v>
      </c>
      <c r="M8" s="1">
        <v>5357</v>
      </c>
      <c r="N8" s="1">
        <v>3677</v>
      </c>
      <c r="O8" s="1">
        <v>0</v>
      </c>
      <c r="P8" s="1">
        <v>366</v>
      </c>
      <c r="Q8" s="1"/>
      <c r="R8" s="1">
        <v>0</v>
      </c>
      <c r="T8" s="1"/>
      <c r="U8" s="1"/>
    </row>
    <row r="9" spans="1:21" x14ac:dyDescent="0.3">
      <c r="A9" s="41">
        <v>3000</v>
      </c>
      <c r="B9" s="42" t="s">
        <v>403</v>
      </c>
      <c r="C9" s="1">
        <f t="shared" si="1"/>
        <v>1068945</v>
      </c>
      <c r="D9" s="1">
        <v>484719</v>
      </c>
      <c r="E9" s="1">
        <v>425362</v>
      </c>
      <c r="F9" s="1">
        <v>66329</v>
      </c>
      <c r="G9" s="1">
        <v>0</v>
      </c>
      <c r="H9" s="1">
        <v>28848</v>
      </c>
      <c r="I9" s="9">
        <f t="shared" si="2"/>
        <v>63687</v>
      </c>
      <c r="J9" s="1"/>
      <c r="K9" s="1">
        <v>61617</v>
      </c>
      <c r="L9" s="1">
        <v>268</v>
      </c>
      <c r="M9" s="1">
        <v>0</v>
      </c>
      <c r="N9" s="1">
        <v>1802</v>
      </c>
      <c r="O9" s="1">
        <v>0</v>
      </c>
      <c r="P9" s="1">
        <v>0</v>
      </c>
      <c r="Q9" s="1"/>
      <c r="R9" s="1">
        <v>0</v>
      </c>
      <c r="T9" s="1"/>
      <c r="U9" s="1"/>
    </row>
    <row r="10" spans="1:21" x14ac:dyDescent="0.3">
      <c r="A10" s="41">
        <v>3400</v>
      </c>
      <c r="B10" s="42" t="s">
        <v>404</v>
      </c>
      <c r="C10" s="1">
        <f t="shared" si="1"/>
        <v>403486</v>
      </c>
      <c r="D10" s="1">
        <v>197977</v>
      </c>
      <c r="E10" s="1">
        <v>183568</v>
      </c>
      <c r="F10" s="1">
        <v>4774</v>
      </c>
      <c r="G10" s="1">
        <v>722</v>
      </c>
      <c r="H10" s="1">
        <v>7053</v>
      </c>
      <c r="I10" s="9">
        <f t="shared" si="2"/>
        <v>9392</v>
      </c>
      <c r="J10" s="1"/>
      <c r="K10" s="1">
        <v>7930</v>
      </c>
      <c r="L10" s="1">
        <v>7</v>
      </c>
      <c r="M10" s="1">
        <v>885</v>
      </c>
      <c r="N10" s="1">
        <v>570</v>
      </c>
      <c r="O10" s="1">
        <v>0</v>
      </c>
      <c r="P10" s="1">
        <v>0</v>
      </c>
      <c r="Q10" s="1"/>
      <c r="R10" s="1">
        <v>0</v>
      </c>
      <c r="T10" s="1"/>
      <c r="U10" s="1"/>
    </row>
    <row r="11" spans="1:21" x14ac:dyDescent="0.3">
      <c r="A11" s="41">
        <v>3800</v>
      </c>
      <c r="B11" s="42" t="s">
        <v>405</v>
      </c>
      <c r="C11" s="1">
        <f t="shared" si="1"/>
        <v>359940</v>
      </c>
      <c r="D11" s="1">
        <v>175458</v>
      </c>
      <c r="E11" s="1">
        <v>152560</v>
      </c>
      <c r="F11" s="1">
        <v>2007</v>
      </c>
      <c r="G11" s="1">
        <v>0</v>
      </c>
      <c r="H11" s="1">
        <v>4266</v>
      </c>
      <c r="I11" s="9">
        <f t="shared" si="2"/>
        <v>25649</v>
      </c>
      <c r="J11" s="1"/>
      <c r="K11" s="1">
        <v>16629</v>
      </c>
      <c r="L11" s="1">
        <v>6944</v>
      </c>
      <c r="M11" s="1">
        <v>0</v>
      </c>
      <c r="N11" s="1">
        <v>2076</v>
      </c>
      <c r="O11" s="1">
        <v>0</v>
      </c>
      <c r="P11" s="1">
        <v>0</v>
      </c>
      <c r="Q11" s="1"/>
      <c r="R11" s="1">
        <v>0</v>
      </c>
      <c r="T11" s="1"/>
      <c r="U11" s="1"/>
    </row>
    <row r="12" spans="1:21" x14ac:dyDescent="0.3">
      <c r="A12" s="41">
        <v>4200</v>
      </c>
      <c r="B12" s="42" t="s">
        <v>406</v>
      </c>
      <c r="C12" s="1">
        <f t="shared" si="1"/>
        <v>395533</v>
      </c>
      <c r="D12" s="1">
        <v>171280</v>
      </c>
      <c r="E12" s="1">
        <v>188358</v>
      </c>
      <c r="F12" s="1">
        <v>5056</v>
      </c>
      <c r="G12" s="1">
        <v>0</v>
      </c>
      <c r="H12" s="1">
        <v>8788</v>
      </c>
      <c r="I12" s="9">
        <f t="shared" si="2"/>
        <v>22051</v>
      </c>
      <c r="J12" s="1"/>
      <c r="K12" s="1">
        <v>15309</v>
      </c>
      <c r="L12" s="1">
        <v>1945</v>
      </c>
      <c r="M12" s="1">
        <v>4598</v>
      </c>
      <c r="N12" s="1">
        <v>0</v>
      </c>
      <c r="O12" s="1">
        <v>0</v>
      </c>
      <c r="P12" s="1">
        <v>199</v>
      </c>
      <c r="Q12" s="1"/>
      <c r="R12" s="1">
        <v>0</v>
      </c>
      <c r="T12" s="1"/>
      <c r="U12" s="1"/>
    </row>
    <row r="13" spans="1:21" x14ac:dyDescent="0.3">
      <c r="A13" s="41">
        <v>4600</v>
      </c>
      <c r="B13" s="42" t="s">
        <v>407</v>
      </c>
      <c r="C13" s="1">
        <f t="shared" si="1"/>
        <v>1259652</v>
      </c>
      <c r="D13" s="1">
        <v>303698</v>
      </c>
      <c r="E13" s="1">
        <v>647701</v>
      </c>
      <c r="F13" s="1">
        <v>250255</v>
      </c>
      <c r="G13" s="1">
        <v>969</v>
      </c>
      <c r="H13" s="1">
        <v>15009</v>
      </c>
      <c r="I13" s="9">
        <f t="shared" si="2"/>
        <v>42020</v>
      </c>
      <c r="J13" s="1"/>
      <c r="K13" s="1">
        <v>38935</v>
      </c>
      <c r="L13" s="1">
        <v>56</v>
      </c>
      <c r="M13" s="1">
        <v>117</v>
      </c>
      <c r="N13" s="1">
        <v>2912</v>
      </c>
      <c r="O13" s="1">
        <v>0</v>
      </c>
      <c r="P13" s="1">
        <v>0</v>
      </c>
      <c r="Q13" s="1"/>
      <c r="R13" s="1">
        <v>0</v>
      </c>
      <c r="T13" s="1"/>
      <c r="U13" s="1"/>
    </row>
    <row r="14" spans="1:21" x14ac:dyDescent="0.3">
      <c r="A14" s="41">
        <v>5000</v>
      </c>
      <c r="B14" s="42" t="s">
        <v>388</v>
      </c>
      <c r="C14" s="1">
        <f t="shared" si="1"/>
        <v>743722</v>
      </c>
      <c r="D14" s="1">
        <v>296538</v>
      </c>
      <c r="E14" s="1">
        <v>417336</v>
      </c>
      <c r="F14" s="1">
        <v>6065</v>
      </c>
      <c r="G14" s="1">
        <v>4708</v>
      </c>
      <c r="H14" s="1">
        <v>7199</v>
      </c>
      <c r="I14" s="9">
        <f t="shared" si="2"/>
        <v>11876</v>
      </c>
      <c r="J14" s="1"/>
      <c r="K14" s="1">
        <v>3654</v>
      </c>
      <c r="L14" s="1">
        <v>132</v>
      </c>
      <c r="M14" s="1">
        <v>7495</v>
      </c>
      <c r="N14" s="1">
        <v>595</v>
      </c>
      <c r="O14" s="1">
        <v>0</v>
      </c>
      <c r="P14" s="1">
        <v>0</v>
      </c>
      <c r="Q14" s="1"/>
      <c r="R14" s="1">
        <v>0</v>
      </c>
      <c r="T14" s="1"/>
      <c r="U14" s="1"/>
    </row>
    <row r="15" spans="1:21" x14ac:dyDescent="0.3">
      <c r="A15" s="41">
        <v>5400</v>
      </c>
      <c r="B15" s="42" t="s">
        <v>408</v>
      </c>
      <c r="C15" s="1">
        <f t="shared" si="1"/>
        <v>380450</v>
      </c>
      <c r="D15" s="1">
        <v>102541</v>
      </c>
      <c r="E15" s="1">
        <v>216494</v>
      </c>
      <c r="F15" s="1">
        <v>9926</v>
      </c>
      <c r="G15" s="1">
        <v>5644</v>
      </c>
      <c r="H15" s="1">
        <v>17233</v>
      </c>
      <c r="I15" s="9">
        <f t="shared" si="2"/>
        <v>28612</v>
      </c>
      <c r="J15" s="1"/>
      <c r="K15" s="1">
        <v>21729</v>
      </c>
      <c r="L15" s="1">
        <v>0</v>
      </c>
      <c r="M15" s="1">
        <v>0</v>
      </c>
      <c r="N15" s="1">
        <v>1216</v>
      </c>
      <c r="O15" s="1">
        <v>0</v>
      </c>
      <c r="P15" s="1">
        <v>5667</v>
      </c>
      <c r="Q15" s="1"/>
      <c r="R15" s="1">
        <v>0</v>
      </c>
      <c r="T15" s="1"/>
      <c r="U15" s="1"/>
    </row>
    <row r="16" spans="1:21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 t="shared" ref="C17:R17" si="3">SUM(C5:C15)</f>
        <v>6435227</v>
      </c>
      <c r="D17" s="1">
        <f t="shared" si="3"/>
        <v>2482146</v>
      </c>
      <c r="E17" s="1">
        <f t="shared" si="3"/>
        <v>3185197</v>
      </c>
      <c r="F17" s="1">
        <f t="shared" si="3"/>
        <v>356346</v>
      </c>
      <c r="G17" s="1">
        <f t="shared" si="3"/>
        <v>15041</v>
      </c>
      <c r="H17" s="1">
        <f t="shared" si="3"/>
        <v>136729</v>
      </c>
      <c r="I17" s="9">
        <f t="shared" si="3"/>
        <v>259768</v>
      </c>
      <c r="J17" s="1">
        <f t="shared" si="3"/>
        <v>0</v>
      </c>
      <c r="K17" s="1">
        <f t="shared" si="3"/>
        <v>211787</v>
      </c>
      <c r="L17" s="1">
        <f t="shared" si="3"/>
        <v>9779</v>
      </c>
      <c r="M17" s="1">
        <f t="shared" si="3"/>
        <v>18517</v>
      </c>
      <c r="N17" s="1">
        <f t="shared" si="3"/>
        <v>13453</v>
      </c>
      <c r="O17" s="1">
        <f t="shared" si="3"/>
        <v>0</v>
      </c>
      <c r="P17" s="1">
        <f t="shared" si="3"/>
        <v>6232</v>
      </c>
      <c r="Q17" s="1">
        <f t="shared" si="3"/>
        <v>0</v>
      </c>
      <c r="R17" s="1">
        <f t="shared" si="3"/>
        <v>0</v>
      </c>
      <c r="S17" s="1"/>
      <c r="T17" s="1"/>
      <c r="U17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B1:I88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4" t="str">
        <f>+Inngang!C5</f>
        <v>TRØNDELAG</v>
      </c>
      <c r="C1" s="100">
        <v>2022</v>
      </c>
    </row>
    <row r="3" spans="2:8" x14ac:dyDescent="0.3">
      <c r="B3" s="6" t="s">
        <v>51</v>
      </c>
    </row>
    <row r="4" spans="2:8" x14ac:dyDescent="0.3">
      <c r="B4" s="6"/>
    </row>
    <row r="5" spans="2:8" ht="43.2" x14ac:dyDescent="0.3">
      <c r="B5" s="36"/>
      <c r="C5" s="16" t="s">
        <v>312</v>
      </c>
      <c r="D5" s="16" t="s">
        <v>130</v>
      </c>
    </row>
    <row r="6" spans="2:8" x14ac:dyDescent="0.3">
      <c r="B6" s="37"/>
      <c r="C6" s="35" t="s">
        <v>39</v>
      </c>
      <c r="D6" s="35" t="s">
        <v>39</v>
      </c>
    </row>
    <row r="7" spans="2:8" x14ac:dyDescent="0.3">
      <c r="B7" s="57" t="s">
        <v>137</v>
      </c>
      <c r="C7" s="59">
        <f>VLOOKUP(Inngang!$B$5,'2022 Inntektsnivå'!A5:D23,4,FALSE)</f>
        <v>-400.48861631147884</v>
      </c>
      <c r="D7" s="96"/>
    </row>
    <row r="8" spans="2:8" x14ac:dyDescent="0.3">
      <c r="B8" s="57" t="s">
        <v>270</v>
      </c>
      <c r="C8" s="60">
        <f>+E33+E34+E37+E38+E39</f>
        <v>-855.21152090275712</v>
      </c>
      <c r="D8" s="69">
        <f>H33+H34+H37+H38+H39</f>
        <v>-540.72355976154961</v>
      </c>
    </row>
    <row r="9" spans="2:8" x14ac:dyDescent="0.3">
      <c r="B9" s="57" t="s">
        <v>269</v>
      </c>
      <c r="C9" s="60">
        <f>+E40</f>
        <v>439.40411298187018</v>
      </c>
      <c r="D9" s="69">
        <f t="shared" ref="D9:D12" si="0">+H40</f>
        <v>475.9972482511796</v>
      </c>
    </row>
    <row r="10" spans="2:8" x14ac:dyDescent="0.3">
      <c r="B10" s="57" t="s">
        <v>26</v>
      </c>
      <c r="C10" s="60">
        <f>+E41</f>
        <v>-11.687872807633944</v>
      </c>
      <c r="D10" s="69">
        <f t="shared" si="0"/>
        <v>-14.581453427769212</v>
      </c>
    </row>
    <row r="11" spans="2:8" x14ac:dyDescent="0.3">
      <c r="B11" s="57" t="s">
        <v>23</v>
      </c>
      <c r="C11" s="60">
        <f t="shared" ref="C11:C12" si="1">+E42</f>
        <v>538.52082107813828</v>
      </c>
      <c r="D11" s="69">
        <f t="shared" si="0"/>
        <v>557.02363515477225</v>
      </c>
    </row>
    <row r="12" spans="2:8" x14ac:dyDescent="0.3">
      <c r="B12" s="58" t="s">
        <v>24</v>
      </c>
      <c r="C12" s="61">
        <f t="shared" si="1"/>
        <v>-511.51415666109665</v>
      </c>
      <c r="D12" s="70">
        <f t="shared" si="0"/>
        <v>-477.71587021663322</v>
      </c>
    </row>
    <row r="13" spans="2:8" x14ac:dyDescent="0.3">
      <c r="B13" s="6"/>
      <c r="C13" s="5"/>
      <c r="D13" s="5"/>
    </row>
    <row r="14" spans="2:8" x14ac:dyDescent="0.3">
      <c r="B14" s="6"/>
    </row>
    <row r="16" spans="2:8" ht="43.2" x14ac:dyDescent="0.3">
      <c r="B16" s="72"/>
      <c r="C16" s="13" t="s">
        <v>49</v>
      </c>
      <c r="D16" s="18" t="s">
        <v>50</v>
      </c>
      <c r="E16" s="16" t="s">
        <v>56</v>
      </c>
      <c r="F16" s="18" t="s">
        <v>55</v>
      </c>
      <c r="G16" s="18"/>
      <c r="H16" s="16" t="s">
        <v>57</v>
      </c>
    </row>
    <row r="17" spans="2:8" x14ac:dyDescent="0.3">
      <c r="B17" s="73"/>
      <c r="C17" s="39" t="s">
        <v>52</v>
      </c>
      <c r="D17" s="33" t="s">
        <v>53</v>
      </c>
      <c r="E17" s="35" t="s">
        <v>54</v>
      </c>
      <c r="F17" s="33" t="s">
        <v>52</v>
      </c>
      <c r="G17" s="33"/>
      <c r="H17" s="35" t="s">
        <v>54</v>
      </c>
    </row>
    <row r="18" spans="2:8" x14ac:dyDescent="0.3">
      <c r="B18" s="57" t="s">
        <v>171</v>
      </c>
      <c r="C18" s="12">
        <f>VLOOKUP(Inngang!$B$5,'2022 Nto driftsutg eks avskriv'!$A$5:$T$22,4,FALSE)*1000/VLOOKUP(Inngang!$B$5,'2022 Nto driftsutg'!$A$5:$W$22,23,FALSE)*100/'2022 Nto driftsutg landet'!C5-100</f>
        <v>1.716731973299062</v>
      </c>
      <c r="D18" s="5">
        <f>('2022 Nto driftsutg landet'!$C$5+VLOOKUP(Inngang!$B$5,'2022 Korreksjoner'!$A$5:$AS$22,3,FALSE)+VLOOKUP(Inngang!$B$5,'2022 Korreksjoner'!$A$5:$AS$22,5,FALSE)+VLOOKUP(Inngang!$B$5,'2022 Korreksjoner'!$A$5:$AS$22,12,FALSE)+VLOOKUP(Inngang!$B$5,'2022 Korreksjoner'!$A$5:$AS$22,28,FALSE))*100/'2022 Nto driftsutg landet'!C5-100</f>
        <v>2.2112264761629348</v>
      </c>
      <c r="E18" s="14">
        <f>+C18-D18</f>
        <v>-0.49449450286387275</v>
      </c>
      <c r="F18" s="5">
        <f>('2022 Nto driftsutg landet'!$C$5*VLOOKUP(Inngang!$B$5,'2022 Inntektsnivå'!$A$5:$C$22,3,FALSE)+VLOOKUP(Inngang!$B$5,'2022 Korreksjoner'!$A$5:$AS$22,5,FALSE)+VLOOKUP(Inngang!$B$5,'2022 Korreksjoner'!$A$5:$AS$22,3,FALSE)+VLOOKUP(Inngang!$B$5,'2022 Korreksjoner'!$A$5:$AS$22,12,FALSE)+VLOOKUP(Inngang!$B$5,'2022 Korreksjoner'!$A$5:$AS$22,28,FALSE))*100/'2022 Nto driftsutg landet'!C5-100</f>
        <v>-0.36796027958253319</v>
      </c>
      <c r="G18" s="5"/>
      <c r="H18" s="14">
        <f>+C18-F18</f>
        <v>2.0846922528815952</v>
      </c>
    </row>
    <row r="19" spans="2:8" x14ac:dyDescent="0.3">
      <c r="B19" s="57" t="s">
        <v>172</v>
      </c>
      <c r="C19" s="12">
        <f>VLOOKUP(Inngang!$B$5,'2022 Nto driftsutg eks avskriv'!$A$5:$T$22,5,FALSE)*1000/VLOOKUP(Inngang!$B$5,'2022 Nto driftsutg'!$A$5:$W$22,23,FALSE)*100/'2022 Nto driftsutg landet'!C6-100</f>
        <v>34.756705321523384</v>
      </c>
      <c r="D19" s="5">
        <f>('2022 Nto driftsutg landet'!$C$6+VLOOKUP(Inngang!$B$5,'2022 Korreksjoner'!$A$5:$AS$22,6,FALSE)+VLOOKUP(Inngang!$B$5,'2022 Korreksjoner'!$A$5:$AS$22,13,FALSE)+VLOOKUP(Inngang!$B$5,'2022 Korreksjoner'!$A$5:$AS$22,29,FALSE))*100/'2022 Nto driftsutg landet'!C6-100</f>
        <v>28.535620697820121</v>
      </c>
      <c r="E19" s="14">
        <f>+C19-D19</f>
        <v>6.2210846237032627</v>
      </c>
      <c r="F19" s="5">
        <f>('2022 Nto driftsutg landet'!$C$6*VLOOKUP(Inngang!$B$5,'2022 Inntektsnivå'!$A$5:$C$22,3,FALSE)+VLOOKUP(Inngang!$B$5,'2022 Korreksjoner'!$A$5:$AS$22,6,FALSE)+VLOOKUP(Inngang!$B$5,'2022 Korreksjoner'!$A$5:$AS$22,13,FALSE)+VLOOKUP(Inngang!$B$5,'2022 Korreksjoner'!$A$5:$AS$22,29,FALSE))*100/'2022 Nto driftsutg landet'!C6-100</f>
        <v>25.956433942074653</v>
      </c>
      <c r="G19" s="5"/>
      <c r="H19" s="14">
        <f>+C19-F19</f>
        <v>8.8002713794487306</v>
      </c>
    </row>
    <row r="20" spans="2:8" x14ac:dyDescent="0.3">
      <c r="B20" s="57" t="s">
        <v>456</v>
      </c>
      <c r="C20" s="12"/>
      <c r="D20" s="5"/>
      <c r="E20" s="14"/>
      <c r="F20" s="5"/>
      <c r="G20" s="5"/>
      <c r="H20" s="14"/>
    </row>
    <row r="21" spans="2:8" x14ac:dyDescent="0.3">
      <c r="B21" s="57" t="s">
        <v>417</v>
      </c>
      <c r="C21" s="12"/>
      <c r="D21" s="5"/>
      <c r="E21" s="14"/>
      <c r="F21" s="5"/>
      <c r="G21" s="5"/>
      <c r="H21" s="14"/>
    </row>
    <row r="22" spans="2:8" x14ac:dyDescent="0.3">
      <c r="B22" s="30" t="s">
        <v>275</v>
      </c>
      <c r="C22" s="12">
        <f>VLOOKUP(Inngang!$B$5,'2022 Nto driftsutg eks avskriv'!$A$5:$T$22,6,FALSE)*1000/VLOOKUP(Inngang!$B$5,'2022 Nto driftsutg'!$A$5:$W$22,23,FALSE)*100/'2022 Nto driftsutg landet'!C7-100</f>
        <v>-24.650402232139584</v>
      </c>
      <c r="D22" s="5">
        <f>('2022 Nto driftsutg landet'!$C$7+VLOOKUP(Inngang!$B$5,'2022 Korreksjoner'!$A$5:$AS$22,7,FALSE)+VLOOKUP(Inngang!$B$5,'2022 Korreksjoner'!$A$5:$AS$22,14,FALSE)+VLOOKUP(Inngang!$B$5,'2022 Korreksjoner'!$A$5:$AS$22,30,FALSE))*100/'2022 Nto driftsutg landet'!C7-100</f>
        <v>6.0598160826612713</v>
      </c>
      <c r="E22" s="14">
        <f>+C22-D22</f>
        <v>-30.710218314800855</v>
      </c>
      <c r="F22" s="5">
        <f>('2022 Nto driftsutg landet'!$C$7*VLOOKUP(Inngang!$B$5,'2022 Inntektsnivå'!$A$5:$C$22,3,FALSE)+VLOOKUP(Inngang!$B$5,'2022 Korreksjoner'!$A$5:$AS$22,7,FALSE)+VLOOKUP(Inngang!$B$5,'2022 Korreksjoner'!$A$5:$AS$22,14,FALSE)+VLOOKUP(Inngang!$B$5,'2022 Korreksjoner'!$A$5:$AS$22,30,FALSE))*100/'2022 Nto driftsutg landet'!C7-100</f>
        <v>3.4806293269157891</v>
      </c>
      <c r="G22" s="5"/>
      <c r="H22" s="14">
        <f>+C22-F22</f>
        <v>-28.131031559055373</v>
      </c>
    </row>
    <row r="23" spans="2:8" x14ac:dyDescent="0.3">
      <c r="B23" s="30" t="s">
        <v>276</v>
      </c>
      <c r="C23" s="12">
        <f>VLOOKUP(Inngang!$B$5,'2022 Nto driftsutg eks avskriv'!$A$5:$T$22,7,FALSE)*1000/VLOOKUP(Inngang!$B$5,'2022 Nto driftsutg'!$A$5:$W$22,23,FALSE)*100/'2022 Nto driftsutg landet'!C9-100</f>
        <v>72.524354320217697</v>
      </c>
      <c r="D23" s="5">
        <f>('2022 Nto driftsutg landet'!$C$8+VLOOKUP(Inngang!$B$5,'2022 Korreksjoner'!$A$5:$AS$22,8,FALSE)+VLOOKUP(Inngang!$B$5,'2022 Korreksjoner'!$A$5:$AS$22,15,FALSE)+VLOOKUP(Inngang!$B$5,'2022 Korreksjoner'!$A$5:$AS$22,31,FALSE))*100/'2022 Nto driftsutg landet'!C8-100</f>
        <v>22.572994151773727</v>
      </c>
      <c r="E23" s="14">
        <f>+C23-D23</f>
        <v>49.951360168443969</v>
      </c>
      <c r="F23" s="5">
        <f>('2022 Nto driftsutg landet'!$C$8*VLOOKUP(Inngang!$B$5,'2022 Inntektsnivå'!$A$5:$C$22,3,FALSE)+VLOOKUP(Inngang!$B$5,'2022 Korreksjoner'!$A$5:$AS$22,8,FALSE)+VLOOKUP(Inngang!$B$5,'2022 Korreksjoner'!$A$5:$AS$22,15,FALSE)+VLOOKUP(Inngang!$B$5,'2022 Korreksjoner'!$A$5:$AS$22,31,FALSE))*100/'2022 Nto driftsutg landet'!C8-100</f>
        <v>19.993807396028274</v>
      </c>
      <c r="G23" s="5"/>
      <c r="H23" s="14">
        <f>+C23-F23</f>
        <v>52.530546924189423</v>
      </c>
    </row>
    <row r="24" spans="2:8" x14ac:dyDescent="0.3">
      <c r="B24" s="58" t="s">
        <v>173</v>
      </c>
      <c r="C24" s="24">
        <f>VLOOKUP(Inngang!$B$5,'2022 Nto driftsutg eks avskriv'!$A$5:$T$22,8,FALSE)*1000/VLOOKUP(Inngang!$B$5,'2022 Nto driftsutg'!$A$5:$W$22,23,FALSE)*100/'2022 Nto driftsutg landet'!C9-100</f>
        <v>6.3232915510074008</v>
      </c>
      <c r="D24" s="20">
        <f>('2022 Nto driftsutg landet'!$C$9+VLOOKUP(Inngang!$B$5,'2022 Korreksjoner'!$A$5:$AS$22,9,FALSE)+VLOOKUP(Inngang!$B$5,'2022 Korreksjoner'!$A$5:$AS$22,16,FALSE)+VLOOKUP(Inngang!$B$5,'2022 Korreksjoner'!$A$5:$AS$22,32,FALSE))*100/'2022 Nto driftsutg landet'!C9-100</f>
        <v>-2.4885266640988419</v>
      </c>
      <c r="E24" s="25">
        <f t="shared" ref="E24" si="2">+C24-D24</f>
        <v>8.8118182151062427</v>
      </c>
      <c r="F24" s="20">
        <f>('2022 Nto driftsutg landet'!$C$9*VLOOKUP(Inngang!$B$5,'2022 Inntektsnivå'!$A$5:$C$22,3,FALSE)+VLOOKUP(Inngang!$B$5,'2022 Korreksjoner'!$A$5:$AS$22,9,FALSE)+VLOOKUP(Inngang!$B$5,'2022 Korreksjoner'!$A$5:$AS$22,16,FALSE)+VLOOKUP(Inngang!$B$5,'2022 Korreksjoner'!$A$5:$AS$22,32,FALSE))*100/'2022 Nto driftsutg landet'!C9-100</f>
        <v>-5.0677134198443099</v>
      </c>
      <c r="G24" s="20"/>
      <c r="H24" s="25">
        <f t="shared" ref="H24" si="3">+C24-F24</f>
        <v>11.391004970851711</v>
      </c>
    </row>
    <row r="28" spans="2:8" x14ac:dyDescent="0.3">
      <c r="B28" s="6" t="s">
        <v>34</v>
      </c>
    </row>
    <row r="30" spans="2:8" ht="43.2" x14ac:dyDescent="0.3">
      <c r="B30" s="36"/>
      <c r="C30" s="18" t="s">
        <v>133</v>
      </c>
      <c r="D30" s="18" t="s">
        <v>267</v>
      </c>
      <c r="E30" s="17" t="s">
        <v>48</v>
      </c>
      <c r="F30" s="13" t="s">
        <v>42</v>
      </c>
      <c r="G30" s="18"/>
      <c r="H30" s="16" t="s">
        <v>43</v>
      </c>
    </row>
    <row r="31" spans="2:8" x14ac:dyDescent="0.3">
      <c r="B31" s="37"/>
      <c r="C31" s="33" t="s">
        <v>39</v>
      </c>
      <c r="D31" s="33" t="s">
        <v>41</v>
      </c>
      <c r="E31" s="34" t="s">
        <v>39</v>
      </c>
      <c r="F31" s="39" t="s">
        <v>39</v>
      </c>
      <c r="G31" s="33"/>
      <c r="H31" s="35" t="s">
        <v>39</v>
      </c>
    </row>
    <row r="32" spans="2:8" x14ac:dyDescent="0.3">
      <c r="B32" s="78" t="s">
        <v>138</v>
      </c>
      <c r="C32" s="79">
        <f>SUM(C33:C39)</f>
        <v>12343.993537650987</v>
      </c>
      <c r="D32" s="79">
        <f>SUM(D33:D39)</f>
        <v>13199.205058553744</v>
      </c>
      <c r="E32" s="80">
        <f>SUM(E33:E39)</f>
        <v>-855.21152090275712</v>
      </c>
      <c r="F32" s="82">
        <f>SUM(F33:F39)</f>
        <v>12884.717097412537</v>
      </c>
      <c r="G32" s="79"/>
      <c r="H32" s="81">
        <f>SUM(H33:H39)</f>
        <v>-540.72355976154961</v>
      </c>
    </row>
    <row r="33" spans="2:9" x14ac:dyDescent="0.3">
      <c r="B33" s="30" t="s">
        <v>171</v>
      </c>
      <c r="C33" s="5">
        <f>VLOOKUP(Inngang!$B$5,'2022 Nto driftsutg eks avskriv'!$A$5:$T$22,4,FALSE)*1000/VLOOKUP(Inngang!$B$5,'2022 Nto driftsutg'!$A$5:$W$22,23,FALSE)</f>
        <v>6559.2462842547739</v>
      </c>
      <c r="D33" s="5">
        <f>+'2022 Nto driftsutg landet'!$C$5+VLOOKUP(Inngang!$B$5,'2022 Korreksjoner'!$A$5:$AS$22,5,FALSE)+VLOOKUP(Inngang!$B$5,'2022 Korreksjoner'!$A$5:$I$22,3,FALSE)+VLOOKUP(Inngang!$B$5,'2022 Korreksjoner'!$A$5:$AS$22,12,FALSE)+VLOOKUP(Inngang!$B$5,'2022 Korreksjoner'!$A$5:$AS$22,28,FALSE)</f>
        <v>6591.1339704551692</v>
      </c>
      <c r="E33" s="15">
        <f>+C33-D33</f>
        <v>-31.887686200395365</v>
      </c>
      <c r="F33" s="12">
        <f>+'2022 Nto driftsutg landet'!$C$5*VLOOKUP(Inngang!$B$5,'2022 Inntektsnivå'!$A$5:$C$22,3,FALSE)+VLOOKUP(Inngang!$B$5,'2022 Korreksjoner'!$A$5:$AS$22,5,FALSE)+VLOOKUP(Inngang!$B$5,'2022 Korreksjoner'!$A$5:$AS$22,3,FALSE)+VLOOKUP(Inngang!$B$5,'2022 Korreksjoner'!$A$5:$AS$22,12,FALSE)+VLOOKUP(Inngang!$B$5,'2022 Korreksjoner'!$A$5:$AS$22,28,FALSE)</f>
        <v>6424.814026667912</v>
      </c>
      <c r="G33" s="5"/>
      <c r="H33" s="14">
        <f>IF(F38=G38,C33-F33,(C33-F33)-(G38-F38)*C33/C32)</f>
        <v>134.43225758686185</v>
      </c>
      <c r="I33" s="99"/>
    </row>
    <row r="34" spans="2:9" x14ac:dyDescent="0.3">
      <c r="B34" s="30" t="s">
        <v>172</v>
      </c>
      <c r="C34" s="5">
        <f>VLOOKUP(Inngang!$B$5,'2022 Nto driftsutg eks avskriv'!$A$5:$T$22,5,FALSE)*1000/VLOOKUP(Inngang!$B$5,'2022 Nto driftsutg'!$A$5:$W$22,23,FALSE)</f>
        <v>2439.5810440574442</v>
      </c>
      <c r="D34" s="5">
        <f>+'2022 Nto driftsutg landet'!$C$6+VLOOKUP(Inngang!$B$5,'2022 Korreksjoner'!$A$5:$AS$22,6,FALSE)+VLOOKUP(Inngang!$B$5,'2022 Korreksjoner'!$A$5:$AS$22,13,FALSE)+VLOOKUP(Inngang!$B$5,'2022 Korreksjoner'!$A$5:$AS$22,29,FALSE)</f>
        <v>2326.9570370720221</v>
      </c>
      <c r="E34" s="15">
        <f>+C34-D34</f>
        <v>112.62400698542206</v>
      </c>
      <c r="F34" s="12">
        <f>+'2022 Nto driftsutg landet'!$C$6*VLOOKUP(Inngang!$B$5,'2022 Inntektsnivå'!$A$5:$C$22,3,FALSE)+VLOOKUP(Inngang!$B$5,'2022 Korreksjoner'!$A$5:$AS$22,6,FALSE)+VLOOKUP(Inngang!$B$5,'2022 Korreksjoner'!$A$5:$AS$22,13,FALSE)+VLOOKUP(Inngang!$B$5,'2022 Korreksjoner'!$A$5:$AS$22,29,FALSE)</f>
        <v>2280.2644802646414</v>
      </c>
      <c r="G34" s="5"/>
      <c r="H34" s="14">
        <f>IF(F38=G38,C34-F34,(C34-F34)-(G38-F38)*C34/C32)</f>
        <v>159.31656379280275</v>
      </c>
      <c r="I34" s="99"/>
    </row>
    <row r="35" spans="2:9" x14ac:dyDescent="0.3">
      <c r="B35" s="30" t="s">
        <v>456</v>
      </c>
      <c r="C35" s="5"/>
      <c r="D35" s="5"/>
      <c r="E35" s="15"/>
      <c r="F35" s="12"/>
      <c r="G35" s="5"/>
      <c r="H35" s="14"/>
      <c r="I35" s="99"/>
    </row>
    <row r="36" spans="2:9" x14ac:dyDescent="0.3">
      <c r="B36" s="30" t="s">
        <v>417</v>
      </c>
      <c r="C36" s="5"/>
      <c r="D36" s="5"/>
      <c r="E36" s="15"/>
      <c r="F36" s="12"/>
      <c r="G36" s="5"/>
      <c r="H36" s="14"/>
      <c r="I36" s="99"/>
    </row>
    <row r="37" spans="2:9" x14ac:dyDescent="0.3">
      <c r="B37" s="30" t="s">
        <v>275</v>
      </c>
      <c r="C37" s="5">
        <f>VLOOKUP(Inngang!$B$5,'2022 Nto driftsutg eks avskriv'!$A$5:$T$22,6,FALSE)*1000/VLOOKUP(Inngang!$B$5,'2022 Nto driftsutg'!$A$5:$W$22,23,FALSE)</f>
        <v>1862.2300587812229</v>
      </c>
      <c r="D37" s="5">
        <f>+'2022 Nto driftsutg landet'!$C$7+VLOOKUP(Inngang!$B$5,'2022 Korreksjoner'!$A$5:$AS$22,7,FALSE)+VLOOKUP(Inngang!$B$5,'2022 Korreksjoner'!$A$5:$AS$22,14,FALSE)+VLOOKUP(Inngang!$B$5,'2022 Korreksjoner'!$A$5:$AS$22,30,FALSE)</f>
        <v>2621.2187375761264</v>
      </c>
      <c r="E37" s="15">
        <f>+C37-D37</f>
        <v>-758.98867879490354</v>
      </c>
      <c r="F37" s="12">
        <f>+'2022 Nto driftsutg landet'!$C$7*VLOOKUP(Inngang!$B$5,'2022 Inntektsnivå'!$A$5:$C$22,3,FALSE)+VLOOKUP(Inngang!$B$5,'2022 Korreksjoner'!$A$5:$AS$22,7,FALSE)+VLOOKUP(Inngang!$B$5,'2022 Korreksjoner'!$A$5:$AS$22,14,FALSE)+VLOOKUP(Inngang!$B$5,'2022 Korreksjoner'!$A$5:$AS$22,30,FALSE)</f>
        <v>2557.4753435031148</v>
      </c>
      <c r="G37" s="5"/>
      <c r="H37" s="14">
        <f>IF(F38=G38,C37-F37,(C37-F37)-(G38-F38)*(C37+C38)/C32)</f>
        <v>-695.24528472189195</v>
      </c>
      <c r="I37" s="99"/>
    </row>
    <row r="38" spans="2:9" x14ac:dyDescent="0.3">
      <c r="B38" s="30" t="s">
        <v>276</v>
      </c>
      <c r="C38" s="5">
        <f>VLOOKUP(Inngang!$B$5,'2022 Nto driftsutg eks avskriv'!$A$5:$T$22,7,FALSE)*1000/VLOOKUP(Inngang!$B$5,'2022 Nto driftsutg'!$A$5:$W$22,23,FALSE)</f>
        <v>917.49959399406498</v>
      </c>
      <c r="D38" s="5">
        <f>+'2022 Nto driftsutg landet'!$C$8+VLOOKUP(Inngang!$B$5,'2022 Korreksjoner'!$A$5:$AS$22,8,FALSE)+VLOOKUP(Inngang!$B$5,'2022 Korreksjoner'!$A$5:$AS$22,15,FALSE)+VLOOKUP(Inngang!$B$5,'2022 Korreksjoner'!$A$5:$AS$22,31,FALSE)</f>
        <v>1141.3207762613429</v>
      </c>
      <c r="E38" s="15">
        <f>+C38-D38</f>
        <v>-223.82118226727789</v>
      </c>
      <c r="F38" s="12">
        <f>IF(AND(C38&gt;=0.5,D38&gt;0),IF(G38&lt;10,C38,G38),0)</f>
        <v>1117.3050503621662</v>
      </c>
      <c r="G38" s="5">
        <f>+'2022 Nto driftsutg landet'!$C$8*VLOOKUP(Inngang!$B$5,'2022 Inntektsnivå'!$A$5:$C$22,3,FALSE)+VLOOKUP(Inngang!$B$5,'2022 Korreksjoner'!$A$5:$AS$22,8,FALSE)+VLOOKUP(Inngang!$B$5,'2022 Korreksjoner'!$A$5:$AS$22,15,FALSE)+VLOOKUP(Inngang!$B$5,'2022 Korreksjoner'!$A$5:$AS$22,31,FALSE)</f>
        <v>1117.3050503621662</v>
      </c>
      <c r="H38" s="14">
        <f>+C38-F38</f>
        <v>-199.8054563681012</v>
      </c>
      <c r="I38" s="99"/>
    </row>
    <row r="39" spans="2:9" x14ac:dyDescent="0.3">
      <c r="B39" s="31" t="s">
        <v>173</v>
      </c>
      <c r="C39" s="20">
        <f>VLOOKUP(Inngang!$B$5,'2022 Nto driftsutg eks avskriv'!$A$5:$T$22,8,FALSE)*1000/VLOOKUP(Inngang!$B$5,'2022 Nto driftsutg'!$A$5:$W$22,23,FALSE)</f>
        <v>565.43655656348142</v>
      </c>
      <c r="D39" s="20">
        <f>+'2022 Nto driftsutg landet'!$C$9+VLOOKUP(Inngang!$B$5,'2022 Korreksjoner'!$A$5:$AS$22,9,FALSE)+VLOOKUP(Inngang!$B$5,'2022 Korreksjoner'!$A$5:$AS$22,16,FALSE)+VLOOKUP(Inngang!$B$5,'2022 Korreksjoner'!$A$5:$AS$22,32,FALSE)</f>
        <v>518.5745371890838</v>
      </c>
      <c r="E39" s="38">
        <f t="shared" ref="E39:E43" si="4">+C39-D39</f>
        <v>46.862019374397619</v>
      </c>
      <c r="F39" s="24">
        <f>+'2022 Nto driftsutg landet'!$C$9*VLOOKUP(Inngang!$B$5,'2022 Inntektsnivå'!$A$5:$C$22,3,FALSE)+VLOOKUP(Inngang!$B$5,'2022 Korreksjoner'!$A$5:$AS$22,9,FALSE)+VLOOKUP(Inngang!$B$5,'2022 Korreksjoner'!$A$5:$AS$22,16,FALSE)+VLOOKUP(Inngang!$B$5,'2022 Korreksjoner'!$A$5:$AS$22,32,FALSE)</f>
        <v>504.85819661470248</v>
      </c>
      <c r="G39" s="20"/>
      <c r="H39" s="25">
        <f>IF(F38=G38,C39-F39,(C39-F39)-(G38-F38)*C39/C32)</f>
        <v>60.578359948778939</v>
      </c>
      <c r="I39" s="99"/>
    </row>
    <row r="40" spans="2:9" x14ac:dyDescent="0.3">
      <c r="B40" s="30" t="s">
        <v>269</v>
      </c>
      <c r="C40" s="5">
        <f>VLOOKUP(Inngang!$B$5,'2022 Nto driftsutg eks avskriv'!$A$5:$T$22,9,FALSE)*1000/VLOOKUP(Inngang!$B$5,'2022 Nto driftsutg'!$A$5:$W$22,23,FALSE)</f>
        <v>1949.0900194250112</v>
      </c>
      <c r="D40" s="5">
        <f>'2022 Nto driftsutg landet'!$C$13+VLOOKUP(Inngang!$B$5,'2022 Korreksjoner'!$A$5:$AS$22,17,FALSE)+VLOOKUP(Inngang!$B$5,'2022 Korreksjoner'!$A$5:$AS$22,33,FALSE)+VLOOKUP(Inngang!$B$5,'2022 Korreksjoner'!$A$5:$AW$22,46,FALSE)</f>
        <v>1509.685906443141</v>
      </c>
      <c r="E40" s="15">
        <f t="shared" si="4"/>
        <v>439.40411298187018</v>
      </c>
      <c r="F40" s="12">
        <f>+'2022 Nto driftsutg landet'!$C$13*VLOOKUP(Inngang!$B$5,'2022 Inntektsnivå'!$A$5:$C$22,3,FALSE)+VLOOKUP(Inngang!$B$5,'2022 Korreksjoner'!$A$5:$AS$22,17,FALSE)+VLOOKUP(Inngang!$B$5,'2022 Korreksjoner'!$A$5:$AS$22,33,FALSE)+VLOOKUP(Inngang!$B$5,'2022 Korreksjoner'!$A$5:$AV$22,46,FALSE)</f>
        <v>1473.0927711738316</v>
      </c>
      <c r="G40" s="5"/>
      <c r="H40" s="14">
        <f t="shared" ref="H40:H43" si="5">+C40-F40</f>
        <v>475.9972482511796</v>
      </c>
    </row>
    <row r="41" spans="2:9" x14ac:dyDescent="0.3">
      <c r="B41" s="30" t="s">
        <v>26</v>
      </c>
      <c r="C41" s="5">
        <f>VLOOKUP(Inngang!$B$5,'2022 Nto driftsutg eks avskriv'!$A$5:$T$22,18,FALSE)*1000/VLOOKUP(Inngang!$B$5,'2022 Nto driftsutg'!$A$5:$W$22,23,FALSE)</f>
        <v>-46.440751606623486</v>
      </c>
      <c r="D41" s="5">
        <f>'2022 Nto driftsutg landet'!$C$14+VLOOKUP(Inngang!$B$5,'2022 Korreksjoner'!$A$5:$AX$22,44,FALSE)</f>
        <v>-34.752878798989542</v>
      </c>
      <c r="E41" s="15">
        <f t="shared" si="4"/>
        <v>-11.687872807633944</v>
      </c>
      <c r="F41" s="12">
        <f>+'2022 Nto driftsutg landet'!$C$14*VLOOKUP(Inngang!$B$5,'2022 Inntektsnivå'!$A$5:$C$22,3,FALSE)+VLOOKUP(Inngang!$B$5,'2022 Korreksjoner'!$A$5:$AX$22,44,FALSE)</f>
        <v>-31.859298178854274</v>
      </c>
      <c r="G41" s="5"/>
      <c r="H41" s="14">
        <f t="shared" si="5"/>
        <v>-14.581453427769212</v>
      </c>
    </row>
    <row r="42" spans="2:9" x14ac:dyDescent="0.3">
      <c r="B42" s="30" t="s">
        <v>23</v>
      </c>
      <c r="C42" s="5">
        <f>VLOOKUP(Inngang!$B$5,'2022 Nto driftsutg eks avskriv'!$A$5:$T$22,19,FALSE)*1000/VLOOKUP(Inngang!$B$5,'2022 Nto driftsutg'!$A$5:$W$22,23,FALSE)</f>
        <v>1255.9102863976411</v>
      </c>
      <c r="D42" s="88">
        <f>'2022 Nto driftsutg landet'!$C$15</f>
        <v>717.38946531950285</v>
      </c>
      <c r="E42" s="89">
        <f t="shared" si="4"/>
        <v>538.52082107813828</v>
      </c>
      <c r="F42" s="90">
        <f>+'2022 Nto driftsutg landet'!$C$15*VLOOKUP(Inngang!$B$5,'2022 Inntektsnivå'!$A$5:$C$22,3,FALSE)</f>
        <v>698.88665124286888</v>
      </c>
      <c r="G42" s="88"/>
      <c r="H42" s="91">
        <f t="shared" si="5"/>
        <v>557.02363515477225</v>
      </c>
      <c r="I42" s="5"/>
    </row>
    <row r="43" spans="2:9" x14ac:dyDescent="0.3">
      <c r="B43" s="31" t="s">
        <v>24</v>
      </c>
      <c r="C43" s="20">
        <f>VLOOKUP(Inngang!$B$5,'2022 Nto driftsutg eks avskriv'!$A$5:$T$22,20,FALSE)*1000/VLOOKUP(Inngang!$B$5,'2022 Nto driftsutg'!$A$5:$W$22,23,FALSE)</f>
        <v>798.91000588444967</v>
      </c>
      <c r="D43" s="92">
        <f>'2022 Nto driftsutg landet'!$C$16</f>
        <v>1310.4241625455463</v>
      </c>
      <c r="E43" s="93">
        <f t="shared" si="4"/>
        <v>-511.51415666109665</v>
      </c>
      <c r="F43" s="94">
        <f>+'2022 Nto driftsutg landet'!$C$16*VLOOKUP(Inngang!$B$5,'2022 Inntektsnivå'!$A$5:$C$22,3,FALSE)</f>
        <v>1276.6258761010829</v>
      </c>
      <c r="G43" s="88"/>
      <c r="H43" s="91">
        <f t="shared" si="5"/>
        <v>-477.71587021663322</v>
      </c>
    </row>
    <row r="44" spans="2:9" x14ac:dyDescent="0.3">
      <c r="B44" s="26" t="s">
        <v>17</v>
      </c>
      <c r="C44" s="27">
        <f>SUM(C33:C43)</f>
        <v>16301.463097751464</v>
      </c>
      <c r="D44" s="28">
        <f>SUM(D33:D43)</f>
        <v>16701.951714062943</v>
      </c>
      <c r="E44" s="29">
        <f>SUM(E33:E43)</f>
        <v>-400.48861631147923</v>
      </c>
      <c r="F44" s="27">
        <f>SUM(F33:F43)</f>
        <v>16301.463097751464</v>
      </c>
      <c r="G44" s="28"/>
      <c r="H44" s="32">
        <f>SUM(H33:H43)</f>
        <v>0</v>
      </c>
    </row>
    <row r="45" spans="2:9" x14ac:dyDescent="0.3">
      <c r="C45" s="5"/>
    </row>
    <row r="46" spans="2:9" x14ac:dyDescent="0.3">
      <c r="I46" s="5"/>
    </row>
    <row r="47" spans="2:9" x14ac:dyDescent="0.3">
      <c r="B47" s="6" t="s">
        <v>35</v>
      </c>
      <c r="I47" s="5"/>
    </row>
    <row r="49" spans="2:9" ht="43.2" x14ac:dyDescent="0.3">
      <c r="B49" s="36"/>
      <c r="C49" s="18" t="s">
        <v>40</v>
      </c>
      <c r="D49" s="18" t="s">
        <v>44</v>
      </c>
      <c r="E49" s="17" t="s">
        <v>45</v>
      </c>
      <c r="F49" s="13" t="s">
        <v>46</v>
      </c>
      <c r="G49" s="18"/>
      <c r="H49" s="16" t="s">
        <v>47</v>
      </c>
    </row>
    <row r="50" spans="2:9" x14ac:dyDescent="0.3">
      <c r="B50" s="37"/>
      <c r="C50" s="33" t="s">
        <v>39</v>
      </c>
      <c r="D50" s="33" t="s">
        <v>41</v>
      </c>
      <c r="E50" s="34" t="s">
        <v>39</v>
      </c>
      <c r="F50" s="39" t="s">
        <v>39</v>
      </c>
      <c r="G50" s="33"/>
      <c r="H50" s="35" t="s">
        <v>39</v>
      </c>
    </row>
    <row r="51" spans="2:9" x14ac:dyDescent="0.3">
      <c r="B51" s="78" t="s">
        <v>135</v>
      </c>
      <c r="C51" s="79">
        <f>SUM(C52:C57)</f>
        <v>1949.0900194250112</v>
      </c>
      <c r="D51" s="79">
        <f>SUM(D52:D57)</f>
        <v>1509.6859064431412</v>
      </c>
      <c r="E51" s="83">
        <f>SUM(E52:E57)</f>
        <v>439.40411298187013</v>
      </c>
      <c r="F51" s="84">
        <f>SUM(F52:F57)</f>
        <v>1473.0927711738318</v>
      </c>
      <c r="G51" s="79"/>
      <c r="H51" s="85">
        <f>SUM(H52:H57)</f>
        <v>475.99724825117943</v>
      </c>
    </row>
    <row r="52" spans="2:9" x14ac:dyDescent="0.3">
      <c r="B52" s="30" t="s">
        <v>4</v>
      </c>
      <c r="C52" s="5">
        <f>VLOOKUP(Inngang!$B$5,'2022 Nto driftsutg eks avskriv'!$A$5:$T$22,11,FALSE)*1000/VLOOKUP(Inngang!$B$5,'2022 Nto driftsutg'!$A$5:$W$22,23,FALSE)</f>
        <v>960.05956159795494</v>
      </c>
      <c r="D52" s="5">
        <f>'2022 Nto driftsutg eks avskriv'!K$17*1000/'2022 Nto driftsutg'!$W$17+VLOOKUP(Inngang!$B$5,'2022 Korreksjoner'!$A$5:$AS$22,19,FALSE)+VLOOKUP(Inngang!$B$5,'2022 Korreksjoner'!$A$5:$AS$22,35,FALSE)</f>
        <v>960.6410705888195</v>
      </c>
      <c r="E52" s="15">
        <f t="shared" ref="E52:E57" si="6">+C52-D52</f>
        <v>-0.5815089908645632</v>
      </c>
      <c r="F52" s="12">
        <f>+'2022 Nto driftsutg landet'!$C$23*VLOOKUP(Inngang!$B$5,'2022 Inntektsnivå'!$A$5:$C$22,3,FALSE)+VLOOKUP(Inngang!$B$5,'2022 Korreksjoner'!$A$5:$AS$22,19,FALSE)+VLOOKUP(Inngang!$B$5,'2022 Korreksjoner'!$A$5:$AS$22,35,FALSE)</f>
        <v>938.26057705595861</v>
      </c>
      <c r="G52" s="5"/>
      <c r="H52" s="14">
        <f>+C52-F52</f>
        <v>21.798984541996333</v>
      </c>
    </row>
    <row r="53" spans="2:9" x14ac:dyDescent="0.3">
      <c r="B53" s="30" t="s">
        <v>268</v>
      </c>
      <c r="C53" s="5">
        <f>VLOOKUP(Inngang!$B$5,'2022 Nto driftsutg eks avskriv'!$A$5:$T$22,12,FALSE)*1000/VLOOKUP(Inngang!$B$5,'2022 Nto driftsutg'!$A$5:$W$22,23,FALSE)</f>
        <v>234.04291219093457</v>
      </c>
      <c r="D53" s="5">
        <f>'2022 Nto driftsutg eks avskriv'!L$17*1000/'2022 Nto driftsutg'!$W$17+VLOOKUP(Inngang!$B$5,'2022 Korreksjoner'!$A$5:$AS$22,20,FALSE)+VLOOKUP(Inngang!$B$5,'2022 Korreksjoner'!$A$5:$AS$22,36,FALSE)</f>
        <v>228.30199766858681</v>
      </c>
      <c r="E53" s="15">
        <f t="shared" si="6"/>
        <v>5.7409145223477651</v>
      </c>
      <c r="F53" s="12">
        <f>+'2022 Nto driftsutg landet'!$C$24*VLOOKUP(Inngang!$B$5,'2022 Inntektsnivå'!$A$5:$C$22,3,FALSE)+VLOOKUP(Inngang!$B$5,'2022 Korreksjoner'!$A$5:$AS$22,20,FALSE)+VLOOKUP(Inngang!$B$5,'2022 Korreksjoner'!$A$5:$AS$22,36,FALSE)</f>
        <v>222.38283758514285</v>
      </c>
      <c r="G53" s="5"/>
      <c r="H53" s="14">
        <f t="shared" ref="H53:H57" si="7">+C53-F53</f>
        <v>11.660074605791721</v>
      </c>
    </row>
    <row r="54" spans="2:9" x14ac:dyDescent="0.3">
      <c r="B54" s="30" t="s">
        <v>36</v>
      </c>
      <c r="C54" s="5">
        <f>VLOOKUP(Inngang!$B$5,'2022 Nto driftsutg eks avskriv'!$A$5:$T$22,13,FALSE)*1000/VLOOKUP(Inngang!$B$5,'2022 Nto driftsutg'!$A$5:$W$22,23,FALSE)</f>
        <v>235.29573050486047</v>
      </c>
      <c r="D54" s="5">
        <f>'2022 Nto driftsutg eks avskriv'!M$17*1000/'2022 Nto driftsutg'!$W$17+VLOOKUP(Inngang!$B$5,'2022 Korreksjoner'!$A$5:$AS$22,21,FALSE)+VLOOKUP(Inngang!$B$5,'2022 Korreksjoner'!$A$5:$AS$22,37,FALSE)</f>
        <v>-33.70645481091276</v>
      </c>
      <c r="E54" s="15">
        <f t="shared" si="6"/>
        <v>269.0021853157732</v>
      </c>
      <c r="F54" s="12">
        <f>+'2022 Nto driftsutg landet'!$C$25*VLOOKUP(Inngang!$B$5,'2022 Inntektsnivå'!$A$5:$C$22,3,FALSE)+VLOOKUP(Inngang!$B$5,'2022 Korreksjoner'!$A$5:$AS$22,21,FALSE)+VLOOKUP(Inngang!$B$5,'2022 Korreksjoner'!$A$5:$AS$22,37,FALSE)</f>
        <v>-32.833126212353221</v>
      </c>
      <c r="G54" s="5"/>
      <c r="H54" s="14">
        <f t="shared" si="7"/>
        <v>268.12885671721369</v>
      </c>
    </row>
    <row r="55" spans="2:9" x14ac:dyDescent="0.3">
      <c r="B55" s="30" t="s">
        <v>175</v>
      </c>
      <c r="C55" s="5">
        <f>VLOOKUP(Inngang!$B$5,'2022 Nto driftsutg eks avskriv'!$A$5:$T$22,14,FALSE)*1000/VLOOKUP(Inngang!$B$5,'2022 Nto driftsutg'!$A$5:$W$22,23,FALSE)</f>
        <v>519.69181513126114</v>
      </c>
      <c r="D55" s="5">
        <f>'2022 Nto driftsutg eks avskriv'!N$17*1000/'2022 Nto driftsutg'!$W$17+VLOOKUP(Inngang!$B$5,'2022 Korreksjoner'!$A$5:$AS$22,22,FALSE)+VLOOKUP(Inngang!$B$5,'2022 Korreksjoner'!$A$5:$AS$22,38,FALSE)</f>
        <v>356.61748001775425</v>
      </c>
      <c r="E55" s="15">
        <f t="shared" si="6"/>
        <v>163.07433511350689</v>
      </c>
      <c r="F55" s="12">
        <f>+'2022 Nto driftsutg landet'!$C$26*VLOOKUP(Inngang!$B$5,'2022 Inntektsnivå'!$A$5:$C$22,3,FALSE)+VLOOKUP(Inngang!$B$5,'2022 Korreksjoner'!$A$5:$AS$22,22,FALSE)+VLOOKUP(Inngang!$B$5,'2022 Korreksjoner'!$A$5:$AS$22,38,FALSE)</f>
        <v>347.394748173702</v>
      </c>
      <c r="G55" s="5"/>
      <c r="H55" s="14">
        <f t="shared" si="7"/>
        <v>172.29706695755914</v>
      </c>
    </row>
    <row r="56" spans="2:9" x14ac:dyDescent="0.3">
      <c r="B56" s="30" t="s">
        <v>136</v>
      </c>
      <c r="C56" s="5">
        <f>VLOOKUP(Inngang!$B$5,'2022 Nto driftsutg eks avskriv'!$A$5:$T$22,15,FALSE)*1000/VLOOKUP(Inngang!$B$5,'2022 Nto driftsutg'!$A$5:$W$22,23,FALSE)</f>
        <v>0</v>
      </c>
      <c r="D56" s="5">
        <f>'2022 Nto driftsutg eks avskriv'!O$17*1000/'2022 Nto driftsutg'!$W$17+VLOOKUP(Inngang!$B$5,'2022 Korreksjoner'!$A$5:$AS$22,23,FALSE)+VLOOKUP(Inngang!$B$5,'2022 Korreksjoner'!$A$5:$AS$22,39,FALSE)</f>
        <v>-0.77876308460224097</v>
      </c>
      <c r="E56" s="15">
        <f t="shared" si="6"/>
        <v>0.77876308460224097</v>
      </c>
      <c r="F56" s="12">
        <f>'2022 Nto driftsutg landet'!$C$27*VLOOKUP(Inngang!$B$5,'2022 Inntektsnivå'!$A$5:$C$22,3,FALSE)+VLOOKUP(Inngang!$B$5,'2022 Korreksjoner'!$A$5:$AS$22,23,FALSE)+VLOOKUP(Inngang!$B$5,'2022 Korreksjoner'!$A$5:$AS$22,39,FALSE)</f>
        <v>-0.75867733026554507</v>
      </c>
      <c r="G56" s="5"/>
      <c r="H56" s="14">
        <f t="shared" si="7"/>
        <v>0.75867733026554507</v>
      </c>
    </row>
    <row r="57" spans="2:9" x14ac:dyDescent="0.3">
      <c r="B57" s="56" t="s">
        <v>128</v>
      </c>
      <c r="C57" s="20">
        <f>VLOOKUP(Inngang!$B$5,'2022 Nto driftsutg eks avskriv'!$A$5:$T$22,16,FALSE)*1000/VLOOKUP(Inngang!$B$5,'2022 Nto driftsutg'!$A$5:$W$22,23,FALSE)</f>
        <v>0</v>
      </c>
      <c r="D57" s="20">
        <f>'2022 Nto driftsutg eks avskriv'!P$17*1000/'2022 Nto driftsutg'!$W$17+VLOOKUP(Inngang!$B$5,'2022 Korreksjoner'!$A$5:$AS$22,24,FALSE)+VLOOKUP(Inngang!$B$5,'2022 Korreksjoner'!$A$5:$AS$22,40,FALSE)</f>
        <v>-1.3894239365045427</v>
      </c>
      <c r="E57" s="38">
        <f t="shared" si="6"/>
        <v>1.3894239365045427</v>
      </c>
      <c r="F57" s="24">
        <f>'2022 Nto driftsutg landet'!$C$28*VLOOKUP(Inngang!$B$5,'2022 Inntektsnivå'!$A$5:$C$22,3,FALSE)+VLOOKUP(Inngang!$B$5,'2022 Korreksjoner'!$A$5:$AS$22,24,FALSE)+VLOOKUP(Inngang!$B$5,'2022 Korreksjoner'!$A$5:$AS$22,40,FALSE)</f>
        <v>-1.3535880983530599</v>
      </c>
      <c r="G57" s="20"/>
      <c r="H57" s="25">
        <f t="shared" si="7"/>
        <v>1.3535880983530599</v>
      </c>
    </row>
    <row r="58" spans="2:9" x14ac:dyDescent="0.3">
      <c r="B58" s="26" t="s">
        <v>135</v>
      </c>
      <c r="C58" s="28">
        <f>SUM(C52:C57)</f>
        <v>1949.0900194250112</v>
      </c>
      <c r="D58" s="28">
        <f>SUM(D52:D57)</f>
        <v>1509.6859064431412</v>
      </c>
      <c r="E58" s="29">
        <f>SUM(E52:E57)</f>
        <v>439.40411298187013</v>
      </c>
      <c r="F58" s="27">
        <f>SUM(F52:F57)</f>
        <v>1473.0927711738318</v>
      </c>
      <c r="G58" s="28"/>
      <c r="H58" s="32">
        <f>SUM(H52:H57)</f>
        <v>475.99724825117943</v>
      </c>
      <c r="I58" s="5"/>
    </row>
    <row r="59" spans="2:9" x14ac:dyDescent="0.3">
      <c r="I59" s="5"/>
    </row>
    <row r="60" spans="2:9" x14ac:dyDescent="0.3">
      <c r="I60" s="5"/>
    </row>
    <row r="61" spans="2:9" x14ac:dyDescent="0.3">
      <c r="I61" s="5"/>
    </row>
    <row r="62" spans="2:9" x14ac:dyDescent="0.3">
      <c r="B62" s="36" t="s">
        <v>127</v>
      </c>
      <c r="C62" s="18" t="s">
        <v>271</v>
      </c>
      <c r="D62" s="62" t="s">
        <v>3</v>
      </c>
      <c r="I62" s="5"/>
    </row>
    <row r="63" spans="2:9" x14ac:dyDescent="0.3">
      <c r="B63" s="57" t="s">
        <v>171</v>
      </c>
      <c r="C63" s="65">
        <f>VLOOKUP(Inngang!$B$5,'2022 Revekting utgiftsbehov'!$A$5:$I$22,4,FALSE)</f>
        <v>1.02035371</v>
      </c>
      <c r="D63" s="63">
        <v>1</v>
      </c>
      <c r="I63" s="5"/>
    </row>
    <row r="64" spans="2:9" x14ac:dyDescent="0.3">
      <c r="B64" s="57" t="s">
        <v>172</v>
      </c>
      <c r="C64" s="65">
        <f>VLOOKUP(Inngang!$B$5,'2022 Revekting utgiftsbehov'!$A$5:$I$22,5,FALSE)</f>
        <v>1.2804020200000001</v>
      </c>
      <c r="D64" s="63">
        <v>1</v>
      </c>
      <c r="I64" s="5"/>
    </row>
    <row r="65" spans="2:9" x14ac:dyDescent="0.3">
      <c r="B65" s="57" t="s">
        <v>456</v>
      </c>
      <c r="C65" s="65"/>
      <c r="D65" s="63">
        <v>1</v>
      </c>
      <c r="I65" s="5"/>
    </row>
    <row r="66" spans="2:9" x14ac:dyDescent="0.3">
      <c r="B66" s="57" t="s">
        <v>417</v>
      </c>
      <c r="C66" s="65"/>
      <c r="D66" s="63">
        <v>1</v>
      </c>
      <c r="I66" s="5"/>
    </row>
    <row r="67" spans="2:9" x14ac:dyDescent="0.3">
      <c r="B67" s="30" t="s">
        <v>275</v>
      </c>
      <c r="C67" s="65">
        <f>VLOOKUP(Inngang!$B$5,'2022 Revekting utgiftsbehov'!$A$5:$I$22,6,FALSE)</f>
        <v>1.0615868000000002</v>
      </c>
      <c r="D67" s="63">
        <v>1</v>
      </c>
      <c r="I67" s="5"/>
    </row>
    <row r="68" spans="2:9" x14ac:dyDescent="0.3">
      <c r="B68" s="30" t="s">
        <v>276</v>
      </c>
      <c r="C68" s="65">
        <f>VLOOKUP(Inngang!$B$5,'2022 Revekting utgiftsbehov'!$A$5:$I$22,7,FALSE)</f>
        <v>1.2282993799999999</v>
      </c>
      <c r="D68" s="63">
        <v>1</v>
      </c>
      <c r="I68" s="5"/>
    </row>
    <row r="69" spans="2:9" x14ac:dyDescent="0.3">
      <c r="B69" s="58" t="s">
        <v>173</v>
      </c>
      <c r="C69" s="66">
        <f>VLOOKUP(Inngang!$B$5,'2022 Revekting utgiftsbehov'!$A$5:$I$22,8,FALSE)</f>
        <v>1.0043769899999999</v>
      </c>
      <c r="D69" s="64">
        <v>1</v>
      </c>
      <c r="I69" s="5"/>
    </row>
    <row r="70" spans="2:9" x14ac:dyDescent="0.3">
      <c r="B70" s="75" t="s">
        <v>132</v>
      </c>
      <c r="C70" s="76">
        <f>+VLOOKUP(Inngang!$B$5,'2022 Revekting utgiftsbehov'!$A$5:$I$22,9,FALSE)</f>
        <v>1.0929</v>
      </c>
      <c r="D70" s="77">
        <v>1</v>
      </c>
      <c r="I70" s="5"/>
    </row>
    <row r="71" spans="2:9" x14ac:dyDescent="0.3">
      <c r="I71" s="5"/>
    </row>
    <row r="72" spans="2:9" x14ac:dyDescent="0.3">
      <c r="I72" s="5"/>
    </row>
    <row r="73" spans="2:9" x14ac:dyDescent="0.3">
      <c r="I73" s="5"/>
    </row>
    <row r="74" spans="2:9" ht="28.8" x14ac:dyDescent="0.3">
      <c r="B74" s="68" t="s">
        <v>129</v>
      </c>
      <c r="C74" s="71" t="s">
        <v>272</v>
      </c>
      <c r="D74" s="71" t="s">
        <v>273</v>
      </c>
    </row>
    <row r="75" spans="2:9" x14ac:dyDescent="0.3">
      <c r="B75" s="30" t="s">
        <v>137</v>
      </c>
      <c r="C75" s="69">
        <f>SUM(C76:C86)</f>
        <v>773.75400808052427</v>
      </c>
    </row>
    <row r="76" spans="2:9" x14ac:dyDescent="0.3">
      <c r="B76" s="30" t="s">
        <v>171</v>
      </c>
      <c r="C76" s="69">
        <f>+C33-'2022 Nto driftsutg landet'!$C5</f>
        <v>110.70418404593602</v>
      </c>
    </row>
    <row r="77" spans="2:9" x14ac:dyDescent="0.3">
      <c r="B77" s="30" t="s">
        <v>172</v>
      </c>
      <c r="C77" s="69">
        <f>+C34-'2022 Nto driftsutg landet'!$C6</f>
        <v>629.2213753220633</v>
      </c>
    </row>
    <row r="78" spans="2:9" x14ac:dyDescent="0.3">
      <c r="B78" s="30" t="s">
        <v>456</v>
      </c>
      <c r="C78" s="69"/>
    </row>
    <row r="79" spans="2:9" x14ac:dyDescent="0.3">
      <c r="B79" s="30" t="s">
        <v>417</v>
      </c>
      <c r="C79" s="69"/>
    </row>
    <row r="80" spans="2:9" x14ac:dyDescent="0.3">
      <c r="B80" s="30" t="s">
        <v>275</v>
      </c>
      <c r="C80" s="69">
        <f>+C37-'2022 Nto driftsutg landet'!$C7</f>
        <v>-609.22315921530071</v>
      </c>
    </row>
    <row r="81" spans="2:5" x14ac:dyDescent="0.3">
      <c r="B81" s="30" t="s">
        <v>276</v>
      </c>
      <c r="C81" s="69">
        <f>+C38-'2022 Nto driftsutg landet'!$C8</f>
        <v>-13.635999257515095</v>
      </c>
    </row>
    <row r="82" spans="2:5" x14ac:dyDescent="0.3">
      <c r="B82" s="30" t="s">
        <v>173</v>
      </c>
      <c r="C82" s="69">
        <f>+C39-'2022 Nto driftsutg landet'!$C9</f>
        <v>33.627817090607209</v>
      </c>
    </row>
    <row r="83" spans="2:5" x14ac:dyDescent="0.3">
      <c r="B83" s="30" t="s">
        <v>126</v>
      </c>
      <c r="C83" s="69">
        <f>+C40-'2022 Nto driftsutg landet'!$C13</f>
        <v>530.30422627554572</v>
      </c>
    </row>
    <row r="84" spans="2:5" x14ac:dyDescent="0.3">
      <c r="B84" s="30" t="s">
        <v>26</v>
      </c>
      <c r="C84" s="69">
        <f>+C41-'2022 Nto driftsutg landet'!$C14</f>
        <v>65.748899402146236</v>
      </c>
    </row>
    <row r="85" spans="2:5" x14ac:dyDescent="0.3">
      <c r="B85" s="30" t="s">
        <v>23</v>
      </c>
      <c r="C85" s="69">
        <f>+C42-'2022 Nto driftsutg landet'!$C15</f>
        <v>538.52082107813828</v>
      </c>
    </row>
    <row r="86" spans="2:5" x14ac:dyDescent="0.3">
      <c r="B86" s="31" t="s">
        <v>24</v>
      </c>
      <c r="C86" s="70">
        <f>+C43-'2022 Nto driftsutg landet'!$C16</f>
        <v>-511.51415666109665</v>
      </c>
    </row>
    <row r="88" spans="2:5" x14ac:dyDescent="0.3">
      <c r="E88" s="5"/>
    </row>
  </sheetData>
  <sheetProtection algorithmName="SHA-512" hashValue="eQ4Czj2jZkuhg3a8sAXY6L9wIfn1XsCyzqaCnw3k630srzGmI5dsWSK4ut24Z9jl3hRr1GAyZZZb2x0B/D1TZA==" saltValue="Qn+sXVLqbX0vjxMWYaePYw==" spinCount="100000" sheet="1" selectLockedCells="1" selectUnlockedCells="1"/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2AB3-6CDF-4E39-94D6-2D21021B44CB}">
  <sheetPr>
    <tabColor rgb="FFFFC000"/>
  </sheetPr>
  <dimension ref="A1:W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5.44140625" customWidth="1"/>
    <col min="22" max="22" width="12.44140625" customWidth="1"/>
  </cols>
  <sheetData>
    <row r="1" spans="1:23" x14ac:dyDescent="0.3">
      <c r="I1" s="5"/>
    </row>
    <row r="2" spans="1:23" ht="104.25" customHeight="1" x14ac:dyDescent="0.3">
      <c r="A2" s="22" t="s">
        <v>2</v>
      </c>
      <c r="B2" s="22" t="s">
        <v>1</v>
      </c>
      <c r="C2" s="22" t="s">
        <v>25</v>
      </c>
      <c r="D2" s="22" t="s">
        <v>164</v>
      </c>
      <c r="E2" s="22" t="s">
        <v>165</v>
      </c>
      <c r="F2" s="22" t="s">
        <v>287</v>
      </c>
      <c r="G2" s="22" t="s">
        <v>288</v>
      </c>
      <c r="H2" s="22" t="s">
        <v>166</v>
      </c>
      <c r="I2" s="11" t="s">
        <v>27</v>
      </c>
      <c r="J2" s="22" t="s">
        <v>386</v>
      </c>
      <c r="K2" s="22" t="s">
        <v>167</v>
      </c>
      <c r="L2" s="22" t="s">
        <v>168</v>
      </c>
      <c r="M2" s="22" t="s">
        <v>14</v>
      </c>
      <c r="N2" s="22" t="s">
        <v>169</v>
      </c>
      <c r="O2" s="22" t="s">
        <v>170</v>
      </c>
      <c r="P2" s="22" t="s">
        <v>15</v>
      </c>
      <c r="Q2" s="22" t="s">
        <v>387</v>
      </c>
      <c r="R2" s="22" t="s">
        <v>13</v>
      </c>
      <c r="S2" s="22" t="s">
        <v>18</v>
      </c>
      <c r="T2" s="22" t="s">
        <v>19</v>
      </c>
      <c r="U2" s="22"/>
      <c r="V2" s="22"/>
      <c r="W2" s="22"/>
    </row>
    <row r="3" spans="1:23" x14ac:dyDescent="0.3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ref="J3:U3" si="1">+I3+1</f>
        <v>10</v>
      </c>
      <c r="K3" s="107">
        <f t="shared" si="1"/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/>
      <c r="W3" s="107"/>
    </row>
    <row r="4" spans="1:23" x14ac:dyDescent="0.3">
      <c r="I4" s="19"/>
    </row>
    <row r="5" spans="1:23" x14ac:dyDescent="0.3">
      <c r="A5" s="41">
        <v>300</v>
      </c>
      <c r="B5" s="42" t="s">
        <v>0</v>
      </c>
      <c r="C5" s="1">
        <f t="shared" ref="C5:C15" si="2">SUM(D5:I5)+R5+S5+T5</f>
        <v>7721153.2929190667</v>
      </c>
      <c r="D5" s="1">
        <f>+'2022 Nto driftsutg'!D5-'2022 Avskrivning'!D5</f>
        <v>3422798</v>
      </c>
      <c r="E5" s="1">
        <f>+'2022 Nto driftsutg'!E5-'2022 Avskrivning'!E5</f>
        <v>0</v>
      </c>
      <c r="F5" s="1">
        <f>+'2022 Nto driftsutg'!F5-'2022 Avskrivning'!F5</f>
        <v>3581441</v>
      </c>
      <c r="G5" s="1">
        <f>+'2022 Nto driftsutg'!G5-'2022 Avskrivning'!G5</f>
        <v>28732</v>
      </c>
      <c r="H5" s="1">
        <f>+'2022 Nto driftsutg'!H5-'2022 Avskrivning'!H5</f>
        <v>244625</v>
      </c>
      <c r="I5" s="9">
        <f t="shared" ref="I5:I15" si="3">SUM(J5:Q5)</f>
        <v>223856</v>
      </c>
      <c r="J5" s="1">
        <f>+'2022 Nto driftsutg'!J5-'2022 Avskrivning'!J5</f>
        <v>0</v>
      </c>
      <c r="K5" s="1">
        <f>+'2022 Nto driftsutg'!K5-'2022 Avskrivning'!K5</f>
        <v>128867</v>
      </c>
      <c r="L5" s="1">
        <f>+'2022 Nto driftsutg'!L5-'2022 Avskrivning'!L5</f>
        <v>0</v>
      </c>
      <c r="M5" s="1">
        <f>+'2022 Nto driftsutg'!M5-'2022 Avskrivning'!M5</f>
        <v>14963</v>
      </c>
      <c r="N5" s="1">
        <f>+'2022 Nto driftsutg'!N5-'2022 Avskrivning'!N5</f>
        <v>80026</v>
      </c>
      <c r="O5" s="1">
        <f>+'2022 Nto driftsutg'!O5-'2022 Avskrivning'!O5</f>
        <v>0</v>
      </c>
      <c r="P5" s="1">
        <f>+'2022 Nto driftsutg'!P5-'2022 Avskrivning'!P5</f>
        <v>0</v>
      </c>
      <c r="Q5" s="1">
        <f>+'2022 Nto driftsutg'!Q5-'2022 Avskrivning'!Q5</f>
        <v>0</v>
      </c>
      <c r="R5" s="1">
        <f>+'2022 Nto driftsutg'!R5-'2022 Avskrivning'!R5</f>
        <v>-405955.14792834799</v>
      </c>
      <c r="S5" s="1">
        <f>+'2022 Nto driftsutg'!S5</f>
        <v>81265.544513938818</v>
      </c>
      <c r="T5" s="1">
        <f>+'2022 Nto driftsutg'!T5</f>
        <v>544390.89633347548</v>
      </c>
      <c r="V5" s="1"/>
      <c r="W5" s="1"/>
    </row>
    <row r="6" spans="1:23" x14ac:dyDescent="0.3">
      <c r="A6" s="41">
        <v>1100</v>
      </c>
      <c r="B6" s="42" t="s">
        <v>139</v>
      </c>
      <c r="C6" s="1">
        <f t="shared" si="2"/>
        <v>7154432</v>
      </c>
      <c r="D6" s="1">
        <f>+'2022 Nto driftsutg'!D6-'2022 Avskrivning'!D6</f>
        <v>3308047</v>
      </c>
      <c r="E6" s="1">
        <f>+'2022 Nto driftsutg'!E6-'2022 Avskrivning'!E6</f>
        <v>772692</v>
      </c>
      <c r="F6" s="1">
        <f>+'2022 Nto driftsutg'!F6-'2022 Avskrivning'!F6</f>
        <v>991650</v>
      </c>
      <c r="G6" s="1">
        <f>+'2022 Nto driftsutg'!G6-'2022 Avskrivning'!G6</f>
        <v>473299</v>
      </c>
      <c r="H6" s="1">
        <f>+'2022 Nto driftsutg'!H6-'2022 Avskrivning'!H6</f>
        <v>291202</v>
      </c>
      <c r="I6" s="9">
        <f t="shared" si="3"/>
        <v>83984</v>
      </c>
      <c r="J6" s="1">
        <f>+'2022 Nto driftsutg'!J6-'2022 Avskrivning'!J6</f>
        <v>0</v>
      </c>
      <c r="K6" s="1">
        <f>+'2022 Nto driftsutg'!K6-'2022 Avskrivning'!K6</f>
        <v>289099</v>
      </c>
      <c r="L6" s="1">
        <f>+'2022 Nto driftsutg'!L6-'2022 Avskrivning'!L6</f>
        <v>72400</v>
      </c>
      <c r="M6" s="1">
        <f>+'2022 Nto driftsutg'!M6-'2022 Avskrivning'!M6</f>
        <v>-445959</v>
      </c>
      <c r="N6" s="1">
        <f>+'2022 Nto driftsutg'!N6-'2022 Avskrivning'!N6</f>
        <v>159740</v>
      </c>
      <c r="O6" s="1">
        <f>+'2022 Nto driftsutg'!O6-'2022 Avskrivning'!O6</f>
        <v>0</v>
      </c>
      <c r="P6" s="1">
        <f>+'2022 Nto driftsutg'!P6-'2022 Avskrivning'!P6</f>
        <v>8704</v>
      </c>
      <c r="Q6" s="1">
        <f>+'2022 Nto driftsutg'!Q6-'2022 Avskrivning'!Q6</f>
        <v>0</v>
      </c>
      <c r="R6" s="1">
        <f>+'2022 Nto driftsutg'!R6-'2022 Avskrivning'!R6</f>
        <v>-20762</v>
      </c>
      <c r="S6" s="1">
        <f>+'2022 Nto driftsutg'!S6</f>
        <v>522086</v>
      </c>
      <c r="T6" s="1">
        <f>+'2022 Nto driftsutg'!T6</f>
        <v>732234</v>
      </c>
      <c r="V6" s="1"/>
      <c r="W6" s="1"/>
    </row>
    <row r="7" spans="1:23" x14ac:dyDescent="0.3">
      <c r="A7" s="41">
        <v>1500</v>
      </c>
      <c r="B7" s="42" t="s">
        <v>140</v>
      </c>
      <c r="C7" s="1">
        <f t="shared" si="2"/>
        <v>5525795</v>
      </c>
      <c r="D7" s="1">
        <f>+'2022 Nto driftsutg'!D7-'2022 Avskrivning'!D7</f>
        <v>1834702</v>
      </c>
      <c r="E7" s="1">
        <f>+'2022 Nto driftsutg'!E7-'2022 Avskrivning'!E7</f>
        <v>821129</v>
      </c>
      <c r="F7" s="1">
        <f>+'2022 Nto driftsutg'!F7-'2022 Avskrivning'!F7</f>
        <v>570505</v>
      </c>
      <c r="G7" s="1">
        <f>+'2022 Nto driftsutg'!G7-'2022 Avskrivning'!G7</f>
        <v>914102</v>
      </c>
      <c r="H7" s="1">
        <f>+'2022 Nto driftsutg'!H7-'2022 Avskrivning'!H7</f>
        <v>173852</v>
      </c>
      <c r="I7" s="9">
        <f t="shared" si="3"/>
        <v>570485</v>
      </c>
      <c r="J7" s="1">
        <f>+'2022 Nto driftsutg'!J7-'2022 Avskrivning'!J7</f>
        <v>0</v>
      </c>
      <c r="K7" s="1">
        <f>+'2022 Nto driftsutg'!K7-'2022 Avskrivning'!K7</f>
        <v>235003</v>
      </c>
      <c r="L7" s="1">
        <f>+'2022 Nto driftsutg'!L7-'2022 Avskrivning'!L7</f>
        <v>144519</v>
      </c>
      <c r="M7" s="1">
        <f>+'2022 Nto driftsutg'!M7-'2022 Avskrivning'!M7</f>
        <v>71092</v>
      </c>
      <c r="N7" s="1">
        <f>+'2022 Nto driftsutg'!N7-'2022 Avskrivning'!N7</f>
        <v>110243</v>
      </c>
      <c r="O7" s="1">
        <f>+'2022 Nto driftsutg'!O7-'2022 Avskrivning'!O7</f>
        <v>1137</v>
      </c>
      <c r="P7" s="1">
        <f>+'2022 Nto driftsutg'!P7-'2022 Avskrivning'!P7</f>
        <v>8491</v>
      </c>
      <c r="Q7" s="1">
        <f>+'2022 Nto driftsutg'!Q7-'2022 Avskrivning'!Q7</f>
        <v>0</v>
      </c>
      <c r="R7" s="1">
        <f>+'2022 Nto driftsutg'!R7-'2022 Avskrivning'!R7</f>
        <v>12462</v>
      </c>
      <c r="S7" s="1">
        <f>+'2022 Nto driftsutg'!S7</f>
        <v>415425</v>
      </c>
      <c r="T7" s="1">
        <f>+'2022 Nto driftsutg'!T7</f>
        <v>213133</v>
      </c>
      <c r="V7" s="1"/>
      <c r="W7" s="1"/>
    </row>
    <row r="8" spans="1:23" x14ac:dyDescent="0.3">
      <c r="A8" s="41">
        <v>1800</v>
      </c>
      <c r="B8" s="42" t="s">
        <v>141</v>
      </c>
      <c r="C8" s="1">
        <f t="shared" si="2"/>
        <v>6065390</v>
      </c>
      <c r="D8" s="1">
        <f>+'2022 Nto driftsutg'!D8-'2022 Avskrivning'!D8</f>
        <v>1874731</v>
      </c>
      <c r="E8" s="1">
        <f>+'2022 Nto driftsutg'!E8-'2022 Avskrivning'!E8</f>
        <v>736906</v>
      </c>
      <c r="F8" s="1">
        <f>+'2022 Nto driftsutg'!F8-'2022 Avskrivning'!F8</f>
        <v>474320</v>
      </c>
      <c r="G8" s="1">
        <f>+'2022 Nto driftsutg'!G8-'2022 Avskrivning'!G8</f>
        <v>1134610</v>
      </c>
      <c r="H8" s="1">
        <f>+'2022 Nto driftsutg'!H8-'2022 Avskrivning'!H8</f>
        <v>200601</v>
      </c>
      <c r="I8" s="9">
        <f t="shared" si="3"/>
        <v>616233</v>
      </c>
      <c r="J8" s="1">
        <f>+'2022 Nto driftsutg'!J8-'2022 Avskrivning'!J8</f>
        <v>0</v>
      </c>
      <c r="K8" s="1">
        <f>+'2022 Nto driftsutg'!K8-'2022 Avskrivning'!K8</f>
        <v>324542</v>
      </c>
      <c r="L8" s="1">
        <f>+'2022 Nto driftsutg'!L8-'2022 Avskrivning'!L8</f>
        <v>26037</v>
      </c>
      <c r="M8" s="1">
        <f>+'2022 Nto driftsutg'!M8-'2022 Avskrivning'!M8</f>
        <v>96386</v>
      </c>
      <c r="N8" s="1">
        <f>+'2022 Nto driftsutg'!N8-'2022 Avskrivning'!N8</f>
        <v>169254</v>
      </c>
      <c r="O8" s="1">
        <f>+'2022 Nto driftsutg'!O8-'2022 Avskrivning'!O8</f>
        <v>14</v>
      </c>
      <c r="P8" s="1">
        <f>+'2022 Nto driftsutg'!P8-'2022 Avskrivning'!P8</f>
        <v>0</v>
      </c>
      <c r="Q8" s="1">
        <f>+'2022 Nto driftsutg'!Q8-'2022 Avskrivning'!Q8</f>
        <v>0</v>
      </c>
      <c r="R8" s="1">
        <f>+'2022 Nto driftsutg'!R8-'2022 Avskrivning'!R8</f>
        <v>-32019</v>
      </c>
      <c r="S8" s="1">
        <f>+'2022 Nto driftsutg'!S8</f>
        <v>269896</v>
      </c>
      <c r="T8" s="1">
        <f>+'2022 Nto driftsutg'!T8</f>
        <v>790112</v>
      </c>
      <c r="V8" s="1"/>
      <c r="W8" s="1"/>
    </row>
    <row r="9" spans="1:23" x14ac:dyDescent="0.3">
      <c r="A9" s="41">
        <v>3000</v>
      </c>
      <c r="B9" s="42" t="s">
        <v>403</v>
      </c>
      <c r="C9" s="1">
        <f t="shared" si="2"/>
        <v>16135396</v>
      </c>
      <c r="D9" s="1">
        <f>+'2022 Nto driftsutg'!D9-'2022 Avskrivning'!D9</f>
        <v>8268765</v>
      </c>
      <c r="E9" s="1">
        <f>+'2022 Nto driftsutg'!E9-'2022 Avskrivning'!E9</f>
        <v>1482812</v>
      </c>
      <c r="F9" s="1">
        <f>+'2022 Nto driftsutg'!F9-'2022 Avskrivning'!F9</f>
        <v>2434510</v>
      </c>
      <c r="G9" s="1">
        <f>+'2022 Nto driftsutg'!G9-'2022 Avskrivning'!G9</f>
        <v>15229</v>
      </c>
      <c r="H9" s="1">
        <f>+'2022 Nto driftsutg'!H9-'2022 Avskrivning'!H9</f>
        <v>523621</v>
      </c>
      <c r="I9" s="9">
        <f t="shared" si="3"/>
        <v>1790988</v>
      </c>
      <c r="J9" s="1">
        <f>+'2022 Nto driftsutg'!J9-'2022 Avskrivning'!J9</f>
        <v>0</v>
      </c>
      <c r="K9" s="1">
        <f>+'2022 Nto driftsutg'!K9-'2022 Avskrivning'!K9</f>
        <v>1069220</v>
      </c>
      <c r="L9" s="1">
        <f>+'2022 Nto driftsutg'!L9-'2022 Avskrivning'!L9</f>
        <v>223206</v>
      </c>
      <c r="M9" s="1">
        <f>+'2022 Nto driftsutg'!M9-'2022 Avskrivning'!M9</f>
        <v>122951</v>
      </c>
      <c r="N9" s="1">
        <f>+'2022 Nto driftsutg'!N9-'2022 Avskrivning'!N9</f>
        <v>381701</v>
      </c>
      <c r="O9" s="1">
        <f>+'2022 Nto driftsutg'!O9-'2022 Avskrivning'!O9</f>
        <v>-5935</v>
      </c>
      <c r="P9" s="1">
        <f>+'2022 Nto driftsutg'!P9-'2022 Avskrivning'!P9</f>
        <v>-155</v>
      </c>
      <c r="Q9" s="1">
        <f>+'2022 Nto driftsutg'!Q9-'2022 Avskrivning'!Q9</f>
        <v>0</v>
      </c>
      <c r="R9" s="1">
        <f>+'2022 Nto driftsutg'!R9-'2022 Avskrivning'!R9</f>
        <v>-156821</v>
      </c>
      <c r="S9" s="1">
        <f>+'2022 Nto driftsutg'!S9</f>
        <v>169385</v>
      </c>
      <c r="T9" s="1">
        <f>+'2022 Nto driftsutg'!T9</f>
        <v>1606907</v>
      </c>
      <c r="V9" s="1"/>
      <c r="W9" s="1"/>
    </row>
    <row r="10" spans="1:23" x14ac:dyDescent="0.3">
      <c r="A10" s="41">
        <v>3400</v>
      </c>
      <c r="B10" s="42" t="s">
        <v>404</v>
      </c>
      <c r="C10" s="1">
        <f t="shared" si="2"/>
        <v>5769936</v>
      </c>
      <c r="D10" s="1">
        <f>+'2022 Nto driftsutg'!D10-'2022 Avskrivning'!D10</f>
        <v>2485986</v>
      </c>
      <c r="E10" s="1">
        <f>+'2022 Nto driftsutg'!E10-'2022 Avskrivning'!E10</f>
        <v>1015498</v>
      </c>
      <c r="F10" s="1">
        <f>+'2022 Nto driftsutg'!F10-'2022 Avskrivning'!F10</f>
        <v>794552</v>
      </c>
      <c r="G10" s="1">
        <f>+'2022 Nto driftsutg'!G10-'2022 Avskrivning'!G10</f>
        <v>14215</v>
      </c>
      <c r="H10" s="1">
        <f>+'2022 Nto driftsutg'!H10-'2022 Avskrivning'!H10</f>
        <v>213418</v>
      </c>
      <c r="I10" s="9">
        <f t="shared" si="3"/>
        <v>693773</v>
      </c>
      <c r="J10" s="1">
        <f>+'2022 Nto driftsutg'!J10-'2022 Avskrivning'!J10</f>
        <v>0</v>
      </c>
      <c r="K10" s="1">
        <f>+'2022 Nto driftsutg'!K10-'2022 Avskrivning'!K10</f>
        <v>364732</v>
      </c>
      <c r="L10" s="1">
        <f>+'2022 Nto driftsutg'!L10-'2022 Avskrivning'!L10</f>
        <v>76473</v>
      </c>
      <c r="M10" s="1">
        <f>+'2022 Nto driftsutg'!M10-'2022 Avskrivning'!M10</f>
        <v>122988</v>
      </c>
      <c r="N10" s="1">
        <f>+'2022 Nto driftsutg'!N10-'2022 Avskrivning'!N10</f>
        <v>129576</v>
      </c>
      <c r="O10" s="1">
        <f>+'2022 Nto driftsutg'!O10-'2022 Avskrivning'!O10</f>
        <v>0</v>
      </c>
      <c r="P10" s="1">
        <f>+'2022 Nto driftsutg'!P10-'2022 Avskrivning'!P10</f>
        <v>4</v>
      </c>
      <c r="Q10" s="1">
        <f>+'2022 Nto driftsutg'!Q10-'2022 Avskrivning'!Q10</f>
        <v>0</v>
      </c>
      <c r="R10" s="1">
        <f>+'2022 Nto driftsutg'!R10-'2022 Avskrivning'!R10</f>
        <v>68682</v>
      </c>
      <c r="S10" s="1">
        <f>+'2022 Nto driftsutg'!S10</f>
        <v>138440</v>
      </c>
      <c r="T10" s="1">
        <f>+'2022 Nto driftsutg'!T10</f>
        <v>345372</v>
      </c>
      <c r="V10" s="1"/>
      <c r="W10" s="1"/>
    </row>
    <row r="11" spans="1:23" x14ac:dyDescent="0.3">
      <c r="A11" s="41">
        <v>3800</v>
      </c>
      <c r="B11" s="42" t="s">
        <v>405</v>
      </c>
      <c r="C11" s="1">
        <f t="shared" si="2"/>
        <v>5875382</v>
      </c>
      <c r="D11" s="1">
        <f>+'2022 Nto driftsutg'!D11-'2022 Avskrivning'!D11</f>
        <v>2865593</v>
      </c>
      <c r="E11" s="1">
        <f>+'2022 Nto driftsutg'!E11-'2022 Avskrivning'!E11</f>
        <v>800365</v>
      </c>
      <c r="F11" s="1">
        <f>+'2022 Nto driftsutg'!F11-'2022 Avskrivning'!F11</f>
        <v>680780</v>
      </c>
      <c r="G11" s="1">
        <f>+'2022 Nto driftsutg'!G11-'2022 Avskrivning'!G11</f>
        <v>41405</v>
      </c>
      <c r="H11" s="1">
        <f>+'2022 Nto driftsutg'!H11-'2022 Avskrivning'!H11</f>
        <v>221393</v>
      </c>
      <c r="I11" s="9">
        <f t="shared" si="3"/>
        <v>898702</v>
      </c>
      <c r="J11" s="1">
        <f>+'2022 Nto driftsutg'!J11-'2022 Avskrivning'!J11</f>
        <v>0</v>
      </c>
      <c r="K11" s="1">
        <f>+'2022 Nto driftsutg'!K11-'2022 Avskrivning'!K11</f>
        <v>379685</v>
      </c>
      <c r="L11" s="1">
        <f>+'2022 Nto driftsutg'!L11-'2022 Avskrivning'!L11</f>
        <v>197471</v>
      </c>
      <c r="M11" s="1">
        <f>+'2022 Nto driftsutg'!M11-'2022 Avskrivning'!M11</f>
        <v>102200</v>
      </c>
      <c r="N11" s="1">
        <f>+'2022 Nto driftsutg'!N11-'2022 Avskrivning'!N11</f>
        <v>208004</v>
      </c>
      <c r="O11" s="1">
        <f>+'2022 Nto driftsutg'!O11-'2022 Avskrivning'!O11</f>
        <v>559</v>
      </c>
      <c r="P11" s="1">
        <f>+'2022 Nto driftsutg'!P11-'2022 Avskrivning'!P11</f>
        <v>10783</v>
      </c>
      <c r="Q11" s="1">
        <f>+'2022 Nto driftsutg'!Q11-'2022 Avskrivning'!Q11</f>
        <v>0</v>
      </c>
      <c r="R11" s="1">
        <f>+'2022 Nto driftsutg'!R11-'2022 Avskrivning'!R11</f>
        <v>-43725</v>
      </c>
      <c r="S11" s="1">
        <f>+'2022 Nto driftsutg'!S11</f>
        <v>253513</v>
      </c>
      <c r="T11" s="1">
        <f>+'2022 Nto driftsutg'!T11</f>
        <v>157356</v>
      </c>
      <c r="V11" s="1"/>
      <c r="W11" s="1"/>
    </row>
    <row r="12" spans="1:23" x14ac:dyDescent="0.3">
      <c r="A12" s="41">
        <v>4200</v>
      </c>
      <c r="B12" s="42" t="s">
        <v>406</v>
      </c>
      <c r="C12" s="1">
        <f t="shared" si="2"/>
        <v>4703856</v>
      </c>
      <c r="D12" s="1">
        <f>+'2022 Nto driftsutg'!D12-'2022 Avskrivning'!D12</f>
        <v>2238170</v>
      </c>
      <c r="E12" s="1">
        <f>+'2022 Nto driftsutg'!E12-'2022 Avskrivning'!E12</f>
        <v>685434</v>
      </c>
      <c r="F12" s="1">
        <f>+'2022 Nto driftsutg'!F12-'2022 Avskrivning'!F12</f>
        <v>569475</v>
      </c>
      <c r="G12" s="1">
        <f>+'2022 Nto driftsutg'!G12-'2022 Avskrivning'!G12</f>
        <v>54088</v>
      </c>
      <c r="H12" s="1">
        <f>+'2022 Nto driftsutg'!H12-'2022 Avskrivning'!H12</f>
        <v>168790</v>
      </c>
      <c r="I12" s="9">
        <f t="shared" si="3"/>
        <v>418823</v>
      </c>
      <c r="J12" s="1">
        <f>+'2022 Nto driftsutg'!J12-'2022 Avskrivning'!J12</f>
        <v>0</v>
      </c>
      <c r="K12" s="1">
        <f>+'2022 Nto driftsutg'!K12-'2022 Avskrivning'!K12</f>
        <v>333827</v>
      </c>
      <c r="L12" s="1">
        <f>+'2022 Nto driftsutg'!L12-'2022 Avskrivning'!L12</f>
        <v>188880</v>
      </c>
      <c r="M12" s="1">
        <f>+'2022 Nto driftsutg'!M12-'2022 Avskrivning'!M12</f>
        <v>-187175</v>
      </c>
      <c r="N12" s="1">
        <f>+'2022 Nto driftsutg'!N12-'2022 Avskrivning'!N12</f>
        <v>82479</v>
      </c>
      <c r="O12" s="1">
        <f>+'2022 Nto driftsutg'!O12-'2022 Avskrivning'!O12</f>
        <v>0</v>
      </c>
      <c r="P12" s="1">
        <f>+'2022 Nto driftsutg'!P12-'2022 Avskrivning'!P12</f>
        <v>812</v>
      </c>
      <c r="Q12" s="1">
        <f>+'2022 Nto driftsutg'!Q12-'2022 Avskrivning'!Q12</f>
        <v>0</v>
      </c>
      <c r="R12" s="1">
        <f>+'2022 Nto driftsutg'!R12-'2022 Avskrivning'!R12</f>
        <v>9271</v>
      </c>
      <c r="S12" s="1">
        <f>+'2022 Nto driftsutg'!S12</f>
        <v>237954</v>
      </c>
      <c r="T12" s="1">
        <f>+'2022 Nto driftsutg'!T12</f>
        <v>321851</v>
      </c>
      <c r="V12" s="1"/>
      <c r="W12" s="1"/>
    </row>
    <row r="13" spans="1:23" x14ac:dyDescent="0.3">
      <c r="A13" s="41">
        <v>4600</v>
      </c>
      <c r="B13" s="42" t="s">
        <v>407</v>
      </c>
      <c r="C13" s="1">
        <f t="shared" si="2"/>
        <v>11635522</v>
      </c>
      <c r="D13" s="1">
        <f>+'2022 Nto driftsutg'!D13-'2022 Avskrivning'!D13</f>
        <v>3721851</v>
      </c>
      <c r="E13" s="1">
        <f>+'2022 Nto driftsutg'!E13-'2022 Avskrivning'!E13</f>
        <v>1459060</v>
      </c>
      <c r="F13" s="1">
        <f>+'2022 Nto driftsutg'!F13-'2022 Avskrivning'!F13</f>
        <v>1775169</v>
      </c>
      <c r="G13" s="1">
        <f>+'2022 Nto driftsutg'!G13-'2022 Avskrivning'!G13</f>
        <v>1243872</v>
      </c>
      <c r="H13" s="1">
        <f>+'2022 Nto driftsutg'!H13-'2022 Avskrivning'!H13</f>
        <v>329461</v>
      </c>
      <c r="I13" s="9">
        <f t="shared" si="3"/>
        <v>838302</v>
      </c>
      <c r="J13" s="1">
        <f>+'2022 Nto driftsutg'!J13-'2022 Avskrivning'!J13</f>
        <v>0</v>
      </c>
      <c r="K13" s="1">
        <f>+'2022 Nto driftsutg'!K13-'2022 Avskrivning'!K13</f>
        <v>754750</v>
      </c>
      <c r="L13" s="1">
        <f>+'2022 Nto driftsutg'!L13-'2022 Avskrivning'!L13</f>
        <v>167054</v>
      </c>
      <c r="M13" s="1">
        <f>+'2022 Nto driftsutg'!M13-'2022 Avskrivning'!M13</f>
        <v>-298171</v>
      </c>
      <c r="N13" s="1">
        <f>+'2022 Nto driftsutg'!N13-'2022 Avskrivning'!N13</f>
        <v>214669</v>
      </c>
      <c r="O13" s="1">
        <f>+'2022 Nto driftsutg'!O13-'2022 Avskrivning'!O13</f>
        <v>0</v>
      </c>
      <c r="P13" s="1">
        <f>+'2022 Nto driftsutg'!P13-'2022 Avskrivning'!P13</f>
        <v>0</v>
      </c>
      <c r="Q13" s="1">
        <f>+'2022 Nto driftsutg'!Q13-'2022 Avskrivning'!Q13</f>
        <v>0</v>
      </c>
      <c r="R13" s="1">
        <f>+'2022 Nto driftsutg'!R13-'2022 Avskrivning'!R13</f>
        <v>49969</v>
      </c>
      <c r="S13" s="1">
        <f>+'2022 Nto driftsutg'!S13</f>
        <v>939129</v>
      </c>
      <c r="T13" s="1">
        <f>+'2022 Nto driftsutg'!T13</f>
        <v>1278709</v>
      </c>
      <c r="V13" s="1"/>
      <c r="W13" s="1"/>
    </row>
    <row r="14" spans="1:23" x14ac:dyDescent="0.3">
      <c r="A14" s="41">
        <v>5000</v>
      </c>
      <c r="B14" s="42" t="s">
        <v>388</v>
      </c>
      <c r="C14" s="1">
        <f t="shared" si="2"/>
        <v>7729029</v>
      </c>
      <c r="D14" s="1">
        <f>+'2022 Nto driftsutg'!D14-'2022 Avskrivning'!D14</f>
        <v>3109942</v>
      </c>
      <c r="E14" s="1">
        <f>+'2022 Nto driftsutg'!E14-'2022 Avskrivning'!E14</f>
        <v>1156681</v>
      </c>
      <c r="F14" s="1">
        <f>+'2022 Nto driftsutg'!F14-'2022 Avskrivning'!F14</f>
        <v>882941</v>
      </c>
      <c r="G14" s="1">
        <f>+'2022 Nto driftsutg'!G14-'2022 Avskrivning'!G14</f>
        <v>435015</v>
      </c>
      <c r="H14" s="1">
        <f>+'2022 Nto driftsutg'!H14-'2022 Avskrivning'!H14</f>
        <v>268091</v>
      </c>
      <c r="I14" s="9">
        <f t="shared" si="3"/>
        <v>924124</v>
      </c>
      <c r="J14" s="1">
        <f>+'2022 Nto driftsutg'!J14-'2022 Avskrivning'!J14</f>
        <v>0</v>
      </c>
      <c r="K14" s="1">
        <f>+'2022 Nto driftsutg'!K14-'2022 Avskrivning'!K14</f>
        <v>455194</v>
      </c>
      <c r="L14" s="1">
        <f>+'2022 Nto driftsutg'!L14-'2022 Avskrivning'!L14</f>
        <v>110967</v>
      </c>
      <c r="M14" s="1">
        <f>+'2022 Nto driftsutg'!M14-'2022 Avskrivning'!M14</f>
        <v>111561</v>
      </c>
      <c r="N14" s="1">
        <f>+'2022 Nto driftsutg'!N14-'2022 Avskrivning'!N14</f>
        <v>246402</v>
      </c>
      <c r="O14" s="1">
        <f>+'2022 Nto driftsutg'!O14-'2022 Avskrivning'!O14</f>
        <v>0</v>
      </c>
      <c r="P14" s="1">
        <f>+'2022 Nto driftsutg'!P14-'2022 Avskrivning'!P14</f>
        <v>0</v>
      </c>
      <c r="Q14" s="1">
        <f>+'2022 Nto driftsutg'!Q14-'2022 Avskrivning'!Q14</f>
        <v>0</v>
      </c>
      <c r="R14" s="1">
        <f>+'2022 Nto driftsutg'!R14-'2022 Avskrivning'!R14</f>
        <v>-22019</v>
      </c>
      <c r="S14" s="1">
        <f>+'2022 Nto driftsutg'!S14</f>
        <v>595466</v>
      </c>
      <c r="T14" s="1">
        <f>+'2022 Nto driftsutg'!T14</f>
        <v>378788</v>
      </c>
      <c r="V14" s="1"/>
      <c r="W14" s="1"/>
    </row>
    <row r="15" spans="1:23" x14ac:dyDescent="0.3">
      <c r="A15" s="41">
        <v>5400</v>
      </c>
      <c r="B15" s="42" t="s">
        <v>408</v>
      </c>
      <c r="C15" s="1">
        <f t="shared" si="2"/>
        <v>5926123</v>
      </c>
      <c r="D15" s="1">
        <f>+'2022 Nto driftsutg'!D15-'2022 Avskrivning'!D15</f>
        <v>1854497</v>
      </c>
      <c r="E15" s="1">
        <f>+'2022 Nto driftsutg'!E15-'2022 Avskrivning'!E15</f>
        <v>891113</v>
      </c>
      <c r="F15" s="1">
        <f>+'2022 Nto driftsutg'!F15-'2022 Avskrivning'!F15</f>
        <v>652958</v>
      </c>
      <c r="G15" s="1">
        <f>+'2022 Nto driftsutg'!G15-'2022 Avskrivning'!G15</f>
        <v>697095</v>
      </c>
      <c r="H15" s="1">
        <f>+'2022 Nto driftsutg'!H15-'2022 Avskrivning'!H15</f>
        <v>250152</v>
      </c>
      <c r="I15" s="9">
        <f t="shared" si="3"/>
        <v>638026</v>
      </c>
      <c r="J15" s="1">
        <f>+'2022 Nto driftsutg'!J15-'2022 Avskrivning'!J15</f>
        <v>0</v>
      </c>
      <c r="K15" s="1">
        <f>+'2022 Nto driftsutg'!K15-'2022 Avskrivning'!K15</f>
        <v>372775</v>
      </c>
      <c r="L15" s="1">
        <f>+'2022 Nto driftsutg'!L15-'2022 Avskrivning'!L15</f>
        <v>38077</v>
      </c>
      <c r="M15" s="1">
        <f>+'2022 Nto driftsutg'!M15-'2022 Avskrivning'!M15</f>
        <v>105461</v>
      </c>
      <c r="N15" s="1">
        <f>+'2022 Nto driftsutg'!N15-'2022 Avskrivning'!N15</f>
        <v>157890</v>
      </c>
      <c r="O15" s="1">
        <f>+'2022 Nto driftsutg'!O15-'2022 Avskrivning'!O15</f>
        <v>0</v>
      </c>
      <c r="P15" s="1">
        <f>+'2022 Nto driftsutg'!P15-'2022 Avskrivning'!P15</f>
        <v>-36177</v>
      </c>
      <c r="Q15" s="1">
        <f>+'2022 Nto driftsutg'!Q15-'2022 Avskrivning'!Q15</f>
        <v>0</v>
      </c>
      <c r="R15" s="1">
        <f>+'2022 Nto driftsutg'!R15-'2022 Avskrivning'!R15</f>
        <v>-67742</v>
      </c>
      <c r="S15" s="1">
        <f>+'2022 Nto driftsutg'!S15</f>
        <v>269472</v>
      </c>
      <c r="T15" s="1">
        <f>+'2022 Nto driftsutg'!T15</f>
        <v>740552</v>
      </c>
      <c r="V15" s="1"/>
      <c r="W15" s="1"/>
    </row>
    <row r="16" spans="1:23" x14ac:dyDescent="0.3">
      <c r="C16" s="1"/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3" x14ac:dyDescent="0.3">
      <c r="B17" s="1" t="s">
        <v>3</v>
      </c>
      <c r="C17" s="1">
        <f>+'2022 Nto driftsutg'!C17-'2022 Avskrivning'!C17</f>
        <v>84242014.29291907</v>
      </c>
      <c r="D17" s="1">
        <f t="shared" ref="D17:T17" si="4">SUM(D5:D15)</f>
        <v>34985082</v>
      </c>
      <c r="E17" s="1">
        <f t="shared" si="4"/>
        <v>9821690</v>
      </c>
      <c r="F17" s="1">
        <f t="shared" si="4"/>
        <v>13408301</v>
      </c>
      <c r="G17" s="1">
        <f t="shared" si="4"/>
        <v>5051662</v>
      </c>
      <c r="H17" s="1">
        <f t="shared" si="4"/>
        <v>2885206</v>
      </c>
      <c r="I17" s="9">
        <f t="shared" si="4"/>
        <v>7697296</v>
      </c>
      <c r="J17" s="1">
        <f t="shared" si="4"/>
        <v>0</v>
      </c>
      <c r="K17" s="1">
        <f t="shared" si="4"/>
        <v>4707694</v>
      </c>
      <c r="L17" s="1">
        <f t="shared" si="4"/>
        <v>1245084</v>
      </c>
      <c r="M17" s="1">
        <f t="shared" si="4"/>
        <v>-183703</v>
      </c>
      <c r="N17" s="1">
        <f t="shared" si="4"/>
        <v>1939984</v>
      </c>
      <c r="O17" s="1">
        <f t="shared" si="4"/>
        <v>-4225</v>
      </c>
      <c r="P17" s="1">
        <f t="shared" si="4"/>
        <v>-7538</v>
      </c>
      <c r="Q17" s="1">
        <f t="shared" si="4"/>
        <v>0</v>
      </c>
      <c r="R17" s="1">
        <f t="shared" si="4"/>
        <v>-608659.14792834804</v>
      </c>
      <c r="S17" s="1">
        <f t="shared" si="4"/>
        <v>3892031.5445139389</v>
      </c>
      <c r="T17" s="1">
        <f t="shared" si="4"/>
        <v>7109404.8963334756</v>
      </c>
      <c r="U17" s="1"/>
      <c r="V17" s="1"/>
      <c r="W17" s="1"/>
    </row>
    <row r="18" spans="2:23" x14ac:dyDescent="0.3">
      <c r="C18" s="5"/>
      <c r="H18" s="5"/>
      <c r="I18" s="5">
        <f>SUM(J17:Q17)</f>
        <v>7697296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C305D-B125-4263-8ED5-FDECB53539CE}">
  <dimension ref="A2:P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4" width="20.5546875" customWidth="1"/>
  </cols>
  <sheetData>
    <row r="2" spans="1:16" ht="104.25" customHeight="1" x14ac:dyDescent="0.3">
      <c r="A2" s="22" t="s">
        <v>2</v>
      </c>
      <c r="B2" s="22" t="s">
        <v>1</v>
      </c>
      <c r="C2" s="22" t="s">
        <v>21</v>
      </c>
      <c r="D2" s="22" t="s">
        <v>88</v>
      </c>
    </row>
    <row r="3" spans="1:16" x14ac:dyDescent="0.3">
      <c r="A3" s="107">
        <v>1</v>
      </c>
      <c r="B3" s="107">
        <f>+A3+1</f>
        <v>2</v>
      </c>
      <c r="C3" s="107">
        <f>+B3+1</f>
        <v>3</v>
      </c>
      <c r="D3" s="107">
        <f>+C3+1</f>
        <v>4</v>
      </c>
    </row>
    <row r="5" spans="1:16" x14ac:dyDescent="0.3">
      <c r="A5" s="41">
        <v>300</v>
      </c>
      <c r="B5" s="42" t="s">
        <v>0</v>
      </c>
      <c r="C5" s="3">
        <f>(('2022 Nto driftsutg eks avskriv'!C5*1000/'2022 Nto driftsutg'!W5)-'2022 Korreksjoner'!AV5)/'2022 Nto driftsutg landet'!$C$19</f>
        <v>0.88793250638197352</v>
      </c>
      <c r="D5" s="1">
        <f>C5*'2022 Nto driftsutg landet'!$C$19-'2022 Nto driftsutg landet'!$C$19</f>
        <v>-1740.1514393092693</v>
      </c>
      <c r="E5" s="1"/>
      <c r="G5" s="5"/>
      <c r="H5" s="5"/>
      <c r="I5" s="5"/>
      <c r="J5" s="5"/>
      <c r="K5" s="5"/>
      <c r="L5" s="5"/>
      <c r="N5" s="5"/>
      <c r="P5" s="5"/>
    </row>
    <row r="6" spans="1:16" x14ac:dyDescent="0.3">
      <c r="A6" s="41">
        <v>1100</v>
      </c>
      <c r="B6" s="42" t="s">
        <v>139</v>
      </c>
      <c r="C6" s="3">
        <f>(('2022 Nto driftsutg eks avskriv'!C6*1000/'2022 Nto driftsutg'!W6)-'2022 Korreksjoner'!AV6)/'2022 Nto driftsutg landet'!$C$19</f>
        <v>0.95530015373279653</v>
      </c>
      <c r="D6" s="1">
        <f>C6*'2022 Nto driftsutg landet'!$C$19-'2022 Nto driftsutg landet'!$C$19</f>
        <v>-694.08620919014902</v>
      </c>
      <c r="G6" s="5"/>
      <c r="H6" s="5"/>
      <c r="I6" s="5"/>
      <c r="J6" s="5"/>
      <c r="K6" s="5"/>
      <c r="L6" s="5"/>
      <c r="N6" s="5"/>
    </row>
    <row r="7" spans="1:16" x14ac:dyDescent="0.3">
      <c r="A7" s="41">
        <v>1500</v>
      </c>
      <c r="B7" s="42" t="s">
        <v>140</v>
      </c>
      <c r="C7" s="3">
        <f>(('2022 Nto driftsutg eks avskriv'!C7*1000/'2022 Nto driftsutg'!W7)-'2022 Korreksjoner'!AV7)/'2022 Nto driftsutg landet'!$C$19</f>
        <v>1.0741678612707732</v>
      </c>
      <c r="D7" s="1">
        <f>C7*'2022 Nto driftsutg landet'!$C$19-'2022 Nto driftsutg landet'!$C$19</f>
        <v>1151.656973615638</v>
      </c>
      <c r="G7" s="5"/>
      <c r="H7" s="5"/>
      <c r="I7" s="5"/>
      <c r="J7" s="5"/>
      <c r="K7" s="5"/>
      <c r="L7" s="5"/>
      <c r="N7" s="5"/>
    </row>
    <row r="8" spans="1:16" x14ac:dyDescent="0.3">
      <c r="A8" s="41">
        <v>1800</v>
      </c>
      <c r="B8" s="42" t="s">
        <v>141</v>
      </c>
      <c r="C8" s="3">
        <f>(('2022 Nto driftsutg eks avskriv'!C8*1000/'2022 Nto driftsutg'!W8)-'2022 Korreksjoner'!AV8)/'2022 Nto driftsutg landet'!$C$19</f>
        <v>1.2399423484414744</v>
      </c>
      <c r="D8" s="1">
        <f>C8*'2022 Nto driftsutg landet'!$C$19-'2022 Nto driftsutg landet'!$C$19</f>
        <v>3725.7549848916751</v>
      </c>
      <c r="G8" s="5"/>
      <c r="H8" s="5"/>
      <c r="I8" s="5"/>
      <c r="J8" s="5"/>
      <c r="K8" s="5"/>
      <c r="L8" s="5"/>
      <c r="N8" s="5"/>
    </row>
    <row r="9" spans="1:16" x14ac:dyDescent="0.3">
      <c r="A9" s="41">
        <v>3000</v>
      </c>
      <c r="B9" s="42" t="s">
        <v>403</v>
      </c>
      <c r="C9" s="3">
        <f>(('2022 Nto driftsutg eks avskriv'!C9*1000/'2022 Nto driftsutg'!W9)-'2022 Korreksjoner'!AV9)/'2022 Nto driftsutg landet'!$C$19</f>
        <v>0.96293781683226587</v>
      </c>
      <c r="D9" s="1">
        <f>C9*'2022 Nto driftsutg landet'!$C$19-'2022 Nto driftsutg landet'!$C$19</f>
        <v>-575.49079845667438</v>
      </c>
      <c r="G9" s="5"/>
      <c r="H9" s="5"/>
      <c r="I9" s="5"/>
      <c r="J9" s="5"/>
      <c r="K9" s="5"/>
      <c r="L9" s="5"/>
      <c r="N9" s="5"/>
    </row>
    <row r="10" spans="1:16" x14ac:dyDescent="0.3">
      <c r="A10" s="41">
        <v>3400</v>
      </c>
      <c r="B10" s="42" t="s">
        <v>404</v>
      </c>
      <c r="C10" s="3">
        <f>(('2022 Nto driftsutg eks avskriv'!C10*1000/'2022 Nto driftsutg'!W10)-'2022 Korreksjoner'!AV10)/'2022 Nto driftsutg landet'!$C$19</f>
        <v>0.96634783767747123</v>
      </c>
      <c r="D10" s="1">
        <f>C10*'2022 Nto driftsutg landet'!$C$19-'2022 Nto driftsutg landet'!$C$19</f>
        <v>-522.54098678261107</v>
      </c>
      <c r="G10" s="5"/>
      <c r="H10" s="5"/>
      <c r="I10" s="5"/>
      <c r="J10" s="5"/>
      <c r="K10" s="5"/>
      <c r="L10" s="5"/>
      <c r="N10" s="5"/>
    </row>
    <row r="11" spans="1:16" x14ac:dyDescent="0.3">
      <c r="A11" s="41">
        <v>3800</v>
      </c>
      <c r="B11" s="42" t="s">
        <v>405</v>
      </c>
      <c r="C11" s="3">
        <f>(('2022 Nto driftsutg eks avskriv'!C11*1000/'2022 Nto driftsutg'!W11)-'2022 Korreksjoner'!AV11)/'2022 Nto driftsutg landet'!$C$19</f>
        <v>0.97673749044836011</v>
      </c>
      <c r="D11" s="1">
        <f>C11*'2022 Nto driftsutg landet'!$C$19-'2022 Nto driftsutg landet'!$C$19</f>
        <v>-361.21348101355579</v>
      </c>
      <c r="G11" s="5"/>
      <c r="H11" s="5"/>
      <c r="I11" s="5"/>
      <c r="J11" s="5"/>
      <c r="K11" s="5"/>
      <c r="L11" s="5"/>
      <c r="N11" s="5"/>
    </row>
    <row r="12" spans="1:16" x14ac:dyDescent="0.3">
      <c r="A12" s="41">
        <v>4200</v>
      </c>
      <c r="B12" s="42" t="s">
        <v>406</v>
      </c>
      <c r="C12" s="3">
        <f>(('2022 Nto driftsutg eks avskriv'!C12*1000/'2022 Nto driftsutg'!W12)-'2022 Korreksjoner'!AV12)/'2022 Nto driftsutg landet'!$C$19</f>
        <v>0.98601348978086101</v>
      </c>
      <c r="D12" s="1">
        <f>C12*'2022 Nto driftsutg landet'!$C$19-'2022 Nto driftsutg landet'!$C$19</f>
        <v>-217.17846186250063</v>
      </c>
      <c r="G12" s="5"/>
      <c r="H12" s="5"/>
      <c r="I12" s="5"/>
      <c r="J12" s="5"/>
      <c r="K12" s="5"/>
      <c r="L12" s="5"/>
      <c r="N12" s="5"/>
    </row>
    <row r="13" spans="1:16" x14ac:dyDescent="0.3">
      <c r="A13" s="41">
        <v>4600</v>
      </c>
      <c r="B13" s="42" t="s">
        <v>407</v>
      </c>
      <c r="C13" s="3">
        <f>(('2022 Nto driftsutg eks avskriv'!C13*1000/'2022 Nto driftsutg'!W13)-'2022 Korreksjoner'!AV13)/'2022 Nto driftsutg landet'!$C$19</f>
        <v>1.0571831065295656</v>
      </c>
      <c r="D13" s="1">
        <f>C13*'2022 Nto driftsutg landet'!$C$19-'2022 Nto driftsutg landet'!$C$19</f>
        <v>887.92264303475895</v>
      </c>
      <c r="G13" s="5"/>
      <c r="H13" s="5"/>
      <c r="I13" s="5"/>
      <c r="J13" s="5"/>
      <c r="K13" s="5"/>
      <c r="L13" s="5"/>
      <c r="N13" s="5"/>
    </row>
    <row r="14" spans="1:16" x14ac:dyDescent="0.3">
      <c r="A14" s="41">
        <v>5000</v>
      </c>
      <c r="B14" s="42" t="s">
        <v>388</v>
      </c>
      <c r="C14" s="3">
        <f>(('2022 Nto driftsutg eks avskriv'!C14*1000/'2022 Nto driftsutg'!W14)-'2022 Korreksjoner'!AV14)/'2022 Nto driftsutg landet'!$C$19</f>
        <v>0.97420813244254523</v>
      </c>
      <c r="D14" s="1">
        <f>C14*'2022 Nto driftsutg landet'!$C$19-'2022 Nto driftsutg landet'!$C$19</f>
        <v>-400.48861631147884</v>
      </c>
      <c r="G14" s="5"/>
      <c r="H14" s="5"/>
      <c r="I14" s="5"/>
      <c r="J14" s="5"/>
      <c r="K14" s="5"/>
      <c r="L14" s="5"/>
      <c r="N14" s="5"/>
    </row>
    <row r="15" spans="1:16" x14ac:dyDescent="0.3">
      <c r="A15" s="41">
        <v>5400</v>
      </c>
      <c r="B15" s="42" t="s">
        <v>408</v>
      </c>
      <c r="C15" s="3">
        <f>(('2022 Nto driftsutg eks avskriv'!C15*1000/'2022 Nto driftsutg'!W15)-'2022 Korreksjoner'!AV15)/'2022 Nto driftsutg landet'!$C$19</f>
        <v>1.2983443648328323</v>
      </c>
      <c r="D15" s="1">
        <f>C15*'2022 Nto driftsutg landet'!$C$19-'2022 Nto driftsutg landet'!$C$19</f>
        <v>4632.6045056668736</v>
      </c>
      <c r="G15" s="5"/>
      <c r="H15" s="5"/>
      <c r="I15" s="5"/>
      <c r="J15" s="5"/>
      <c r="K15" s="5"/>
      <c r="L15" s="5"/>
      <c r="N15" s="5"/>
    </row>
    <row r="17" spans="2:4" x14ac:dyDescent="0.3">
      <c r="B17" s="1" t="s">
        <v>3</v>
      </c>
      <c r="C17" s="3">
        <f>(('2022 Nto driftsutg eks avskriv'!C17*1000/'2022 Nto driftsutg'!W17)-'2022 Korreksjoner'!AV17)/'2022 Nto driftsutg landet'!$C$19</f>
        <v>-0.86509326774107898</v>
      </c>
      <c r="D17" s="98">
        <f>C17*'2022 Nto driftsutg landet'!$C$19-'2022 Nto driftsutg landet'!$C$19</f>
        <v>-28960.625686587231</v>
      </c>
    </row>
  </sheetData>
  <sheetProtection algorithmName="SHA-512" hashValue="uFxmmWemLSPTf7ToShhwm2kcibrFdwizHxIkylyB7nRhTiMv73ZcqG5hfF+Sk33iq7KP5+0Dh60z3MQOpLqOjA==" saltValue="wHzgLl/qH+k6IeyHsWTEZ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AD9ED-1AEA-4CD1-9F7A-F073106D2930}">
  <dimension ref="A2:F25"/>
  <sheetViews>
    <sheetView workbookViewId="0">
      <selection activeCell="G30" sqref="G30"/>
    </sheetView>
  </sheetViews>
  <sheetFormatPr baseColWidth="10" defaultRowHeight="14.4" x14ac:dyDescent="0.3"/>
  <cols>
    <col min="1" max="3" width="40.5546875" customWidth="1"/>
    <col min="4" max="5" width="21" customWidth="1"/>
  </cols>
  <sheetData>
    <row r="2" spans="1:6" ht="27" x14ac:dyDescent="0.3">
      <c r="A2" s="22" t="s">
        <v>10</v>
      </c>
      <c r="B2" s="22" t="s">
        <v>114</v>
      </c>
      <c r="C2" s="22" t="s">
        <v>115</v>
      </c>
      <c r="D2" s="22" t="s">
        <v>72</v>
      </c>
      <c r="E2" s="22" t="s">
        <v>74</v>
      </c>
    </row>
    <row r="3" spans="1:6" x14ac:dyDescent="0.3">
      <c r="A3" s="111"/>
      <c r="B3" s="111"/>
      <c r="C3" s="111"/>
      <c r="D3" s="111"/>
      <c r="E3" s="111"/>
    </row>
    <row r="4" spans="1:6" x14ac:dyDescent="0.3">
      <c r="A4" s="107">
        <v>1</v>
      </c>
      <c r="B4" s="107">
        <f>+A4+1</f>
        <v>2</v>
      </c>
      <c r="C4" s="107">
        <f>+B4+1</f>
        <v>3</v>
      </c>
      <c r="D4" s="107">
        <f>+C4+1</f>
        <v>4</v>
      </c>
      <c r="E4" s="107">
        <f>+D4+1</f>
        <v>5</v>
      </c>
    </row>
    <row r="5" spans="1:6" x14ac:dyDescent="0.3">
      <c r="A5" s="112" t="s">
        <v>30</v>
      </c>
      <c r="B5" s="112"/>
      <c r="C5" s="112"/>
      <c r="D5" s="44"/>
      <c r="E5" s="5"/>
    </row>
    <row r="6" spans="1:6" x14ac:dyDescent="0.3">
      <c r="A6" t="s">
        <v>171</v>
      </c>
      <c r="B6" s="53">
        <f>+'2022 Bto driftsutg eks avskriv'!D$17*1000/'2022 Nto driftsutg'!W$17</f>
        <v>7648.412705727088</v>
      </c>
      <c r="C6" s="53">
        <f>+'2022 Nto driftsutg eks avskriv'!D$17*1000/'2022 Nto driftsutg'!$W$17</f>
        <v>6448.5421002088378</v>
      </c>
      <c r="D6" s="44">
        <f>+'2022 Lønnsgr arbavg tjeneste'!D$17*1000/(B6*'2022 Nto driftsutg'!$W$17)</f>
        <v>0.60755121906641385</v>
      </c>
      <c r="E6" s="44">
        <f>+'2022 Arbavg tjeneste'!D$17/'2022 Lønnsgr arbavg tjeneste'!D$17</f>
        <v>0.12626374654216765</v>
      </c>
    </row>
    <row r="7" spans="1:6" x14ac:dyDescent="0.3">
      <c r="A7" t="s">
        <v>172</v>
      </c>
      <c r="B7" s="53">
        <f>+'2022 Bto driftsutg eks avskriv'!E$17*1000/'2022 Nto driftsutg'!W$17</f>
        <v>1931.3289476837097</v>
      </c>
      <c r="C7" s="53">
        <f>+'2022 Nto driftsutg eks avskriv'!E$17*1000/'2022 Nto driftsutg'!$W$17</f>
        <v>1810.3596687353809</v>
      </c>
      <c r="D7" s="44">
        <f>+'2022 Lønnsgr arbavg tjeneste'!E$17*1000/(B7*'2022 Nto driftsutg'!$W$17)</f>
        <v>8.2517519357975549E-2</v>
      </c>
      <c r="E7" s="44">
        <f>+'2022 Arbavg tjeneste'!E$17/'2022 Lønnsgr arbavg tjeneste'!E$17</f>
        <v>0.19908815116982434</v>
      </c>
    </row>
    <row r="8" spans="1:6" x14ac:dyDescent="0.3">
      <c r="A8" t="s">
        <v>275</v>
      </c>
      <c r="B8" s="53">
        <f>+'2022 Bto driftsutg eks avskriv'!F$17*1000/'2022 Nto driftsutg'!W$17</f>
        <v>3277.3740293109836</v>
      </c>
      <c r="C8" s="53">
        <f>+'2022 Nto driftsutg eks avskriv'!F$17*1000/'2022 Nto driftsutg'!$W$17</f>
        <v>2471.4532179965236</v>
      </c>
      <c r="D8" s="44">
        <f>+'2022 Lønnsgr arbavg tjeneste'!F$17*1000/(B8*'2022 Nto driftsutg'!$W$17)</f>
        <v>1.7274463533059749E-2</v>
      </c>
      <c r="E8" s="44">
        <f>+'2022 Arbavg tjeneste'!F$17/'2022 Lønnsgr arbavg tjeneste'!F$17</f>
        <v>0.13102675882546369</v>
      </c>
    </row>
    <row r="9" spans="1:6" x14ac:dyDescent="0.3">
      <c r="A9" t="s">
        <v>276</v>
      </c>
      <c r="B9" s="53">
        <f>+'2022 Bto driftsutg eks avskriv'!G$17*1000/'2022 Nto driftsutg'!W$17</f>
        <v>1130.3778429460654</v>
      </c>
      <c r="C9" s="53">
        <f>+'2022 Nto driftsutg eks avskriv'!G$17*1000/'2022 Nto driftsutg'!$W$17</f>
        <v>931.13559325158008</v>
      </c>
      <c r="D9" s="44">
        <f>+'2022 Lønnsgr arbavg tjeneste'!G$17*1000/(B9*'2022 Nto driftsutg'!$W$17)</f>
        <v>6.2686248339816437E-3</v>
      </c>
      <c r="E9" s="44">
        <f>+'2022 Arbavg tjeneste'!G$17/'2022 Lønnsgr arbavg tjeneste'!G$17</f>
        <v>0.10992898577114169</v>
      </c>
    </row>
    <row r="10" spans="1:6" x14ac:dyDescent="0.3">
      <c r="A10" t="s">
        <v>173</v>
      </c>
      <c r="B10" s="53">
        <f>+'2022 Bto driftsutg eks avskriv'!H$17*1000/'2022 Nto driftsutg'!W$17</f>
        <v>702.84114891977731</v>
      </c>
      <c r="C10" s="53">
        <f>+'2022 Nto driftsutg eks avskriv'!H$17*1000/'2022 Nto driftsutg'!$W$17</f>
        <v>531.80873947287421</v>
      </c>
      <c r="D10" s="44">
        <f>+'2022 Lønnsgr arbavg tjeneste'!H$17*1000/(B10*'2022 Nto driftsutg'!$W$17)</f>
        <v>0.62887024032657912</v>
      </c>
      <c r="E10" s="44">
        <f>+'2022 Arbavg tjeneste'!H$17/'2022 Lønnsgr arbavg tjeneste'!H$17</f>
        <v>0.11588746540269655</v>
      </c>
    </row>
    <row r="11" spans="1:6" x14ac:dyDescent="0.3">
      <c r="A11" s="112"/>
      <c r="B11" s="53"/>
      <c r="C11" s="53"/>
      <c r="D11" s="7"/>
      <c r="E11" s="44"/>
    </row>
    <row r="12" spans="1:6" x14ac:dyDescent="0.3">
      <c r="A12" s="112" t="s">
        <v>73</v>
      </c>
      <c r="B12" s="53"/>
      <c r="C12" s="53"/>
      <c r="D12" s="44"/>
      <c r="E12" s="44"/>
    </row>
    <row r="13" spans="1:6" x14ac:dyDescent="0.3">
      <c r="A13" t="s">
        <v>4</v>
      </c>
      <c r="B13" s="53">
        <f>+'2022 Bto driftsutg eks avskriv'!K$17*1000/'2022 Nto driftsutg'!W$17</f>
        <v>932.66399644625983</v>
      </c>
      <c r="C13" s="53">
        <f>+'2022 Nto driftsutg eks avskriv'!K$17*1000/'2022 Nto driftsutg'!$W$17</f>
        <v>867.73450906590824</v>
      </c>
      <c r="D13" s="44">
        <f>+'2022 Lønnsgr arbavg tjeneste'!K$17*1000/(B13*'2022 Nto driftsutg'!$W$17)</f>
        <v>0.55008049480291721</v>
      </c>
      <c r="E13" s="44">
        <f>+'2022 Arbavg tjeneste'!K$17/'2022 Lønnsgr arbavg tjeneste'!K$17</f>
        <v>0.11208774074129961</v>
      </c>
    </row>
    <row r="14" spans="1:6" x14ac:dyDescent="0.3">
      <c r="A14" t="s">
        <v>174</v>
      </c>
      <c r="B14" s="53">
        <f>+'2022 Bto driftsutg eks avskriv'!L$17*1000/'2022 Nto driftsutg'!W$17</f>
        <v>487.42901274959587</v>
      </c>
      <c r="C14" s="53">
        <f>+'2022 Nto driftsutg eks avskriv'!L$17*1000/'2022 Nto driftsutg'!$W$17</f>
        <v>229.49714945062641</v>
      </c>
      <c r="D14" s="44">
        <f>+'2022 Lønnsgr arbavg tjeneste'!L$17*1000/(B14*'2022 Nto driftsutg'!$W$17)</f>
        <v>0.24894476473982713</v>
      </c>
      <c r="E14" s="44">
        <f>+'2022 Arbavg tjeneste'!L$17/'2022 Lønnsgr arbavg tjeneste'!L$17</f>
        <v>0.12627635884177554</v>
      </c>
    </row>
    <row r="15" spans="1:6" x14ac:dyDescent="0.3">
      <c r="A15" t="s">
        <v>36</v>
      </c>
      <c r="B15" s="53">
        <f>+'2022 Bto driftsutg eks avskriv'!M$17*1000/'2022 Nto driftsutg'!W$17</f>
        <v>598.28764282699296</v>
      </c>
      <c r="C15" s="53">
        <f>+'2022 Nto driftsutg eks avskriv'!M$17*1000/'2022 Nto driftsutg'!$W$17</f>
        <v>-33.860618918505438</v>
      </c>
      <c r="D15" s="44">
        <f>+'2022 Lønnsgr arbavg tjeneste'!M$17*1000/(B15*'2022 Nto driftsutg'!$W$17)</f>
        <v>7.560218024617113E-2</v>
      </c>
      <c r="E15" s="44">
        <f>+'2022 Arbavg tjeneste'!M$17/'2022 Lønnsgr arbavg tjeneste'!M$17</f>
        <v>0.11968051508791948</v>
      </c>
      <c r="F15" s="44"/>
    </row>
    <row r="16" spans="1:6" x14ac:dyDescent="0.3">
      <c r="A16" t="s">
        <v>175</v>
      </c>
      <c r="B16" s="53">
        <f>+'2022 Bto driftsutg eks avskriv'!N$17*1000/'2022 Nto driftsutg'!W$17</f>
        <v>780.11545969140707</v>
      </c>
      <c r="C16" s="53">
        <f>+'2022 Nto driftsutg eks avskriv'!N$17*1000/'2022 Nto driftsutg'!$W$17</f>
        <v>357.58294057254295</v>
      </c>
      <c r="D16" s="44">
        <f>+'2022 Lønnsgr arbavg tjeneste'!N$17*1000/(B16*'2022 Nto driftsutg'!$W$17)</f>
        <v>8.5040959640028668E-2</v>
      </c>
      <c r="E16" s="44">
        <f>+'2022 Arbavg tjeneste'!N$17/'2022 Lønnsgr arbavg tjeneste'!N$17</f>
        <v>0.11604736581814949</v>
      </c>
      <c r="F16" s="44"/>
    </row>
    <row r="17" spans="1:6" x14ac:dyDescent="0.3">
      <c r="A17" t="s">
        <v>37</v>
      </c>
      <c r="B17" s="53">
        <f>+'2022 Bto driftsutg eks avskriv'!O$17*1000/'2022 Nto driftsutg'!W$17</f>
        <v>14.404997354970352</v>
      </c>
      <c r="C17" s="53">
        <f>+'2022 Nto driftsutg eks avskriv'!O$17*1000/'2022 Nto driftsutg'!$W$17</f>
        <v>-0.77876308460224097</v>
      </c>
      <c r="D17" s="44">
        <f>+'2022 Lønnsgr arbavg tjeneste'!O$17*1000/(B17*'2022 Nto driftsutg'!$W$17)</f>
        <v>0.49917467466827042</v>
      </c>
      <c r="E17" s="44">
        <f>+'2022 Arbavg tjeneste'!O$17/'2022 Lønnsgr arbavg tjeneste'!O$17</f>
        <v>0.14034503088872369</v>
      </c>
      <c r="F17" s="44"/>
    </row>
    <row r="18" spans="1:6" x14ac:dyDescent="0.3">
      <c r="A18" t="s">
        <v>38</v>
      </c>
      <c r="B18" s="53">
        <f>+'2022 Bto driftsutg eks avskriv'!P$17*1000/'2022 Nto driftsutg'!W$17</f>
        <v>69.595061628269193</v>
      </c>
      <c r="C18" s="53">
        <f>+'2022 Nto driftsutg eks avskriv'!P$17*1000/'2022 Nto driftsutg'!$W$17</f>
        <v>-1.3894239365045427</v>
      </c>
      <c r="D18" s="44">
        <f>+'2022 Lønnsgr arbavg tjeneste'!P$17*1000/(B18*'2022 Nto driftsutg'!$W$17)</f>
        <v>0.16066074814869746</v>
      </c>
      <c r="E18" s="44">
        <f>+'2022 Arbavg tjeneste'!P$17/'2022 Lønnsgr arbavg tjeneste'!P$17</f>
        <v>8.5062890489771018E-2</v>
      </c>
      <c r="F18" s="44"/>
    </row>
    <row r="19" spans="1:6" x14ac:dyDescent="0.3">
      <c r="A19" s="112"/>
      <c r="B19" s="112"/>
      <c r="C19" s="53"/>
      <c r="D19" s="44"/>
      <c r="E19" s="7"/>
    </row>
    <row r="20" spans="1:6" x14ac:dyDescent="0.3">
      <c r="A20" s="112" t="s">
        <v>26</v>
      </c>
      <c r="B20" s="53"/>
      <c r="C20" s="53"/>
      <c r="D20" s="44"/>
      <c r="E20" s="44">
        <f>+'2022 Arbavg tjeneste'!R$17/'2022 Lønnsgr arbavg tjeneste'!R$17</f>
        <v>1.8216128377319309E-2</v>
      </c>
    </row>
    <row r="21" spans="1:6" x14ac:dyDescent="0.3">
      <c r="A21" s="112"/>
      <c r="B21" s="112"/>
      <c r="C21" s="53"/>
      <c r="D21" s="44"/>
      <c r="E21" s="7"/>
    </row>
    <row r="22" spans="1:6" x14ac:dyDescent="0.3">
      <c r="A22" s="112" t="s">
        <v>75</v>
      </c>
      <c r="B22" s="112"/>
      <c r="C22" s="53"/>
      <c r="D22" s="44">
        <f>+'2022 Lønnsgr arbavg tjeneste'!C$17/'2022 Bto driftsutg eks avskriv'!C17</f>
        <v>0.34197232743079242</v>
      </c>
      <c r="E22" s="44">
        <f>+'2022 Arbavg tjeneste'!C$17/'2022 Lønnsgr arbavg tjeneste'!C$17</f>
        <v>0.12792633198893438</v>
      </c>
    </row>
    <row r="23" spans="1:6" x14ac:dyDescent="0.3">
      <c r="A23" s="112"/>
      <c r="B23" s="112"/>
      <c r="C23" s="112"/>
      <c r="D23" s="44"/>
      <c r="E23" s="7"/>
    </row>
    <row r="24" spans="1:6" x14ac:dyDescent="0.3">
      <c r="A24" s="112"/>
      <c r="B24" s="7"/>
      <c r="C24" s="7"/>
      <c r="D24" s="44"/>
      <c r="E24" s="44"/>
    </row>
    <row r="25" spans="1:6" x14ac:dyDescent="0.3">
      <c r="A25" s="112"/>
      <c r="B25" s="112"/>
      <c r="C25" s="112"/>
      <c r="D25" s="7"/>
      <c r="E25" s="7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2EA5-64D6-4E72-9182-6EB8F1B83D16}">
  <dimension ref="A2:H24"/>
  <sheetViews>
    <sheetView workbookViewId="0">
      <selection activeCell="G30" sqref="G30"/>
    </sheetView>
  </sheetViews>
  <sheetFormatPr baseColWidth="10" defaultRowHeight="14.4" x14ac:dyDescent="0.3"/>
  <cols>
    <col min="1" max="3" width="40.5546875" customWidth="1"/>
    <col min="4" max="5" width="21" customWidth="1"/>
    <col min="8" max="8" width="11.5546875" style="86"/>
  </cols>
  <sheetData>
    <row r="2" spans="1:7" x14ac:dyDescent="0.3">
      <c r="A2" s="22" t="s">
        <v>10</v>
      </c>
      <c r="B2" s="22" t="s">
        <v>114</v>
      </c>
      <c r="C2" s="22" t="s">
        <v>115</v>
      </c>
      <c r="D2" s="22" t="s">
        <v>72</v>
      </c>
      <c r="E2" s="22" t="s">
        <v>97</v>
      </c>
    </row>
    <row r="3" spans="1:7" x14ac:dyDescent="0.3">
      <c r="A3" s="111"/>
      <c r="B3" s="111"/>
      <c r="C3" s="111"/>
      <c r="D3" s="111"/>
      <c r="E3" s="111"/>
    </row>
    <row r="4" spans="1:7" x14ac:dyDescent="0.3">
      <c r="A4" s="107">
        <v>1</v>
      </c>
      <c r="B4" s="107">
        <f>+A4+1</f>
        <v>2</v>
      </c>
      <c r="C4" s="107">
        <f>+B4+1</f>
        <v>3</v>
      </c>
      <c r="D4" s="107">
        <f>+A4+1</f>
        <v>2</v>
      </c>
      <c r="E4" s="107">
        <f>+D4+1</f>
        <v>3</v>
      </c>
    </row>
    <row r="5" spans="1:7" x14ac:dyDescent="0.3">
      <c r="A5" s="112" t="s">
        <v>30</v>
      </c>
      <c r="B5" s="112"/>
      <c r="C5" s="112"/>
      <c r="D5" s="44"/>
      <c r="E5" s="5"/>
    </row>
    <row r="6" spans="1:7" x14ac:dyDescent="0.3">
      <c r="A6" t="s">
        <v>171</v>
      </c>
      <c r="B6" s="53">
        <f>+'2022 Bto driftsutg eks avskriv'!D$17*1000/'2022 Nto driftsutg'!W$17</f>
        <v>7648.412705727088</v>
      </c>
      <c r="C6" s="53">
        <f>+'2022 Nto driftsutg eks avskriv'!D$17*1000/'2022 Nto driftsutg'!$W$17</f>
        <v>6448.5421002088378</v>
      </c>
      <c r="D6" s="44">
        <f>+'2022 Lønnsgr pensjon tjeneste'!D$17*1000/(B6*'2022 Nto driftsutg'!$W$17)</f>
        <v>0.55434688725578085</v>
      </c>
      <c r="E6" s="44">
        <f>+'2022 Pensjon tjeneste'!D$17/'2022 Lønnsgr pensjon tjeneste'!D$17</f>
        <v>9.5976604241459387E-2</v>
      </c>
      <c r="G6" s="53"/>
    </row>
    <row r="7" spans="1:7" x14ac:dyDescent="0.3">
      <c r="A7" t="s">
        <v>172</v>
      </c>
      <c r="B7" s="53">
        <f>+'2022 Bto driftsutg eks avskriv'!E$17*1000/'2022 Nto driftsutg'!W$17</f>
        <v>1931.3289476837097</v>
      </c>
      <c r="C7" s="53">
        <f>+'2022 Nto driftsutg eks avskriv'!E$17*1000/'2022 Nto driftsutg'!$W$17</f>
        <v>1810.3596687353809</v>
      </c>
      <c r="D7" s="44">
        <f>+'2022 Lønnsgr pensjon tjeneste'!E$17*1000/(B7*'2022 Nto driftsutg'!$W$17)</f>
        <v>6.4570168623134555E-2</v>
      </c>
      <c r="E7" s="44">
        <f>+'2022 Pensjon tjeneste'!E$17/'2022 Lønnsgr pensjon tjeneste'!E$17</f>
        <v>0.27795112073488876</v>
      </c>
      <c r="G7" s="53"/>
    </row>
    <row r="8" spans="1:7" x14ac:dyDescent="0.3">
      <c r="A8" t="s">
        <v>275</v>
      </c>
      <c r="B8" s="53">
        <f>+'2022 Bto driftsutg eks avskriv'!F$17*1000/'2022 Nto driftsutg'!W$17</f>
        <v>3277.3740293109836</v>
      </c>
      <c r="C8" s="53">
        <f>+'2022 Nto driftsutg eks avskriv'!F$17*1000/'2022 Nto driftsutg'!$W$17</f>
        <v>2471.4532179965236</v>
      </c>
      <c r="D8" s="44">
        <f>+'2022 Lønnsgr pensjon tjeneste'!F$17*1000/(B8*'2022 Nto driftsutg'!$W$17)</f>
        <v>1.4579341046179499E-2</v>
      </c>
      <c r="E8" s="44">
        <f>+'2022 Pensjon tjeneste'!F$17/'2022 Lønnsgr pensjon tjeneste'!F$17</f>
        <v>0.18485900551633686</v>
      </c>
      <c r="G8" s="53"/>
    </row>
    <row r="9" spans="1:7" x14ac:dyDescent="0.3">
      <c r="A9" t="s">
        <v>276</v>
      </c>
      <c r="B9" s="53">
        <f>+'2022 Bto driftsutg eks avskriv'!G$17*1000/'2022 Nto driftsutg'!W$17</f>
        <v>1130.3778429460654</v>
      </c>
      <c r="C9" s="53">
        <f>+'2022 Nto driftsutg eks avskriv'!G$17*1000/'2022 Nto driftsutg'!$W$17</f>
        <v>931.13559325158008</v>
      </c>
      <c r="D9" s="44">
        <f>+'2022 Lønnsgr pensjon tjeneste'!G$17*1000/(B9*'2022 Nto driftsutg'!$W$17)</f>
        <v>5.3437323943087804E-3</v>
      </c>
      <c r="E9" s="44">
        <f>+'2022 Pensjon tjeneste'!G$17/'2022 Lønnsgr pensjon tjeneste'!G$17</f>
        <v>0.17307985719080896</v>
      </c>
      <c r="G9" s="53"/>
    </row>
    <row r="10" spans="1:7" x14ac:dyDescent="0.3">
      <c r="A10" t="s">
        <v>173</v>
      </c>
      <c r="B10" s="53">
        <f>+'2022 Bto driftsutg eks avskriv'!H$17*1000/'2022 Nto driftsutg'!W$17</f>
        <v>702.84114891977731</v>
      </c>
      <c r="C10" s="53">
        <f>+'2022 Nto driftsutg eks avskriv'!H$17*1000/'2022 Nto driftsutg'!$W$17</f>
        <v>531.80873947287421</v>
      </c>
      <c r="D10" s="44">
        <f>+'2022 Lønnsgr pensjon tjeneste'!H$17*1000/(B10*'2022 Nto driftsutg'!$W$17)</f>
        <v>0.52756980338585135</v>
      </c>
      <c r="E10" s="44">
        <f>+'2022 Pensjon tjeneste'!H$17/'2022 Lønnsgr pensjon tjeneste'!H$17</f>
        <v>0.19201333414194519</v>
      </c>
      <c r="G10" s="53"/>
    </row>
    <row r="11" spans="1:7" x14ac:dyDescent="0.3">
      <c r="A11" s="112"/>
      <c r="B11" s="53"/>
      <c r="C11" s="53"/>
      <c r="D11" s="7"/>
      <c r="E11" s="44"/>
      <c r="G11" s="53"/>
    </row>
    <row r="12" spans="1:7" x14ac:dyDescent="0.3">
      <c r="A12" s="112" t="s">
        <v>73</v>
      </c>
      <c r="B12" s="53"/>
      <c r="C12" s="53"/>
      <c r="D12" s="44"/>
      <c r="E12" s="44"/>
      <c r="G12" s="53"/>
    </row>
    <row r="13" spans="1:7" x14ac:dyDescent="0.3">
      <c r="A13" t="s">
        <v>4</v>
      </c>
      <c r="B13" s="53">
        <f>+'2022 Bto driftsutg eks avskriv'!K$17*1000/'2022 Nto driftsutg'!W$17</f>
        <v>932.66399644625983</v>
      </c>
      <c r="C13" s="53">
        <f>+'2022 Nto driftsutg eks avskriv'!K$17*1000/'2022 Nto driftsutg'!$W$17</f>
        <v>867.73450906590824</v>
      </c>
      <c r="D13" s="44">
        <f>+'2022 Lønnsgr pensjon tjeneste'!K$17*1000/(B13*'2022 Nto driftsutg'!$W$17)</f>
        <v>0.38089555754854687</v>
      </c>
      <c r="E13" s="44">
        <f>+'2022 Pensjon tjeneste'!K$17/'2022 Lønnsgr pensjon tjeneste'!K$17</f>
        <v>0.44417671432885353</v>
      </c>
      <c r="G13" s="53"/>
    </row>
    <row r="14" spans="1:7" x14ac:dyDescent="0.3">
      <c r="A14" t="s">
        <v>174</v>
      </c>
      <c r="B14" s="53">
        <f>+'2022 Bto driftsutg eks avskriv'!L$17*1000/'2022 Nto driftsutg'!W$17</f>
        <v>487.42901274959587</v>
      </c>
      <c r="C14" s="53">
        <f>+'2022 Nto driftsutg eks avskriv'!L$17*1000/'2022 Nto driftsutg'!$W$17</f>
        <v>229.49714945062641</v>
      </c>
      <c r="D14" s="44">
        <f>+'2022 Lønnsgr pensjon tjeneste'!L$17*1000/(B14*'2022 Nto driftsutg'!$W$17)</f>
        <v>0.21202911473683972</v>
      </c>
      <c r="E14" s="44">
        <f>+'2022 Pensjon tjeneste'!L$17/'2022 Lønnsgr pensjon tjeneste'!L$17</f>
        <v>0.1741065138568603</v>
      </c>
      <c r="G14" s="53"/>
    </row>
    <row r="15" spans="1:7" x14ac:dyDescent="0.3">
      <c r="A15" t="s">
        <v>36</v>
      </c>
      <c r="B15" s="53">
        <f>+'2022 Bto driftsutg eks avskriv'!M$17*1000/'2022 Nto driftsutg'!W$17</f>
        <v>598.28764282699296</v>
      </c>
      <c r="C15" s="53">
        <f>+'2022 Nto driftsutg eks avskriv'!M$17*1000/'2022 Nto driftsutg'!$W$17</f>
        <v>-33.860618918505438</v>
      </c>
      <c r="D15" s="44">
        <f>+'2022 Lønnsgr pensjon tjeneste'!M$17*1000/(B15*'2022 Nto driftsutg'!$W$17)</f>
        <v>6.4821410086411291E-2</v>
      </c>
      <c r="E15" s="44">
        <f>+'2022 Pensjon tjeneste'!M$17/'2022 Lønnsgr pensjon tjeneste'!M$17</f>
        <v>0.16631495898327964</v>
      </c>
      <c r="G15" s="53"/>
    </row>
    <row r="16" spans="1:7" x14ac:dyDescent="0.3">
      <c r="A16" t="s">
        <v>175</v>
      </c>
      <c r="B16" s="53">
        <f>+'2022 Bto driftsutg eks avskriv'!N$17*1000/'2022 Nto driftsutg'!W$17</f>
        <v>780.11545969140707</v>
      </c>
      <c r="C16" s="53">
        <f>+'2022 Nto driftsutg eks avskriv'!N$17*1000/'2022 Nto driftsutg'!$W$17</f>
        <v>357.58294057254295</v>
      </c>
      <c r="D16" s="44">
        <f>+'2022 Lønnsgr pensjon tjeneste'!N$17*1000/(B16*'2022 Nto driftsutg'!$W$17)</f>
        <v>7.3242277257222196E-2</v>
      </c>
      <c r="E16" s="44">
        <f>+'2022 Pensjon tjeneste'!N$17/'2022 Lønnsgr pensjon tjeneste'!N$17</f>
        <v>0.16109114605175717</v>
      </c>
      <c r="G16" s="53"/>
    </row>
    <row r="17" spans="1:7" x14ac:dyDescent="0.3">
      <c r="A17" t="s">
        <v>37</v>
      </c>
      <c r="B17" s="53">
        <f>+'2022 Bto driftsutg eks avskriv'!O$17*1000/'2022 Nto driftsutg'!W$17</f>
        <v>14.404997354970352</v>
      </c>
      <c r="C17" s="53">
        <f>+'2022 Nto driftsutg eks avskriv'!O$17*1000/'2022 Nto driftsutg'!$W$17</f>
        <v>-0.77876308460224097</v>
      </c>
      <c r="D17" s="44">
        <f>+'2022 Lønnsgr pensjon tjeneste'!O$17*1000/(B17*'2022 Nto driftsutg'!$W$17)</f>
        <v>0.4452022366956277</v>
      </c>
      <c r="E17" s="44">
        <f>+'2022 Pensjon tjeneste'!O$17/'2022 Lønnsgr pensjon tjeneste'!O$17</f>
        <v>0.12123128215445636</v>
      </c>
      <c r="G17" s="53"/>
    </row>
    <row r="18" spans="1:7" x14ac:dyDescent="0.3">
      <c r="A18" t="s">
        <v>38</v>
      </c>
      <c r="B18" s="53">
        <f>+'2022 Bto driftsutg eks avskriv'!P$17*1000/'2022 Nto driftsutg'!W$17</f>
        <v>69.595061628269193</v>
      </c>
      <c r="C18" s="53">
        <f>+'2022 Nto driftsutg eks avskriv'!P$17*1000/'2022 Nto driftsutg'!$W$17</f>
        <v>-1.3894239365045427</v>
      </c>
      <c r="D18" s="44">
        <f>+'2022 Lønnsgr pensjon tjeneste'!P$17*1000/(B18*'2022 Nto driftsutg'!$W$17)</f>
        <v>0.13342885595330162</v>
      </c>
      <c r="E18" s="44">
        <f>+'2022 Pensjon tjeneste'!P$17/'2022 Lønnsgr pensjon tjeneste'!P$17</f>
        <v>0.20409297524762302</v>
      </c>
      <c r="G18" s="53"/>
    </row>
    <row r="19" spans="1:7" x14ac:dyDescent="0.3">
      <c r="A19" s="112"/>
      <c r="B19" s="112"/>
      <c r="C19" s="112"/>
      <c r="D19" s="44"/>
      <c r="E19" s="7"/>
    </row>
    <row r="20" spans="1:7" x14ac:dyDescent="0.3">
      <c r="A20" s="112"/>
      <c r="B20" s="112"/>
      <c r="C20" s="112"/>
      <c r="D20" s="44"/>
      <c r="E20" s="7"/>
    </row>
    <row r="21" spans="1:7" x14ac:dyDescent="0.3">
      <c r="A21" s="112" t="s">
        <v>75</v>
      </c>
      <c r="B21" s="112"/>
      <c r="C21" s="112"/>
      <c r="D21" s="44">
        <f>+'2022 Lønnsgr pensjon tjeneste'!C$17/('2022 Bto driftsutg eks avskriv'!C17-'2022 Bto driftsutg eks avskriv'!J17)</f>
        <v>0.30694672463607331</v>
      </c>
      <c r="E21" s="44">
        <f>+'2022 Pensjon tjeneste'!C$17/'2022 Lønnsgr pensjon tjeneste'!C$17</f>
        <v>0.11410971345677881</v>
      </c>
      <c r="G21" s="5"/>
    </row>
    <row r="22" spans="1:7" x14ac:dyDescent="0.3">
      <c r="A22" s="112"/>
      <c r="B22" s="112"/>
      <c r="C22" s="112"/>
      <c r="D22" s="44"/>
      <c r="E22" s="7"/>
    </row>
    <row r="23" spans="1:7" x14ac:dyDescent="0.3">
      <c r="A23" s="112"/>
      <c r="B23" s="7"/>
      <c r="C23" s="7"/>
      <c r="D23" s="7"/>
      <c r="E23" s="7"/>
    </row>
    <row r="24" spans="1:7" x14ac:dyDescent="0.3">
      <c r="A24" s="112"/>
      <c r="B24" s="112"/>
      <c r="C24" s="112"/>
      <c r="D24" s="7"/>
      <c r="E24" s="7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6B4C-7AED-47EE-AFA4-9EDC8A3B21C3}">
  <sheetPr>
    <tabColor rgb="FF92D050"/>
  </sheetPr>
  <dimension ref="A1:R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4140625" defaultRowHeight="14.4" x14ac:dyDescent="0.3"/>
  <cols>
    <col min="2" max="2" width="13.44140625" customWidth="1"/>
    <col min="6" max="6" width="13.109375" customWidth="1"/>
    <col min="7" max="7" width="12.88671875" customWidth="1"/>
    <col min="9" max="9" width="12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58</v>
      </c>
      <c r="D2" s="22" t="s">
        <v>191</v>
      </c>
      <c r="E2" s="22" t="s">
        <v>192</v>
      </c>
      <c r="F2" s="22" t="s">
        <v>289</v>
      </c>
      <c r="G2" s="22" t="s">
        <v>290</v>
      </c>
      <c r="H2" s="22" t="s">
        <v>193</v>
      </c>
      <c r="I2" s="11" t="s">
        <v>70</v>
      </c>
      <c r="J2" s="22" t="s">
        <v>60</v>
      </c>
      <c r="K2" s="22" t="s">
        <v>194</v>
      </c>
      <c r="L2" s="22" t="s">
        <v>195</v>
      </c>
      <c r="M2" s="22" t="s">
        <v>61</v>
      </c>
      <c r="N2" s="22" t="s">
        <v>196</v>
      </c>
      <c r="O2" s="22" t="s">
        <v>62</v>
      </c>
      <c r="P2" s="22" t="s">
        <v>63</v>
      </c>
      <c r="Q2" s="22" t="s">
        <v>197</v>
      </c>
      <c r="R2" s="22" t="s">
        <v>59</v>
      </c>
    </row>
    <row r="3" spans="1:18" x14ac:dyDescent="0.3">
      <c r="A3" s="107">
        <v>1</v>
      </c>
      <c r="B3" s="107">
        <v>2</v>
      </c>
      <c r="C3" s="107">
        <v>3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0">
        <f t="shared" ref="I3:R3" si="0">+H3+1</f>
        <v>10</v>
      </c>
      <c r="J3" s="107">
        <f t="shared" si="0"/>
        <v>11</v>
      </c>
      <c r="K3" s="107">
        <f t="shared" si="0"/>
        <v>12</v>
      </c>
      <c r="L3" s="107">
        <f t="shared" si="0"/>
        <v>13</v>
      </c>
      <c r="M3" s="107">
        <f t="shared" si="0"/>
        <v>14</v>
      </c>
      <c r="N3" s="107">
        <f t="shared" si="0"/>
        <v>15</v>
      </c>
      <c r="O3" s="107">
        <f t="shared" si="0"/>
        <v>16</v>
      </c>
      <c r="P3" s="107">
        <f t="shared" si="0"/>
        <v>17</v>
      </c>
      <c r="Q3" s="107">
        <f t="shared" si="0"/>
        <v>18</v>
      </c>
      <c r="R3" s="107">
        <f t="shared" si="0"/>
        <v>19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2190711.5690996093</v>
      </c>
      <c r="D5" s="5">
        <v>2257435</v>
      </c>
      <c r="E5" s="5">
        <v>0</v>
      </c>
      <c r="F5" s="5">
        <v>27592</v>
      </c>
      <c r="G5" s="5">
        <v>0</v>
      </c>
      <c r="H5" s="5">
        <v>164636</v>
      </c>
      <c r="I5" s="9">
        <f t="shared" ref="I5:I15" si="2">SUM(J5:Q5)</f>
        <v>90441</v>
      </c>
      <c r="J5" s="5"/>
      <c r="K5" s="5">
        <v>85047</v>
      </c>
      <c r="L5" s="5">
        <v>0</v>
      </c>
      <c r="M5" s="5">
        <v>1129</v>
      </c>
      <c r="N5" s="5">
        <v>4265</v>
      </c>
      <c r="O5" s="5">
        <v>0</v>
      </c>
      <c r="P5" s="5">
        <v>0</v>
      </c>
      <c r="Q5" s="5"/>
      <c r="R5" s="118">
        <v>-349392.43090039078</v>
      </c>
    </row>
    <row r="6" spans="1:18" x14ac:dyDescent="0.3">
      <c r="A6" s="41">
        <v>1100</v>
      </c>
      <c r="B6" s="42" t="s">
        <v>139</v>
      </c>
      <c r="C6" s="5">
        <f t="shared" si="1"/>
        <v>2924297</v>
      </c>
      <c r="D6" s="5">
        <v>2377367</v>
      </c>
      <c r="E6" s="5">
        <v>70369</v>
      </c>
      <c r="F6" s="5">
        <v>4874</v>
      </c>
      <c r="G6" s="5">
        <v>141</v>
      </c>
      <c r="H6" s="5">
        <v>264857</v>
      </c>
      <c r="I6" s="9">
        <f t="shared" si="2"/>
        <v>224954</v>
      </c>
      <c r="J6" s="5"/>
      <c r="K6" s="5">
        <v>131082</v>
      </c>
      <c r="L6" s="5">
        <v>54546</v>
      </c>
      <c r="M6" s="5">
        <v>15058</v>
      </c>
      <c r="N6" s="5">
        <v>15404</v>
      </c>
      <c r="O6" s="5">
        <v>0</v>
      </c>
      <c r="P6" s="5">
        <v>8864</v>
      </c>
      <c r="Q6" s="5"/>
      <c r="R6" s="5">
        <v>-18265</v>
      </c>
    </row>
    <row r="7" spans="1:18" x14ac:dyDescent="0.3">
      <c r="A7" s="41">
        <v>1500</v>
      </c>
      <c r="B7" s="42" t="s">
        <v>140</v>
      </c>
      <c r="C7" s="5">
        <f t="shared" si="1"/>
        <v>1725131</v>
      </c>
      <c r="D7" s="5">
        <v>1300482</v>
      </c>
      <c r="E7" s="5">
        <v>53499</v>
      </c>
      <c r="F7" s="5">
        <v>19218</v>
      </c>
      <c r="G7" s="5">
        <v>14169</v>
      </c>
      <c r="H7" s="5">
        <v>123661</v>
      </c>
      <c r="I7" s="9">
        <f t="shared" si="2"/>
        <v>205535</v>
      </c>
      <c r="J7" s="5"/>
      <c r="K7" s="5">
        <v>129053</v>
      </c>
      <c r="L7" s="5">
        <v>43898</v>
      </c>
      <c r="M7" s="5">
        <v>15830</v>
      </c>
      <c r="N7" s="5">
        <v>16754</v>
      </c>
      <c r="O7" s="5">
        <v>0</v>
      </c>
      <c r="P7" s="5">
        <v>0</v>
      </c>
      <c r="Q7" s="5"/>
      <c r="R7" s="5">
        <v>8567</v>
      </c>
    </row>
    <row r="8" spans="1:18" x14ac:dyDescent="0.3">
      <c r="A8" s="41">
        <v>1800</v>
      </c>
      <c r="B8" s="42" t="s">
        <v>141</v>
      </c>
      <c r="C8" s="5">
        <f t="shared" si="1"/>
        <v>2010291</v>
      </c>
      <c r="D8" s="5">
        <v>1481141</v>
      </c>
      <c r="E8" s="5">
        <v>57324</v>
      </c>
      <c r="F8" s="5">
        <v>10788</v>
      </c>
      <c r="G8" s="5">
        <v>9821</v>
      </c>
      <c r="H8" s="5">
        <v>195383</v>
      </c>
      <c r="I8" s="9">
        <f t="shared" si="2"/>
        <v>290534</v>
      </c>
      <c r="J8" s="5"/>
      <c r="K8" s="5">
        <v>173560</v>
      </c>
      <c r="L8" s="5">
        <v>54150</v>
      </c>
      <c r="M8" s="5">
        <v>27438</v>
      </c>
      <c r="N8" s="5">
        <v>35393</v>
      </c>
      <c r="O8" s="5">
        <v>-7</v>
      </c>
      <c r="P8" s="5">
        <v>0</v>
      </c>
      <c r="Q8" s="5"/>
      <c r="R8" s="5">
        <v>-34700</v>
      </c>
    </row>
    <row r="9" spans="1:18" x14ac:dyDescent="0.3">
      <c r="A9" s="41">
        <v>3000</v>
      </c>
      <c r="B9" s="42" t="s">
        <v>403</v>
      </c>
      <c r="C9" s="5">
        <f t="shared" si="1"/>
        <v>7122728</v>
      </c>
      <c r="D9" s="5">
        <v>5804385</v>
      </c>
      <c r="E9" s="5">
        <v>138999</v>
      </c>
      <c r="F9" s="5">
        <v>47659</v>
      </c>
      <c r="G9" s="5">
        <v>0</v>
      </c>
      <c r="H9" s="5">
        <v>353771</v>
      </c>
      <c r="I9" s="9">
        <f t="shared" si="2"/>
        <v>921281</v>
      </c>
      <c r="J9" s="5"/>
      <c r="K9" s="5">
        <v>664983</v>
      </c>
      <c r="L9" s="5">
        <v>119321</v>
      </c>
      <c r="M9" s="5">
        <v>27725</v>
      </c>
      <c r="N9" s="5">
        <v>69355</v>
      </c>
      <c r="O9" s="5">
        <v>37377</v>
      </c>
      <c r="P9" s="5">
        <v>2520</v>
      </c>
      <c r="Q9" s="5"/>
      <c r="R9" s="5">
        <v>-143367</v>
      </c>
    </row>
    <row r="10" spans="1:18" x14ac:dyDescent="0.3">
      <c r="A10" s="41">
        <v>3400</v>
      </c>
      <c r="B10" s="42" t="s">
        <v>404</v>
      </c>
      <c r="C10" s="5">
        <f t="shared" si="1"/>
        <v>2624795</v>
      </c>
      <c r="D10" s="5">
        <v>1910497</v>
      </c>
      <c r="E10" s="5">
        <v>107773</v>
      </c>
      <c r="F10" s="5">
        <v>37717</v>
      </c>
      <c r="G10" s="5">
        <v>8122</v>
      </c>
      <c r="H10" s="5">
        <v>177304</v>
      </c>
      <c r="I10" s="9">
        <f t="shared" si="2"/>
        <v>323281</v>
      </c>
      <c r="J10" s="5"/>
      <c r="K10" s="5">
        <v>203383</v>
      </c>
      <c r="L10" s="5">
        <v>57028</v>
      </c>
      <c r="M10" s="5">
        <v>27182</v>
      </c>
      <c r="N10" s="5">
        <v>35688</v>
      </c>
      <c r="O10" s="5">
        <v>0</v>
      </c>
      <c r="P10" s="5">
        <v>0</v>
      </c>
      <c r="Q10" s="5"/>
      <c r="R10" s="5">
        <v>60101</v>
      </c>
    </row>
    <row r="11" spans="1:18" x14ac:dyDescent="0.3">
      <c r="A11" s="41">
        <v>3800</v>
      </c>
      <c r="B11" s="42" t="s">
        <v>405</v>
      </c>
      <c r="C11" s="5">
        <f t="shared" si="1"/>
        <v>2789797</v>
      </c>
      <c r="D11" s="5">
        <v>2100296</v>
      </c>
      <c r="E11" s="5">
        <v>162406</v>
      </c>
      <c r="F11" s="5">
        <v>28026</v>
      </c>
      <c r="G11" s="5">
        <v>0</v>
      </c>
      <c r="H11" s="5">
        <v>183472</v>
      </c>
      <c r="I11" s="9">
        <f t="shared" si="2"/>
        <v>353382</v>
      </c>
      <c r="J11" s="5"/>
      <c r="K11" s="5">
        <v>216346</v>
      </c>
      <c r="L11" s="5">
        <v>79104</v>
      </c>
      <c r="M11" s="5">
        <v>24956</v>
      </c>
      <c r="N11" s="5">
        <v>30570</v>
      </c>
      <c r="O11" s="5">
        <v>1641</v>
      </c>
      <c r="P11" s="5">
        <v>765</v>
      </c>
      <c r="Q11" s="5"/>
      <c r="R11" s="5">
        <v>-37785</v>
      </c>
    </row>
    <row r="12" spans="1:18" x14ac:dyDescent="0.3">
      <c r="A12" s="41">
        <v>4200</v>
      </c>
      <c r="B12" s="42" t="s">
        <v>406</v>
      </c>
      <c r="C12" s="5">
        <f t="shared" si="1"/>
        <v>2115918</v>
      </c>
      <c r="D12" s="5">
        <v>1580726</v>
      </c>
      <c r="E12" s="5">
        <v>64379</v>
      </c>
      <c r="F12" s="5">
        <v>1822</v>
      </c>
      <c r="G12" s="5">
        <v>640</v>
      </c>
      <c r="H12" s="5">
        <v>131803</v>
      </c>
      <c r="I12" s="9">
        <f t="shared" si="2"/>
        <v>337670</v>
      </c>
      <c r="J12" s="5"/>
      <c r="K12" s="5">
        <v>239755</v>
      </c>
      <c r="L12" s="5">
        <v>79670</v>
      </c>
      <c r="M12" s="5">
        <v>859</v>
      </c>
      <c r="N12" s="5">
        <v>16633</v>
      </c>
      <c r="O12" s="5">
        <v>0</v>
      </c>
      <c r="P12" s="5">
        <v>753</v>
      </c>
      <c r="Q12" s="5"/>
      <c r="R12" s="5">
        <v>-1122</v>
      </c>
    </row>
    <row r="13" spans="1:18" x14ac:dyDescent="0.3">
      <c r="A13" s="41">
        <v>4600</v>
      </c>
      <c r="B13" s="42" t="s">
        <v>407</v>
      </c>
      <c r="C13" s="5">
        <f t="shared" si="1"/>
        <v>3700094</v>
      </c>
      <c r="D13" s="5">
        <v>2646815</v>
      </c>
      <c r="E13" s="5">
        <v>72347</v>
      </c>
      <c r="F13" s="5">
        <v>74986</v>
      </c>
      <c r="G13" s="5">
        <v>0</v>
      </c>
      <c r="H13" s="5">
        <v>281372</v>
      </c>
      <c r="I13" s="9">
        <f t="shared" si="2"/>
        <v>581118</v>
      </c>
      <c r="J13" s="5"/>
      <c r="K13" s="5">
        <v>428498</v>
      </c>
      <c r="L13" s="5">
        <v>55124</v>
      </c>
      <c r="M13" s="5">
        <v>56376</v>
      </c>
      <c r="N13" s="5">
        <v>40097</v>
      </c>
      <c r="O13" s="5">
        <v>0</v>
      </c>
      <c r="P13" s="5">
        <v>1023</v>
      </c>
      <c r="Q13" s="5"/>
      <c r="R13" s="5">
        <v>43456</v>
      </c>
    </row>
    <row r="14" spans="1:18" x14ac:dyDescent="0.3">
      <c r="A14" s="41">
        <v>5000</v>
      </c>
      <c r="B14" s="42" t="s">
        <v>388</v>
      </c>
      <c r="C14" s="5">
        <f t="shared" si="1"/>
        <v>2970803</v>
      </c>
      <c r="D14" s="5">
        <v>2243641</v>
      </c>
      <c r="E14" s="5">
        <v>69270</v>
      </c>
      <c r="F14" s="5">
        <v>16959</v>
      </c>
      <c r="G14" s="5">
        <v>2864</v>
      </c>
      <c r="H14" s="5">
        <v>251081</v>
      </c>
      <c r="I14" s="9">
        <f t="shared" si="2"/>
        <v>419170</v>
      </c>
      <c r="J14" s="5"/>
      <c r="K14" s="5">
        <v>285008</v>
      </c>
      <c r="L14" s="5">
        <v>65043</v>
      </c>
      <c r="M14" s="5">
        <v>24395</v>
      </c>
      <c r="N14" s="5">
        <v>44724</v>
      </c>
      <c r="O14" s="5">
        <v>0</v>
      </c>
      <c r="P14" s="5">
        <v>0</v>
      </c>
      <c r="Q14" s="5"/>
      <c r="R14" s="5">
        <v>-32182</v>
      </c>
    </row>
    <row r="15" spans="1:18" x14ac:dyDescent="0.3">
      <c r="A15" s="41">
        <v>5400</v>
      </c>
      <c r="B15" s="42" t="s">
        <v>408</v>
      </c>
      <c r="C15" s="5">
        <f t="shared" si="1"/>
        <v>2220026</v>
      </c>
      <c r="D15" s="5">
        <v>1507373</v>
      </c>
      <c r="E15" s="5">
        <v>68251</v>
      </c>
      <c r="F15" s="5">
        <v>37510</v>
      </c>
      <c r="G15" s="5">
        <v>2686</v>
      </c>
      <c r="H15" s="5">
        <v>270607</v>
      </c>
      <c r="I15" s="9">
        <f t="shared" si="2"/>
        <v>399323</v>
      </c>
      <c r="J15" s="5"/>
      <c r="K15" s="5">
        <v>226667</v>
      </c>
      <c r="L15" s="5">
        <v>50434</v>
      </c>
      <c r="M15" s="5">
        <v>24447</v>
      </c>
      <c r="N15" s="5">
        <v>51039</v>
      </c>
      <c r="O15" s="5">
        <v>0</v>
      </c>
      <c r="P15" s="5">
        <v>46736</v>
      </c>
      <c r="Q15" s="5"/>
      <c r="R15" s="5">
        <v>-65724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3">SUM(C5:C16)</f>
        <v>32394591.569099609</v>
      </c>
      <c r="D17" s="5">
        <f t="shared" si="3"/>
        <v>25210158</v>
      </c>
      <c r="E17" s="5">
        <f t="shared" si="3"/>
        <v>864617</v>
      </c>
      <c r="F17" s="5">
        <f t="shared" si="3"/>
        <v>307151</v>
      </c>
      <c r="G17" s="5">
        <f t="shared" si="3"/>
        <v>38443</v>
      </c>
      <c r="H17" s="5">
        <f t="shared" si="3"/>
        <v>2397947</v>
      </c>
      <c r="I17" s="15">
        <f t="shared" si="3"/>
        <v>4146689</v>
      </c>
      <c r="J17" s="5">
        <f t="shared" si="3"/>
        <v>0</v>
      </c>
      <c r="K17" s="5">
        <f t="shared" si="3"/>
        <v>2783382</v>
      </c>
      <c r="L17" s="5">
        <f t="shared" si="3"/>
        <v>658318</v>
      </c>
      <c r="M17" s="5">
        <f t="shared" si="3"/>
        <v>245395</v>
      </c>
      <c r="N17" s="5">
        <f t="shared" si="3"/>
        <v>359922</v>
      </c>
      <c r="O17" s="5">
        <f t="shared" si="3"/>
        <v>39011</v>
      </c>
      <c r="P17" s="5">
        <f t="shared" si="3"/>
        <v>60661</v>
      </c>
      <c r="Q17" s="5">
        <f t="shared" si="3"/>
        <v>0</v>
      </c>
      <c r="R17" s="5">
        <f t="shared" si="3"/>
        <v>-570413.43090039073</v>
      </c>
    </row>
    <row r="18" spans="2:18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9BF9-08CA-47D9-B7A7-CB1501C44AC1}">
  <sheetPr>
    <tabColor rgb="FF92D050"/>
  </sheetPr>
  <dimension ref="A1:R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106.2" x14ac:dyDescent="0.3">
      <c r="A2" s="22" t="s">
        <v>2</v>
      </c>
      <c r="B2" s="22" t="s">
        <v>1</v>
      </c>
      <c r="C2" s="22" t="s">
        <v>64</v>
      </c>
      <c r="D2" s="22" t="s">
        <v>198</v>
      </c>
      <c r="E2" s="22" t="s">
        <v>199</v>
      </c>
      <c r="F2" s="22" t="s">
        <v>291</v>
      </c>
      <c r="G2" s="22" t="s">
        <v>292</v>
      </c>
      <c r="H2" s="22" t="s">
        <v>200</v>
      </c>
      <c r="I2" s="11" t="s">
        <v>71</v>
      </c>
      <c r="J2" s="22" t="s">
        <v>66</v>
      </c>
      <c r="K2" s="22" t="s">
        <v>201</v>
      </c>
      <c r="L2" s="22" t="s">
        <v>202</v>
      </c>
      <c r="M2" s="22" t="s">
        <v>67</v>
      </c>
      <c r="N2" s="22" t="s">
        <v>203</v>
      </c>
      <c r="O2" s="22" t="s">
        <v>68</v>
      </c>
      <c r="P2" s="22" t="s">
        <v>69</v>
      </c>
      <c r="Q2" s="22" t="s">
        <v>204</v>
      </c>
      <c r="R2" s="22" t="s">
        <v>65</v>
      </c>
    </row>
    <row r="3" spans="1:18" x14ac:dyDescent="0.3">
      <c r="A3" s="107">
        <v>1</v>
      </c>
      <c r="B3" s="107">
        <v>2</v>
      </c>
      <c r="C3" s="107">
        <f t="shared" ref="C3:H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ref="J3:R3" si="1">+I3+1</f>
        <v>10</v>
      </c>
      <c r="K3" s="107">
        <f t="shared" si="1"/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2">SUM(D5:I5)+R5</f>
        <v>336474.2757145713</v>
      </c>
      <c r="D5" s="5">
        <v>322424</v>
      </c>
      <c r="E5" s="5">
        <v>0</v>
      </c>
      <c r="F5" s="5">
        <v>3869</v>
      </c>
      <c r="G5" s="5">
        <v>0</v>
      </c>
      <c r="H5" s="5">
        <v>22527</v>
      </c>
      <c r="I5" s="9">
        <f t="shared" ref="I5:I15" si="3">SUM(J5:Q5)</f>
        <v>15799</v>
      </c>
      <c r="J5" s="5"/>
      <c r="K5" s="5">
        <v>15066</v>
      </c>
      <c r="L5" s="5">
        <v>0</v>
      </c>
      <c r="M5" s="5">
        <v>155</v>
      </c>
      <c r="N5" s="5">
        <v>578</v>
      </c>
      <c r="O5" s="5">
        <v>0</v>
      </c>
      <c r="P5" s="5">
        <v>0</v>
      </c>
      <c r="Q5" s="5"/>
      <c r="R5" s="118">
        <v>-28144.724285428678</v>
      </c>
    </row>
    <row r="6" spans="1:18" x14ac:dyDescent="0.3">
      <c r="A6" s="41">
        <v>1100</v>
      </c>
      <c r="B6" s="42" t="s">
        <v>139</v>
      </c>
      <c r="C6" s="5">
        <f t="shared" si="2"/>
        <v>409146</v>
      </c>
      <c r="D6" s="5">
        <v>332652</v>
      </c>
      <c r="E6" s="5">
        <v>9919</v>
      </c>
      <c r="F6" s="5">
        <v>686</v>
      </c>
      <c r="G6" s="5">
        <v>20</v>
      </c>
      <c r="H6" s="5">
        <v>37168</v>
      </c>
      <c r="I6" s="9">
        <f t="shared" si="3"/>
        <v>31276</v>
      </c>
      <c r="J6" s="5"/>
      <c r="K6" s="5">
        <v>18483</v>
      </c>
      <c r="L6" s="5">
        <v>7697</v>
      </c>
      <c r="M6" s="5">
        <v>2130</v>
      </c>
      <c r="N6" s="5">
        <v>2189</v>
      </c>
      <c r="O6" s="5">
        <v>0</v>
      </c>
      <c r="P6" s="5">
        <v>777</v>
      </c>
      <c r="Q6" s="5"/>
      <c r="R6" s="5">
        <v>-2575</v>
      </c>
    </row>
    <row r="7" spans="1:18" x14ac:dyDescent="0.3">
      <c r="A7" s="41">
        <v>1500</v>
      </c>
      <c r="B7" s="42" t="s">
        <v>140</v>
      </c>
      <c r="C7" s="5">
        <f t="shared" si="2"/>
        <v>245466</v>
      </c>
      <c r="D7" s="5">
        <v>174759</v>
      </c>
      <c r="E7" s="5">
        <v>16858</v>
      </c>
      <c r="F7" s="5">
        <v>3192</v>
      </c>
      <c r="G7" s="5">
        <v>1952</v>
      </c>
      <c r="H7" s="5">
        <v>15694</v>
      </c>
      <c r="I7" s="9">
        <f t="shared" si="3"/>
        <v>29116</v>
      </c>
      <c r="J7" s="5"/>
      <c r="K7" s="5">
        <v>18618</v>
      </c>
      <c r="L7" s="5">
        <v>6030</v>
      </c>
      <c r="M7" s="5">
        <v>2175</v>
      </c>
      <c r="N7" s="5">
        <v>2293</v>
      </c>
      <c r="O7" s="5">
        <v>0</v>
      </c>
      <c r="P7" s="5">
        <v>0</v>
      </c>
      <c r="Q7" s="5"/>
      <c r="R7" s="5">
        <v>3895</v>
      </c>
    </row>
    <row r="8" spans="1:18" x14ac:dyDescent="0.3">
      <c r="A8" s="41">
        <v>1800</v>
      </c>
      <c r="B8" s="42" t="s">
        <v>141</v>
      </c>
      <c r="C8" s="5">
        <f t="shared" si="2"/>
        <v>124444</v>
      </c>
      <c r="D8" s="5">
        <v>83763</v>
      </c>
      <c r="E8" s="5">
        <v>5377</v>
      </c>
      <c r="F8" s="5">
        <v>813</v>
      </c>
      <c r="G8" s="5">
        <v>695</v>
      </c>
      <c r="H8" s="5">
        <v>10361</v>
      </c>
      <c r="I8" s="9">
        <f t="shared" si="3"/>
        <v>20754</v>
      </c>
      <c r="J8" s="5"/>
      <c r="K8" s="5">
        <v>12921</v>
      </c>
      <c r="L8" s="5">
        <v>3856</v>
      </c>
      <c r="M8" s="5">
        <v>1894</v>
      </c>
      <c r="N8" s="5">
        <v>2083</v>
      </c>
      <c r="O8" s="5">
        <v>0</v>
      </c>
      <c r="P8" s="5">
        <v>0</v>
      </c>
      <c r="Q8" s="5"/>
      <c r="R8" s="5">
        <v>2681</v>
      </c>
    </row>
    <row r="9" spans="1:18" x14ac:dyDescent="0.3">
      <c r="A9" s="41">
        <v>3000</v>
      </c>
      <c r="B9" s="42" t="s">
        <v>403</v>
      </c>
      <c r="C9" s="5">
        <f t="shared" si="2"/>
        <v>1020138</v>
      </c>
      <c r="D9" s="5">
        <v>812475</v>
      </c>
      <c r="E9" s="5">
        <v>37208</v>
      </c>
      <c r="F9" s="5">
        <v>6753</v>
      </c>
      <c r="G9" s="5">
        <v>0</v>
      </c>
      <c r="H9" s="5">
        <v>49665</v>
      </c>
      <c r="I9" s="9">
        <f t="shared" si="3"/>
        <v>127664</v>
      </c>
      <c r="J9" s="5"/>
      <c r="K9" s="5">
        <v>91517</v>
      </c>
      <c r="L9" s="5">
        <v>16897</v>
      </c>
      <c r="M9" s="5">
        <v>3767</v>
      </c>
      <c r="N9" s="5">
        <v>9829</v>
      </c>
      <c r="O9" s="5">
        <v>5300</v>
      </c>
      <c r="P9" s="5">
        <v>354</v>
      </c>
      <c r="Q9" s="5"/>
      <c r="R9" s="5">
        <v>-13627</v>
      </c>
    </row>
    <row r="10" spans="1:18" x14ac:dyDescent="0.3">
      <c r="A10" s="41">
        <v>3400</v>
      </c>
      <c r="B10" s="42" t="s">
        <v>404</v>
      </c>
      <c r="C10" s="5">
        <f t="shared" si="2"/>
        <v>332494</v>
      </c>
      <c r="D10" s="5">
        <v>237803</v>
      </c>
      <c r="E10" s="5">
        <v>13023</v>
      </c>
      <c r="F10" s="5">
        <v>5318</v>
      </c>
      <c r="G10" s="5">
        <v>1102</v>
      </c>
      <c r="H10" s="5">
        <v>21246</v>
      </c>
      <c r="I10" s="9">
        <f t="shared" si="3"/>
        <v>45527</v>
      </c>
      <c r="J10" s="5"/>
      <c r="K10" s="5">
        <v>28635</v>
      </c>
      <c r="L10" s="5">
        <v>8009</v>
      </c>
      <c r="M10" s="5">
        <v>3826</v>
      </c>
      <c r="N10" s="5">
        <v>5057</v>
      </c>
      <c r="O10" s="5">
        <v>0</v>
      </c>
      <c r="P10" s="5">
        <v>0</v>
      </c>
      <c r="Q10" s="5"/>
      <c r="R10" s="5">
        <v>8475</v>
      </c>
    </row>
    <row r="11" spans="1:18" x14ac:dyDescent="0.3">
      <c r="A11" s="41">
        <v>3800</v>
      </c>
      <c r="B11" s="42" t="s">
        <v>405</v>
      </c>
      <c r="C11" s="5">
        <f t="shared" si="2"/>
        <v>388092</v>
      </c>
      <c r="D11" s="5">
        <v>292105</v>
      </c>
      <c r="E11" s="5">
        <v>23046</v>
      </c>
      <c r="F11" s="5">
        <v>4070</v>
      </c>
      <c r="G11" s="5">
        <v>0</v>
      </c>
      <c r="H11" s="5">
        <v>25443</v>
      </c>
      <c r="I11" s="9">
        <f t="shared" si="3"/>
        <v>49469</v>
      </c>
      <c r="J11" s="5"/>
      <c r="K11" s="5">
        <v>30414</v>
      </c>
      <c r="L11" s="5">
        <v>10877</v>
      </c>
      <c r="M11" s="5">
        <v>3544</v>
      </c>
      <c r="N11" s="5">
        <v>4337</v>
      </c>
      <c r="O11" s="5">
        <v>175</v>
      </c>
      <c r="P11" s="5">
        <v>122</v>
      </c>
      <c r="Q11" s="5"/>
      <c r="R11" s="5">
        <v>-6041</v>
      </c>
    </row>
    <row r="12" spans="1:18" x14ac:dyDescent="0.3">
      <c r="A12" s="41">
        <v>4200</v>
      </c>
      <c r="B12" s="42" t="s">
        <v>406</v>
      </c>
      <c r="C12" s="5">
        <f t="shared" si="2"/>
        <v>299387</v>
      </c>
      <c r="D12" s="5">
        <v>221207</v>
      </c>
      <c r="E12" s="5">
        <v>12927</v>
      </c>
      <c r="F12" s="5">
        <v>244</v>
      </c>
      <c r="G12" s="5">
        <v>46</v>
      </c>
      <c r="H12" s="5">
        <v>16994</v>
      </c>
      <c r="I12" s="9">
        <f t="shared" si="3"/>
        <v>37577</v>
      </c>
      <c r="J12" s="5"/>
      <c r="K12" s="5">
        <v>24514</v>
      </c>
      <c r="L12" s="5">
        <v>10765</v>
      </c>
      <c r="M12" s="5">
        <v>85</v>
      </c>
      <c r="N12" s="5">
        <v>2095</v>
      </c>
      <c r="O12" s="5">
        <v>0</v>
      </c>
      <c r="P12" s="5">
        <v>118</v>
      </c>
      <c r="Q12" s="5"/>
      <c r="R12" s="5">
        <v>10392</v>
      </c>
    </row>
    <row r="13" spans="1:18" x14ac:dyDescent="0.3">
      <c r="A13" s="41">
        <v>4600</v>
      </c>
      <c r="B13" s="42" t="s">
        <v>407</v>
      </c>
      <c r="C13" s="5">
        <f t="shared" si="2"/>
        <v>504512</v>
      </c>
      <c r="D13" s="5">
        <v>358578</v>
      </c>
      <c r="E13" s="5">
        <v>30900</v>
      </c>
      <c r="F13" s="5">
        <v>10561</v>
      </c>
      <c r="G13" s="5">
        <v>0</v>
      </c>
      <c r="H13" s="5">
        <v>37515</v>
      </c>
      <c r="I13" s="9">
        <f t="shared" si="3"/>
        <v>60445</v>
      </c>
      <c r="J13" s="5"/>
      <c r="K13" s="5">
        <v>40148</v>
      </c>
      <c r="L13" s="5">
        <v>7393</v>
      </c>
      <c r="M13" s="5">
        <v>7552</v>
      </c>
      <c r="N13" s="5">
        <v>5208</v>
      </c>
      <c r="O13" s="5">
        <v>0</v>
      </c>
      <c r="P13" s="5">
        <v>144</v>
      </c>
      <c r="Q13" s="5"/>
      <c r="R13" s="5">
        <v>6513</v>
      </c>
    </row>
    <row r="14" spans="1:18" x14ac:dyDescent="0.3">
      <c r="A14" s="41">
        <v>5000</v>
      </c>
      <c r="B14" s="42" t="s">
        <v>388</v>
      </c>
      <c r="C14" s="5">
        <f t="shared" si="2"/>
        <v>390146</v>
      </c>
      <c r="D14" s="5">
        <v>287475</v>
      </c>
      <c r="E14" s="5">
        <v>20106</v>
      </c>
      <c r="F14" s="5">
        <v>2437</v>
      </c>
      <c r="G14" s="5">
        <v>342</v>
      </c>
      <c r="H14" s="5">
        <v>31527</v>
      </c>
      <c r="I14" s="9">
        <f t="shared" si="3"/>
        <v>38096</v>
      </c>
      <c r="J14" s="5"/>
      <c r="K14" s="5">
        <v>19704</v>
      </c>
      <c r="L14" s="5">
        <v>8976</v>
      </c>
      <c r="M14" s="5">
        <v>3008</v>
      </c>
      <c r="N14" s="5">
        <v>6408</v>
      </c>
      <c r="O14" s="5">
        <v>0</v>
      </c>
      <c r="P14" s="5">
        <v>0</v>
      </c>
      <c r="Q14" s="5"/>
      <c r="R14" s="5">
        <v>10163</v>
      </c>
    </row>
    <row r="15" spans="1:18" x14ac:dyDescent="0.3">
      <c r="A15" s="41">
        <v>5400</v>
      </c>
      <c r="B15" s="42" t="s">
        <v>408</v>
      </c>
      <c r="C15" s="5">
        <f t="shared" si="2"/>
        <v>93822</v>
      </c>
      <c r="D15" s="5">
        <v>59888</v>
      </c>
      <c r="E15" s="5">
        <v>2771</v>
      </c>
      <c r="F15" s="5">
        <v>2302</v>
      </c>
      <c r="G15" s="5">
        <v>69</v>
      </c>
      <c r="H15" s="5">
        <v>9752</v>
      </c>
      <c r="I15" s="9">
        <f t="shared" si="3"/>
        <v>21162</v>
      </c>
      <c r="J15" s="5"/>
      <c r="K15" s="5">
        <v>11963</v>
      </c>
      <c r="L15" s="5">
        <v>2630</v>
      </c>
      <c r="M15" s="5">
        <v>1233</v>
      </c>
      <c r="N15" s="5">
        <v>1691</v>
      </c>
      <c r="O15" s="5">
        <v>0</v>
      </c>
      <c r="P15" s="5">
        <v>3645</v>
      </c>
      <c r="Q15" s="5"/>
      <c r="R15" s="5">
        <v>-2122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4">SUM(C5:C16)</f>
        <v>4144121.2757145716</v>
      </c>
      <c r="D17" s="5">
        <f t="shared" si="4"/>
        <v>3183129</v>
      </c>
      <c r="E17" s="5">
        <f t="shared" si="4"/>
        <v>172135</v>
      </c>
      <c r="F17" s="5">
        <f t="shared" si="4"/>
        <v>40245</v>
      </c>
      <c r="G17" s="5">
        <f t="shared" si="4"/>
        <v>4226</v>
      </c>
      <c r="H17" s="5">
        <f t="shared" si="4"/>
        <v>277892</v>
      </c>
      <c r="I17" s="15">
        <f t="shared" si="4"/>
        <v>476885</v>
      </c>
      <c r="J17" s="5">
        <f t="shared" si="4"/>
        <v>0</v>
      </c>
      <c r="K17" s="5">
        <f t="shared" si="4"/>
        <v>311983</v>
      </c>
      <c r="L17" s="5">
        <f t="shared" si="4"/>
        <v>83130</v>
      </c>
      <c r="M17" s="5">
        <f t="shared" si="4"/>
        <v>29369</v>
      </c>
      <c r="N17" s="5">
        <f t="shared" si="4"/>
        <v>41768</v>
      </c>
      <c r="O17" s="5">
        <f t="shared" si="4"/>
        <v>5475</v>
      </c>
      <c r="P17" s="5">
        <f t="shared" si="4"/>
        <v>5160</v>
      </c>
      <c r="Q17" s="5">
        <f t="shared" si="4"/>
        <v>0</v>
      </c>
      <c r="R17" s="5">
        <f t="shared" si="4"/>
        <v>-10390.724285428674</v>
      </c>
    </row>
    <row r="18" spans="2:18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73B4-E48C-45A2-9E7B-E3CB2E63C61D}">
  <sheetPr>
    <tabColor rgb="FF92D050"/>
  </sheetPr>
  <dimension ref="A1:R20"/>
  <sheetViews>
    <sheetView workbookViewId="0">
      <pane xSplit="2" ySplit="4" topLeftCell="C5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4140625" defaultRowHeight="14.4" x14ac:dyDescent="0.3"/>
  <cols>
    <col min="2" max="2" width="13.44140625" customWidth="1"/>
    <col min="9" max="9" width="12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58</v>
      </c>
      <c r="D2" s="22" t="s">
        <v>191</v>
      </c>
      <c r="E2" s="22" t="s">
        <v>192</v>
      </c>
      <c r="F2" s="22" t="s">
        <v>289</v>
      </c>
      <c r="G2" s="22" t="s">
        <v>290</v>
      </c>
      <c r="H2" s="22" t="s">
        <v>193</v>
      </c>
      <c r="I2" s="11" t="s">
        <v>70</v>
      </c>
      <c r="J2" s="22" t="s">
        <v>60</v>
      </c>
      <c r="K2" s="22" t="s">
        <v>194</v>
      </c>
      <c r="L2" s="22" t="s">
        <v>195</v>
      </c>
      <c r="M2" s="22" t="s">
        <v>61</v>
      </c>
      <c r="N2" s="22" t="s">
        <v>196</v>
      </c>
      <c r="O2" s="22" t="s">
        <v>62</v>
      </c>
      <c r="P2" s="22" t="s">
        <v>63</v>
      </c>
      <c r="Q2" s="22" t="s">
        <v>197</v>
      </c>
      <c r="R2" s="22" t="s">
        <v>59</v>
      </c>
    </row>
    <row r="3" spans="1:18" x14ac:dyDescent="0.3">
      <c r="A3" s="107">
        <v>1</v>
      </c>
      <c r="B3" s="107">
        <v>2</v>
      </c>
      <c r="C3" s="107">
        <v>3</v>
      </c>
      <c r="D3" s="107">
        <f t="shared" ref="D3:R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2209104</v>
      </c>
      <c r="D5" s="5">
        <v>2009143</v>
      </c>
      <c r="E5" s="5">
        <v>0</v>
      </c>
      <c r="F5" s="5">
        <v>22041</v>
      </c>
      <c r="G5" s="5">
        <v>0</v>
      </c>
      <c r="H5" s="5">
        <v>119247</v>
      </c>
      <c r="I5" s="9">
        <f t="shared" ref="I5:I15" si="2">SUM(J5:Q5)</f>
        <v>58673</v>
      </c>
      <c r="J5" s="5"/>
      <c r="K5" s="5">
        <v>54618</v>
      </c>
      <c r="L5" s="5">
        <v>0</v>
      </c>
      <c r="M5" s="5">
        <v>850</v>
      </c>
      <c r="N5" s="5">
        <v>3205</v>
      </c>
      <c r="O5" s="5">
        <v>0</v>
      </c>
      <c r="P5" s="5">
        <v>0</v>
      </c>
      <c r="Q5" s="5"/>
      <c r="R5" s="5">
        <v>0</v>
      </c>
    </row>
    <row r="6" spans="1:18" x14ac:dyDescent="0.3">
      <c r="A6" s="41">
        <v>1100</v>
      </c>
      <c r="B6" s="42" t="s">
        <v>139</v>
      </c>
      <c r="C6" s="5">
        <f t="shared" si="1"/>
        <v>2638705</v>
      </c>
      <c r="D6" s="5">
        <v>2156906</v>
      </c>
      <c r="E6" s="5">
        <v>60678</v>
      </c>
      <c r="F6" s="5">
        <v>4192</v>
      </c>
      <c r="G6" s="5">
        <v>118</v>
      </c>
      <c r="H6" s="5">
        <v>222506</v>
      </c>
      <c r="I6" s="9">
        <f t="shared" si="2"/>
        <v>194305</v>
      </c>
      <c r="J6" s="5"/>
      <c r="K6" s="5">
        <v>113290</v>
      </c>
      <c r="L6" s="5">
        <v>46821</v>
      </c>
      <c r="M6" s="5">
        <v>12878</v>
      </c>
      <c r="N6" s="5">
        <v>13219</v>
      </c>
      <c r="O6" s="5">
        <v>0</v>
      </c>
      <c r="P6" s="5">
        <v>8097</v>
      </c>
      <c r="Q6" s="5"/>
      <c r="R6" s="5">
        <v>0</v>
      </c>
    </row>
    <row r="7" spans="1:18" x14ac:dyDescent="0.3">
      <c r="A7" s="41">
        <v>1500</v>
      </c>
      <c r="B7" s="42" t="s">
        <v>140</v>
      </c>
      <c r="C7" s="5">
        <f t="shared" si="1"/>
        <v>1520875</v>
      </c>
      <c r="D7" s="5">
        <v>1183329</v>
      </c>
      <c r="E7" s="5">
        <v>35965</v>
      </c>
      <c r="F7" s="5">
        <v>15274</v>
      </c>
      <c r="G7" s="5">
        <v>11843</v>
      </c>
      <c r="H7" s="5">
        <v>102291</v>
      </c>
      <c r="I7" s="9">
        <f t="shared" si="2"/>
        <v>172173</v>
      </c>
      <c r="J7" s="5"/>
      <c r="K7" s="5">
        <v>108204</v>
      </c>
      <c r="L7" s="5">
        <v>36856</v>
      </c>
      <c r="M7" s="5">
        <v>13226</v>
      </c>
      <c r="N7" s="5">
        <v>13887</v>
      </c>
      <c r="O7" s="5">
        <v>0</v>
      </c>
      <c r="P7" s="5">
        <v>0</v>
      </c>
      <c r="Q7" s="5"/>
      <c r="R7" s="5">
        <v>0</v>
      </c>
    </row>
    <row r="8" spans="1:18" x14ac:dyDescent="0.3">
      <c r="A8" s="41">
        <v>1800</v>
      </c>
      <c r="B8" s="42" t="s">
        <v>141</v>
      </c>
      <c r="C8" s="5">
        <f t="shared" si="1"/>
        <v>1780810</v>
      </c>
      <c r="D8" s="5">
        <v>1327463</v>
      </c>
      <c r="E8" s="5">
        <v>41845</v>
      </c>
      <c r="F8" s="5">
        <v>8699</v>
      </c>
      <c r="G8" s="5">
        <v>7982</v>
      </c>
      <c r="H8" s="5">
        <v>158234</v>
      </c>
      <c r="I8" s="9">
        <f t="shared" si="2"/>
        <v>236587</v>
      </c>
      <c r="J8" s="5"/>
      <c r="K8" s="5">
        <v>141243</v>
      </c>
      <c r="L8" s="5">
        <v>44013</v>
      </c>
      <c r="M8" s="5">
        <v>22432</v>
      </c>
      <c r="N8" s="5">
        <v>28906</v>
      </c>
      <c r="O8" s="5">
        <v>-7</v>
      </c>
      <c r="P8" s="5">
        <v>0</v>
      </c>
      <c r="Q8" s="5"/>
      <c r="R8" s="5">
        <v>0</v>
      </c>
    </row>
    <row r="9" spans="1:18" x14ac:dyDescent="0.3">
      <c r="A9" s="41">
        <v>3000</v>
      </c>
      <c r="B9" s="42" t="s">
        <v>403</v>
      </c>
      <c r="C9" s="5">
        <f t="shared" si="1"/>
        <v>6388745</v>
      </c>
      <c r="D9" s="5">
        <v>5291181</v>
      </c>
      <c r="E9" s="5">
        <v>111946</v>
      </c>
      <c r="F9" s="5">
        <v>40655</v>
      </c>
      <c r="G9" s="5">
        <v>0</v>
      </c>
      <c r="H9" s="5">
        <v>315308</v>
      </c>
      <c r="I9" s="9">
        <f t="shared" si="2"/>
        <v>629655</v>
      </c>
      <c r="J9" s="5"/>
      <c r="K9" s="5">
        <v>399888</v>
      </c>
      <c r="L9" s="5">
        <v>106952</v>
      </c>
      <c r="M9" s="5">
        <v>24882</v>
      </c>
      <c r="N9" s="5">
        <v>62278</v>
      </c>
      <c r="O9" s="5">
        <v>33380</v>
      </c>
      <c r="P9" s="5">
        <v>2275</v>
      </c>
      <c r="Q9" s="5"/>
      <c r="R9" s="5">
        <v>0</v>
      </c>
    </row>
    <row r="10" spans="1:18" x14ac:dyDescent="0.3">
      <c r="A10" s="41">
        <v>3400</v>
      </c>
      <c r="B10" s="42" t="s">
        <v>404</v>
      </c>
      <c r="C10" s="5">
        <f t="shared" si="1"/>
        <v>2256997</v>
      </c>
      <c r="D10" s="5">
        <v>1722780</v>
      </c>
      <c r="E10" s="5">
        <v>86359</v>
      </c>
      <c r="F10" s="5">
        <v>30270</v>
      </c>
      <c r="G10" s="5">
        <v>7498</v>
      </c>
      <c r="H10" s="5">
        <v>143381</v>
      </c>
      <c r="I10" s="9">
        <f t="shared" si="2"/>
        <v>266709</v>
      </c>
      <c r="J10" s="5"/>
      <c r="K10" s="5">
        <v>167381</v>
      </c>
      <c r="L10" s="5">
        <v>44928</v>
      </c>
      <c r="M10" s="5">
        <v>22273</v>
      </c>
      <c r="N10" s="5">
        <v>32127</v>
      </c>
      <c r="O10" s="5">
        <v>0</v>
      </c>
      <c r="P10" s="5">
        <v>0</v>
      </c>
      <c r="Q10" s="5"/>
      <c r="R10" s="5">
        <v>0</v>
      </c>
    </row>
    <row r="11" spans="1:18" x14ac:dyDescent="0.3">
      <c r="A11" s="41">
        <v>3800</v>
      </c>
      <c r="B11" s="42" t="s">
        <v>405</v>
      </c>
      <c r="C11" s="5">
        <f t="shared" si="1"/>
        <v>2488715</v>
      </c>
      <c r="D11" s="5">
        <v>1892141</v>
      </c>
      <c r="E11" s="5">
        <v>133508</v>
      </c>
      <c r="F11" s="5">
        <v>22956</v>
      </c>
      <c r="G11" s="5">
        <v>0</v>
      </c>
      <c r="H11" s="5">
        <v>148677</v>
      </c>
      <c r="I11" s="9">
        <f t="shared" si="2"/>
        <v>291433</v>
      </c>
      <c r="J11" s="5"/>
      <c r="K11" s="5">
        <v>179198</v>
      </c>
      <c r="L11" s="5">
        <v>64926</v>
      </c>
      <c r="M11" s="5">
        <v>20505</v>
      </c>
      <c r="N11" s="5">
        <v>24736</v>
      </c>
      <c r="O11" s="5">
        <v>1420</v>
      </c>
      <c r="P11" s="5">
        <v>648</v>
      </c>
      <c r="Q11" s="5"/>
      <c r="R11" s="5">
        <v>0</v>
      </c>
    </row>
    <row r="12" spans="1:18" x14ac:dyDescent="0.3">
      <c r="A12" s="41">
        <v>4200</v>
      </c>
      <c r="B12" s="42" t="s">
        <v>406</v>
      </c>
      <c r="C12" s="5">
        <f t="shared" si="1"/>
        <v>1869347</v>
      </c>
      <c r="D12" s="5">
        <v>1476235</v>
      </c>
      <c r="E12" s="5">
        <v>50513</v>
      </c>
      <c r="F12" s="5">
        <v>1547</v>
      </c>
      <c r="G12" s="5">
        <v>543</v>
      </c>
      <c r="H12" s="5">
        <v>110267</v>
      </c>
      <c r="I12" s="9">
        <f t="shared" si="2"/>
        <v>229855</v>
      </c>
      <c r="J12" s="5"/>
      <c r="K12" s="5">
        <v>146750</v>
      </c>
      <c r="L12" s="5">
        <v>67571</v>
      </c>
      <c r="M12" s="5">
        <v>729</v>
      </c>
      <c r="N12" s="5">
        <v>14098</v>
      </c>
      <c r="O12" s="5">
        <v>0</v>
      </c>
      <c r="P12" s="5">
        <v>707</v>
      </c>
      <c r="Q12" s="5"/>
      <c r="R12" s="5">
        <v>387</v>
      </c>
    </row>
    <row r="13" spans="1:18" x14ac:dyDescent="0.3">
      <c r="A13" s="41">
        <v>4600</v>
      </c>
      <c r="B13" s="42" t="s">
        <v>407</v>
      </c>
      <c r="C13" s="5">
        <f t="shared" si="1"/>
        <v>3320457</v>
      </c>
      <c r="D13" s="5">
        <v>2539653</v>
      </c>
      <c r="E13" s="5">
        <v>49174</v>
      </c>
      <c r="F13" s="5">
        <v>68022</v>
      </c>
      <c r="G13" s="5">
        <v>0</v>
      </c>
      <c r="H13" s="5">
        <v>251679</v>
      </c>
      <c r="I13" s="9">
        <f t="shared" si="2"/>
        <v>411929</v>
      </c>
      <c r="J13" s="5"/>
      <c r="K13" s="5">
        <v>274493</v>
      </c>
      <c r="L13" s="5">
        <v>49779</v>
      </c>
      <c r="M13" s="5">
        <v>50705</v>
      </c>
      <c r="N13" s="5">
        <v>36036</v>
      </c>
      <c r="O13" s="5">
        <v>0</v>
      </c>
      <c r="P13" s="5">
        <v>916</v>
      </c>
      <c r="Q13" s="5"/>
      <c r="R13" s="5">
        <v>0</v>
      </c>
    </row>
    <row r="14" spans="1:18" x14ac:dyDescent="0.3">
      <c r="A14" s="41">
        <v>5000</v>
      </c>
      <c r="B14" s="42" t="s">
        <v>388</v>
      </c>
      <c r="C14" s="5">
        <f t="shared" si="1"/>
        <v>2621221</v>
      </c>
      <c r="D14" s="5">
        <v>2055406</v>
      </c>
      <c r="E14" s="5">
        <v>53550</v>
      </c>
      <c r="F14" s="5">
        <v>14857</v>
      </c>
      <c r="G14" s="5">
        <v>2569</v>
      </c>
      <c r="H14" s="5">
        <v>220337</v>
      </c>
      <c r="I14" s="9">
        <f t="shared" si="2"/>
        <v>274502</v>
      </c>
      <c r="J14" s="5"/>
      <c r="K14" s="5">
        <v>155135</v>
      </c>
      <c r="L14" s="5">
        <v>57607</v>
      </c>
      <c r="M14" s="5">
        <v>21910</v>
      </c>
      <c r="N14" s="5">
        <v>39850</v>
      </c>
      <c r="O14" s="5">
        <v>0</v>
      </c>
      <c r="P14" s="5">
        <v>0</v>
      </c>
      <c r="Q14" s="5"/>
      <c r="R14" s="5">
        <v>0</v>
      </c>
    </row>
    <row r="15" spans="1:18" x14ac:dyDescent="0.3">
      <c r="A15" s="41">
        <v>5400</v>
      </c>
      <c r="B15" s="42" t="s">
        <v>408</v>
      </c>
      <c r="C15" s="5">
        <f t="shared" si="1"/>
        <v>1981686</v>
      </c>
      <c r="D15" s="5">
        <v>1348223</v>
      </c>
      <c r="E15" s="5">
        <v>53027</v>
      </c>
      <c r="F15" s="5">
        <v>30717</v>
      </c>
      <c r="G15" s="5">
        <v>2218</v>
      </c>
      <c r="H15" s="5">
        <v>219751</v>
      </c>
      <c r="I15" s="9">
        <f t="shared" si="2"/>
        <v>327750</v>
      </c>
      <c r="J15" s="5"/>
      <c r="K15" s="5">
        <v>187114</v>
      </c>
      <c r="L15" s="5">
        <v>41244</v>
      </c>
      <c r="M15" s="5">
        <v>20012</v>
      </c>
      <c r="N15" s="5">
        <v>41644</v>
      </c>
      <c r="O15" s="5">
        <v>0</v>
      </c>
      <c r="P15" s="5">
        <v>37736</v>
      </c>
      <c r="Q15" s="5"/>
      <c r="R15" s="5">
        <v>0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3">SUM(C5:C16)</f>
        <v>29076662</v>
      </c>
      <c r="D17" s="5">
        <f t="shared" si="3"/>
        <v>23002460</v>
      </c>
      <c r="E17" s="5">
        <f t="shared" si="3"/>
        <v>676565</v>
      </c>
      <c r="F17" s="5">
        <f t="shared" si="3"/>
        <v>259230</v>
      </c>
      <c r="G17" s="5">
        <f t="shared" si="3"/>
        <v>32771</v>
      </c>
      <c r="H17" s="5">
        <f t="shared" si="3"/>
        <v>2011678</v>
      </c>
      <c r="I17" s="15">
        <f t="shared" si="3"/>
        <v>3093571</v>
      </c>
      <c r="J17" s="5">
        <f t="shared" si="3"/>
        <v>0</v>
      </c>
      <c r="K17" s="5">
        <f t="shared" si="3"/>
        <v>1927314</v>
      </c>
      <c r="L17" s="5">
        <f t="shared" si="3"/>
        <v>560697</v>
      </c>
      <c r="M17" s="5">
        <f t="shared" si="3"/>
        <v>210402</v>
      </c>
      <c r="N17" s="5">
        <f t="shared" si="3"/>
        <v>309986</v>
      </c>
      <c r="O17" s="5">
        <f t="shared" si="3"/>
        <v>34793</v>
      </c>
      <c r="P17" s="5">
        <f t="shared" si="3"/>
        <v>50379</v>
      </c>
      <c r="Q17" s="5">
        <f t="shared" si="3"/>
        <v>0</v>
      </c>
      <c r="R17" s="5">
        <f t="shared" si="3"/>
        <v>387</v>
      </c>
    </row>
    <row r="18" spans="2:18" x14ac:dyDescent="0.3">
      <c r="B18" s="43"/>
      <c r="C18" s="5">
        <f>+C17*1000/'2022 Nto driftsutg'!$V$17</f>
        <v>5359.4866246288202</v>
      </c>
      <c r="D18" s="5">
        <f>+D17*1000/'2022 Nto driftsutg'!$V$17</f>
        <v>4239.873775867376</v>
      </c>
      <c r="E18" s="5">
        <f>+E17*1000/'2022 Nto driftsutg'!$V$17</f>
        <v>124.70623581867815</v>
      </c>
      <c r="F18" s="5">
        <f>+F17*1000/'2022 Nto driftsutg'!$V$17</f>
        <v>47.781953709216317</v>
      </c>
      <c r="G18" s="5">
        <f>+G17*1000/'2022 Nto driftsutg'!$V$17</f>
        <v>6.0404366971597723</v>
      </c>
      <c r="H18" s="5">
        <f>+H17*1000/'2022 Nto driftsutg'!$V$17</f>
        <v>370.79776674709279</v>
      </c>
      <c r="I18" s="5">
        <f>+I17*1000/'2022 Nto driftsutg'!$V$17</f>
        <v>570.21512293397382</v>
      </c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>
        <f>SUM(D18:H18)</f>
        <v>4789.2001688395239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9E5B-5059-408A-B1D9-050C2614E562}">
  <sheetPr>
    <tabColor rgb="FF92D050"/>
  </sheetPr>
  <dimension ref="A1:S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91</v>
      </c>
      <c r="D2" s="22" t="s">
        <v>205</v>
      </c>
      <c r="E2" s="22" t="s">
        <v>206</v>
      </c>
      <c r="F2" s="22" t="s">
        <v>293</v>
      </c>
      <c r="G2" s="22" t="s">
        <v>294</v>
      </c>
      <c r="H2" s="22" t="s">
        <v>207</v>
      </c>
      <c r="I2" s="11" t="s">
        <v>92</v>
      </c>
      <c r="J2" s="22" t="s">
        <v>93</v>
      </c>
      <c r="K2" s="22" t="s">
        <v>208</v>
      </c>
      <c r="L2" s="22" t="s">
        <v>209</v>
      </c>
      <c r="M2" s="22" t="s">
        <v>94</v>
      </c>
      <c r="N2" s="22" t="s">
        <v>210</v>
      </c>
      <c r="O2" s="22" t="s">
        <v>95</v>
      </c>
      <c r="P2" s="22" t="s">
        <v>96</v>
      </c>
      <c r="Q2" s="22" t="s">
        <v>211</v>
      </c>
      <c r="R2" s="22" t="s">
        <v>105</v>
      </c>
    </row>
    <row r="3" spans="1:18" x14ac:dyDescent="0.3">
      <c r="A3" s="107">
        <v>1</v>
      </c>
      <c r="B3" s="107">
        <v>2</v>
      </c>
      <c r="C3" s="107">
        <v>3</v>
      </c>
      <c r="D3" s="107">
        <f t="shared" ref="D3:R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-18392.430900390784</v>
      </c>
      <c r="D5" s="5">
        <v>248292</v>
      </c>
      <c r="E5" s="5">
        <v>0</v>
      </c>
      <c r="F5" s="5">
        <v>5551</v>
      </c>
      <c r="G5" s="5">
        <v>0</v>
      </c>
      <c r="H5" s="5">
        <v>45389</v>
      </c>
      <c r="I5" s="9">
        <f t="shared" ref="I5:I15" si="2">SUM(J5:Q5)</f>
        <v>31768</v>
      </c>
      <c r="J5" s="5"/>
      <c r="K5" s="5">
        <v>30429</v>
      </c>
      <c r="L5" s="5">
        <v>0</v>
      </c>
      <c r="M5" s="5">
        <v>279</v>
      </c>
      <c r="N5" s="5">
        <v>1060</v>
      </c>
      <c r="O5" s="5">
        <v>0</v>
      </c>
      <c r="P5" s="5">
        <v>0</v>
      </c>
      <c r="Q5" s="5"/>
      <c r="R5" s="118">
        <v>-349392.43090039078</v>
      </c>
    </row>
    <row r="6" spans="1:18" x14ac:dyDescent="0.3">
      <c r="A6" s="41">
        <v>1100</v>
      </c>
      <c r="B6" s="42" t="s">
        <v>139</v>
      </c>
      <c r="C6" s="5">
        <f t="shared" si="1"/>
        <v>285592</v>
      </c>
      <c r="D6" s="5">
        <v>220461</v>
      </c>
      <c r="E6" s="5">
        <v>9691</v>
      </c>
      <c r="F6" s="5">
        <v>682</v>
      </c>
      <c r="G6" s="5">
        <v>23</v>
      </c>
      <c r="H6" s="5">
        <v>42351</v>
      </c>
      <c r="I6" s="9">
        <f t="shared" si="2"/>
        <v>30649</v>
      </c>
      <c r="J6" s="5"/>
      <c r="K6" s="5">
        <v>17792</v>
      </c>
      <c r="L6" s="5">
        <v>7725</v>
      </c>
      <c r="M6" s="5">
        <v>2180</v>
      </c>
      <c r="N6" s="5">
        <v>2185</v>
      </c>
      <c r="O6" s="5">
        <v>0</v>
      </c>
      <c r="P6" s="5">
        <v>767</v>
      </c>
      <c r="Q6" s="5"/>
      <c r="R6" s="5">
        <v>-18265</v>
      </c>
    </row>
    <row r="7" spans="1:18" x14ac:dyDescent="0.3">
      <c r="A7" s="41">
        <v>1500</v>
      </c>
      <c r="B7" s="42" t="s">
        <v>140</v>
      </c>
      <c r="C7" s="5">
        <f t="shared" si="1"/>
        <v>204256</v>
      </c>
      <c r="D7" s="5">
        <v>117153</v>
      </c>
      <c r="E7" s="5">
        <v>17534</v>
      </c>
      <c r="F7" s="5">
        <v>3944</v>
      </c>
      <c r="G7" s="5">
        <v>2326</v>
      </c>
      <c r="H7" s="5">
        <v>21370</v>
      </c>
      <c r="I7" s="9">
        <f t="shared" si="2"/>
        <v>33362</v>
      </c>
      <c r="J7" s="5"/>
      <c r="K7" s="5">
        <v>20849</v>
      </c>
      <c r="L7" s="5">
        <v>7042</v>
      </c>
      <c r="M7" s="5">
        <v>2604</v>
      </c>
      <c r="N7" s="5">
        <v>2867</v>
      </c>
      <c r="O7" s="5">
        <v>0</v>
      </c>
      <c r="P7" s="5">
        <v>0</v>
      </c>
      <c r="Q7" s="5"/>
      <c r="R7" s="5">
        <v>8567</v>
      </c>
    </row>
    <row r="8" spans="1:18" x14ac:dyDescent="0.3">
      <c r="A8" s="41">
        <v>1800</v>
      </c>
      <c r="B8" s="42" t="s">
        <v>141</v>
      </c>
      <c r="C8" s="5">
        <f t="shared" si="1"/>
        <v>229481</v>
      </c>
      <c r="D8" s="5">
        <v>153678</v>
      </c>
      <c r="E8" s="5">
        <v>15479</v>
      </c>
      <c r="F8" s="5">
        <v>2089</v>
      </c>
      <c r="G8" s="5">
        <v>1839</v>
      </c>
      <c r="H8" s="5">
        <v>37149</v>
      </c>
      <c r="I8" s="9">
        <f t="shared" si="2"/>
        <v>53947</v>
      </c>
      <c r="J8" s="5"/>
      <c r="K8" s="5">
        <v>32317</v>
      </c>
      <c r="L8" s="5">
        <v>10137</v>
      </c>
      <c r="M8" s="5">
        <v>5006</v>
      </c>
      <c r="N8" s="5">
        <v>6487</v>
      </c>
      <c r="O8" s="5">
        <v>0</v>
      </c>
      <c r="P8" s="5">
        <v>0</v>
      </c>
      <c r="Q8" s="5"/>
      <c r="R8" s="5">
        <v>-34700</v>
      </c>
    </row>
    <row r="9" spans="1:18" x14ac:dyDescent="0.3">
      <c r="A9" s="41">
        <v>3000</v>
      </c>
      <c r="B9" s="42" t="s">
        <v>403</v>
      </c>
      <c r="C9" s="5">
        <f t="shared" si="1"/>
        <v>733983</v>
      </c>
      <c r="D9" s="5">
        <v>513204</v>
      </c>
      <c r="E9" s="5">
        <v>27053</v>
      </c>
      <c r="F9" s="5">
        <v>7004</v>
      </c>
      <c r="G9" s="5">
        <v>0</v>
      </c>
      <c r="H9" s="5">
        <v>38463</v>
      </c>
      <c r="I9" s="9">
        <f t="shared" si="2"/>
        <v>291626</v>
      </c>
      <c r="J9" s="5"/>
      <c r="K9" s="5">
        <v>265095</v>
      </c>
      <c r="L9" s="5">
        <v>12369</v>
      </c>
      <c r="M9" s="5">
        <v>2843</v>
      </c>
      <c r="N9" s="5">
        <v>7077</v>
      </c>
      <c r="O9" s="5">
        <v>3997</v>
      </c>
      <c r="P9" s="5">
        <v>245</v>
      </c>
      <c r="Q9" s="5"/>
      <c r="R9" s="5">
        <v>-143367</v>
      </c>
    </row>
    <row r="10" spans="1:18" x14ac:dyDescent="0.3">
      <c r="A10" s="41">
        <v>3400</v>
      </c>
      <c r="B10" s="42" t="s">
        <v>404</v>
      </c>
      <c r="C10" s="5">
        <f t="shared" si="1"/>
        <v>367798</v>
      </c>
      <c r="D10" s="5">
        <v>187717</v>
      </c>
      <c r="E10" s="5">
        <v>21414</v>
      </c>
      <c r="F10" s="5">
        <v>7447</v>
      </c>
      <c r="G10" s="5">
        <v>624</v>
      </c>
      <c r="H10" s="5">
        <v>33923</v>
      </c>
      <c r="I10" s="9">
        <f t="shared" si="2"/>
        <v>56572</v>
      </c>
      <c r="J10" s="5"/>
      <c r="K10" s="5">
        <v>36002</v>
      </c>
      <c r="L10" s="5">
        <v>12100</v>
      </c>
      <c r="M10" s="5">
        <v>4909</v>
      </c>
      <c r="N10" s="5">
        <v>3561</v>
      </c>
      <c r="O10" s="5">
        <v>0</v>
      </c>
      <c r="P10" s="5">
        <v>0</v>
      </c>
      <c r="Q10" s="5"/>
      <c r="R10" s="5">
        <v>60101</v>
      </c>
    </row>
    <row r="11" spans="1:18" x14ac:dyDescent="0.3">
      <c r="A11" s="41">
        <v>3800</v>
      </c>
      <c r="B11" s="42" t="s">
        <v>405</v>
      </c>
      <c r="C11" s="5">
        <f t="shared" si="1"/>
        <v>301082</v>
      </c>
      <c r="D11" s="5">
        <v>208155</v>
      </c>
      <c r="E11" s="5">
        <v>28898</v>
      </c>
      <c r="F11" s="5">
        <v>5070</v>
      </c>
      <c r="G11" s="5">
        <v>0</v>
      </c>
      <c r="H11" s="5">
        <v>34795</v>
      </c>
      <c r="I11" s="9">
        <f t="shared" si="2"/>
        <v>61949</v>
      </c>
      <c r="J11" s="5"/>
      <c r="K11" s="5">
        <v>37148</v>
      </c>
      <c r="L11" s="5">
        <v>14178</v>
      </c>
      <c r="M11" s="5">
        <v>4451</v>
      </c>
      <c r="N11" s="5">
        <v>5834</v>
      </c>
      <c r="O11" s="5">
        <v>221</v>
      </c>
      <c r="P11" s="5">
        <v>117</v>
      </c>
      <c r="Q11" s="5"/>
      <c r="R11" s="5">
        <v>-37785</v>
      </c>
    </row>
    <row r="12" spans="1:18" x14ac:dyDescent="0.3">
      <c r="A12" s="41">
        <v>4200</v>
      </c>
      <c r="B12" s="42" t="s">
        <v>406</v>
      </c>
      <c r="C12" s="5">
        <f t="shared" si="1"/>
        <v>246571</v>
      </c>
      <c r="D12" s="5">
        <v>104491</v>
      </c>
      <c r="E12" s="5">
        <v>13866</v>
      </c>
      <c r="F12" s="5">
        <v>275</v>
      </c>
      <c r="G12" s="5">
        <v>97</v>
      </c>
      <c r="H12" s="5">
        <v>21536</v>
      </c>
      <c r="I12" s="9">
        <f t="shared" si="2"/>
        <v>107815</v>
      </c>
      <c r="J12" s="5"/>
      <c r="K12" s="5">
        <v>93005</v>
      </c>
      <c r="L12" s="5">
        <v>12099</v>
      </c>
      <c r="M12" s="5">
        <v>130</v>
      </c>
      <c r="N12" s="5">
        <v>2535</v>
      </c>
      <c r="O12" s="5">
        <v>0</v>
      </c>
      <c r="P12" s="5">
        <v>46</v>
      </c>
      <c r="Q12" s="5"/>
      <c r="R12" s="5">
        <v>-1509</v>
      </c>
    </row>
    <row r="13" spans="1:18" x14ac:dyDescent="0.3">
      <c r="A13" s="41">
        <v>4600</v>
      </c>
      <c r="B13" s="42" t="s">
        <v>407</v>
      </c>
      <c r="C13" s="5">
        <f t="shared" si="1"/>
        <v>379637</v>
      </c>
      <c r="D13" s="5">
        <v>107162</v>
      </c>
      <c r="E13" s="5">
        <v>23173</v>
      </c>
      <c r="F13" s="5">
        <v>6964</v>
      </c>
      <c r="G13" s="5">
        <v>0</v>
      </c>
      <c r="H13" s="5">
        <v>29693</v>
      </c>
      <c r="I13" s="9">
        <f t="shared" si="2"/>
        <v>169189</v>
      </c>
      <c r="J13" s="5"/>
      <c r="K13" s="5">
        <v>154005</v>
      </c>
      <c r="L13" s="5">
        <v>5345</v>
      </c>
      <c r="M13" s="5">
        <v>5671</v>
      </c>
      <c r="N13" s="5">
        <v>4061</v>
      </c>
      <c r="O13" s="5">
        <v>0</v>
      </c>
      <c r="P13" s="5">
        <v>107</v>
      </c>
      <c r="Q13" s="5"/>
      <c r="R13" s="5">
        <v>43456</v>
      </c>
    </row>
    <row r="14" spans="1:18" x14ac:dyDescent="0.3">
      <c r="A14" s="41">
        <v>5000</v>
      </c>
      <c r="B14" s="42" t="s">
        <v>388</v>
      </c>
      <c r="C14" s="5">
        <f t="shared" si="1"/>
        <v>349582</v>
      </c>
      <c r="D14" s="5">
        <v>188235</v>
      </c>
      <c r="E14" s="5">
        <v>15720</v>
      </c>
      <c r="F14" s="5">
        <v>2102</v>
      </c>
      <c r="G14" s="5">
        <v>295</v>
      </c>
      <c r="H14" s="5">
        <v>30744</v>
      </c>
      <c r="I14" s="9">
        <f t="shared" si="2"/>
        <v>144668</v>
      </c>
      <c r="J14" s="5"/>
      <c r="K14" s="5">
        <v>129873</v>
      </c>
      <c r="L14" s="5">
        <v>7436</v>
      </c>
      <c r="M14" s="5">
        <v>2485</v>
      </c>
      <c r="N14" s="5">
        <v>4874</v>
      </c>
      <c r="O14" s="5">
        <v>0</v>
      </c>
      <c r="P14" s="5">
        <v>0</v>
      </c>
      <c r="Q14" s="5"/>
      <c r="R14" s="5">
        <v>-32182</v>
      </c>
    </row>
    <row r="15" spans="1:18" x14ac:dyDescent="0.3">
      <c r="A15" s="41">
        <v>5400</v>
      </c>
      <c r="B15" s="42" t="s">
        <v>408</v>
      </c>
      <c r="C15" s="5">
        <f t="shared" si="1"/>
        <v>238340</v>
      </c>
      <c r="D15" s="5">
        <v>159150</v>
      </c>
      <c r="E15" s="5">
        <v>15224</v>
      </c>
      <c r="F15" s="5">
        <v>6793</v>
      </c>
      <c r="G15" s="5">
        <v>468</v>
      </c>
      <c r="H15" s="5">
        <v>50856</v>
      </c>
      <c r="I15" s="9">
        <f t="shared" si="2"/>
        <v>71573</v>
      </c>
      <c r="J15" s="5"/>
      <c r="K15" s="5">
        <v>39553</v>
      </c>
      <c r="L15" s="5">
        <v>9190</v>
      </c>
      <c r="M15" s="5">
        <v>4435</v>
      </c>
      <c r="N15" s="5">
        <v>9395</v>
      </c>
      <c r="O15" s="5">
        <v>0</v>
      </c>
      <c r="P15" s="5">
        <v>9000</v>
      </c>
      <c r="Q15" s="5"/>
      <c r="R15" s="5">
        <v>-65724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</row>
    <row r="17" spans="2:19" x14ac:dyDescent="0.3">
      <c r="B17" s="42" t="s">
        <v>3</v>
      </c>
      <c r="C17" s="5">
        <f t="shared" ref="C17:R17" si="3">SUM(C5:C16)</f>
        <v>3317929.5690996093</v>
      </c>
      <c r="D17" s="5">
        <f t="shared" si="3"/>
        <v>2207698</v>
      </c>
      <c r="E17" s="5">
        <f t="shared" si="3"/>
        <v>188052</v>
      </c>
      <c r="F17" s="5">
        <f t="shared" si="3"/>
        <v>47921</v>
      </c>
      <c r="G17" s="5">
        <f t="shared" si="3"/>
        <v>5672</v>
      </c>
      <c r="H17" s="5">
        <f t="shared" si="3"/>
        <v>386269</v>
      </c>
      <c r="I17" s="15">
        <f t="shared" si="3"/>
        <v>1053118</v>
      </c>
      <c r="J17" s="5">
        <f t="shared" si="3"/>
        <v>0</v>
      </c>
      <c r="K17" s="5">
        <f t="shared" si="3"/>
        <v>856068</v>
      </c>
      <c r="L17" s="5">
        <f t="shared" si="3"/>
        <v>97621</v>
      </c>
      <c r="M17" s="5">
        <f t="shared" si="3"/>
        <v>34993</v>
      </c>
      <c r="N17" s="5">
        <f t="shared" si="3"/>
        <v>49936</v>
      </c>
      <c r="O17" s="5">
        <f t="shared" si="3"/>
        <v>4218</v>
      </c>
      <c r="P17" s="5">
        <f t="shared" si="3"/>
        <v>10282</v>
      </c>
      <c r="Q17" s="5">
        <f t="shared" si="3"/>
        <v>0</v>
      </c>
      <c r="R17" s="5">
        <f t="shared" si="3"/>
        <v>-570800.43090039073</v>
      </c>
      <c r="S17" s="113"/>
    </row>
    <row r="18" spans="2:19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9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9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2997-463D-4E38-854F-DD27A408A5D9}">
  <dimension ref="A2:AE17"/>
  <sheetViews>
    <sheetView workbookViewId="0">
      <pane xSplit="2" ySplit="3" topLeftCell="F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6.109375" customWidth="1"/>
    <col min="2" max="2" width="17.88671875" bestFit="1" customWidth="1"/>
    <col min="3" max="3" width="12" customWidth="1"/>
    <col min="4" max="9" width="17.88671875" customWidth="1"/>
    <col min="10" max="10" width="14.44140625" customWidth="1"/>
    <col min="11" max="11" width="14.109375" customWidth="1"/>
    <col min="12" max="12" width="15.44140625" customWidth="1"/>
    <col min="13" max="13" width="14.44140625" customWidth="1"/>
    <col min="14" max="14" width="12.44140625" customWidth="1"/>
    <col min="15" max="15" width="15.44140625" customWidth="1"/>
    <col min="16" max="16" width="14.44140625" customWidth="1"/>
    <col min="17" max="17" width="13.44140625" customWidth="1"/>
    <col min="18" max="21" width="15.44140625" customWidth="1"/>
    <col min="22" max="22" width="14.44140625" customWidth="1"/>
    <col min="23" max="23" width="13.44140625" customWidth="1"/>
    <col min="24" max="24" width="15.44140625" customWidth="1"/>
    <col min="26" max="30" width="13.5546875" customWidth="1"/>
  </cols>
  <sheetData>
    <row r="2" spans="1:30" ht="40.200000000000003" x14ac:dyDescent="0.3">
      <c r="A2" s="22" t="s">
        <v>2</v>
      </c>
      <c r="B2" s="22" t="s">
        <v>1</v>
      </c>
      <c r="C2" s="22" t="s">
        <v>411</v>
      </c>
      <c r="D2" s="22" t="s">
        <v>212</v>
      </c>
      <c r="E2" s="22" t="s">
        <v>213</v>
      </c>
      <c r="F2" s="22" t="s">
        <v>297</v>
      </c>
      <c r="G2" s="22" t="s">
        <v>298</v>
      </c>
      <c r="H2" s="22" t="s">
        <v>214</v>
      </c>
      <c r="I2" s="22" t="s">
        <v>131</v>
      </c>
      <c r="J2" s="22" t="s">
        <v>215</v>
      </c>
      <c r="K2" s="22" t="s">
        <v>216</v>
      </c>
      <c r="L2" s="22" t="s">
        <v>217</v>
      </c>
      <c r="M2" s="22" t="s">
        <v>218</v>
      </c>
      <c r="N2" s="22" t="s">
        <v>219</v>
      </c>
      <c r="O2" s="22" t="s">
        <v>220</v>
      </c>
      <c r="P2" s="22" t="s">
        <v>299</v>
      </c>
      <c r="Q2" s="22" t="s">
        <v>300</v>
      </c>
      <c r="R2" s="22" t="s">
        <v>301</v>
      </c>
      <c r="S2" s="22" t="s">
        <v>315</v>
      </c>
      <c r="T2" s="22" t="s">
        <v>316</v>
      </c>
      <c r="U2" s="22" t="s">
        <v>317</v>
      </c>
      <c r="V2" s="22" t="s">
        <v>221</v>
      </c>
      <c r="W2" s="22" t="s">
        <v>222</v>
      </c>
      <c r="X2" s="22" t="s">
        <v>223</v>
      </c>
      <c r="Y2" s="22"/>
      <c r="Z2" s="22" t="s">
        <v>224</v>
      </c>
      <c r="AA2" s="22" t="s">
        <v>225</v>
      </c>
      <c r="AB2" s="22" t="s">
        <v>302</v>
      </c>
      <c r="AC2" s="22" t="s">
        <v>303</v>
      </c>
      <c r="AD2" s="22" t="s">
        <v>226</v>
      </c>
    </row>
    <row r="3" spans="1:30" x14ac:dyDescent="0.3">
      <c r="A3" s="107">
        <v>1</v>
      </c>
      <c r="B3" s="107">
        <f t="shared" ref="B3:AD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</row>
    <row r="5" spans="1:30" x14ac:dyDescent="0.3">
      <c r="A5" s="41">
        <v>300</v>
      </c>
      <c r="B5" s="42" t="s">
        <v>0</v>
      </c>
      <c r="C5" s="42">
        <f>+'2022 Nto driftsutg'!W5</f>
        <v>699827</v>
      </c>
      <c r="D5" s="3">
        <f>+'2022 Grunnlag korreksjoner'!D5</f>
        <v>0.71024135999999993</v>
      </c>
      <c r="E5" s="3">
        <f>+'2022 Grunnlag korreksjoner'!E5</f>
        <v>0.27176674000000001</v>
      </c>
      <c r="F5" s="3">
        <f>+'2022 Grunnlag korreksjoner'!F5</f>
        <v>1.7543052799999999</v>
      </c>
      <c r="G5" s="3">
        <f>+'2022 Grunnlag korreksjoner'!G5</f>
        <v>1.1954999999999999E-3</v>
      </c>
      <c r="H5" s="3">
        <f>+'2022 Grunnlag korreksjoner'!H5</f>
        <v>0.87472398000000007</v>
      </c>
      <c r="I5" s="2">
        <v>0.749</v>
      </c>
      <c r="J5" s="5">
        <f>(D5-1)*'2022 Nto driftsutg landet'!$C$5*C5</f>
        <v>-1307641298.1609933</v>
      </c>
      <c r="K5" s="5">
        <f t="shared" ref="K5:K15" si="1">+J5-$J$17*C5/$C$17</f>
        <v>-1307719995.3749275</v>
      </c>
      <c r="L5" s="5">
        <f t="shared" ref="L5:L15" si="2">+K5/C5</f>
        <v>-1868.6332413223947</v>
      </c>
      <c r="M5" s="5">
        <f>(E5-1)*'2022 Nto driftsutg landet'!$C$6*$C5</f>
        <v>-922626809.34164333</v>
      </c>
      <c r="N5" s="5">
        <f t="shared" ref="N5:N15" si="3">+M5-$M$17*$C5/$C$17</f>
        <v>-923822141.97554815</v>
      </c>
      <c r="O5" s="5">
        <f t="shared" ref="O5:O15" si="4">+N5/$C5</f>
        <v>-1320.0721635140515</v>
      </c>
      <c r="P5" s="5">
        <f>(F5-1)*'2022 Nto driftsutg landet'!$C$7*$C5</f>
        <v>1304638636.2988296</v>
      </c>
      <c r="Q5" s="5">
        <f t="shared" ref="Q5:Q15" si="5">+P5-$P$17*$C5/$C$17</f>
        <v>1304124868.7804043</v>
      </c>
      <c r="R5" s="5">
        <f t="shared" ref="R5:R15" si="6">+Q5/$C5</f>
        <v>1863.4960765737881</v>
      </c>
      <c r="S5" s="5">
        <f>(G5-1)*'2022 Nto driftsutg landet'!$C$8*$C5</f>
        <v>-650854800.57612109</v>
      </c>
      <c r="T5" s="5">
        <f t="shared" ref="T5:T15" si="7">+S5-$S$17*$C5/$C$17</f>
        <v>-652322956.85617518</v>
      </c>
      <c r="U5" s="5">
        <f t="shared" ref="U5:U15" si="8">+T5/$C5</f>
        <v>-932.12030524140278</v>
      </c>
      <c r="V5" s="5">
        <f>(H5-1)*'2022 Nto driftsutg landet'!$C$9*$C5</f>
        <v>-46624491.839030124</v>
      </c>
      <c r="W5" s="5">
        <f t="shared" ref="W5:W15" si="9">+V5-$V$17*$C5/$C$17</f>
        <v>-46610900.161620893</v>
      </c>
      <c r="X5" s="5">
        <f t="shared" ref="X5:X15" si="10">+W5/$C5</f>
        <v>-66.603460800484825</v>
      </c>
      <c r="Z5" s="2">
        <f>1+L5/'2022 Nto driftsutg landet'!$C$5</f>
        <v>0.71022392158037106</v>
      </c>
      <c r="AA5" s="2">
        <f>1+O5/'2022 Nto driftsutg landet'!$C$6</f>
        <v>0.270823258874198</v>
      </c>
      <c r="AB5" s="2">
        <f>1+R5/'2022 Nto driftsutg landet'!$C$7</f>
        <v>1.7540082341046399</v>
      </c>
      <c r="AC5" s="2">
        <f>1+U5/'2022 Nto driftsutg landet'!$C$8</f>
        <v>-1.0575387698197325E-3</v>
      </c>
      <c r="AD5" s="2">
        <f>1+X5/'2022 Nto driftsutg landet'!$C$9</f>
        <v>0.87476049967418401</v>
      </c>
    </row>
    <row r="6" spans="1:30" x14ac:dyDescent="0.3">
      <c r="A6" s="41">
        <v>1100</v>
      </c>
      <c r="B6" s="42" t="s">
        <v>139</v>
      </c>
      <c r="C6" s="42">
        <f>+'2022 Nto driftsutg'!W6</f>
        <v>485797</v>
      </c>
      <c r="D6" s="3">
        <f>+'2022 Grunnlag korreksjoner'!D6</f>
        <v>1.07050008</v>
      </c>
      <c r="E6" s="3">
        <f>+'2022 Grunnlag korreksjoner'!E6</f>
        <v>0.80741668</v>
      </c>
      <c r="F6" s="3">
        <f>+'2022 Grunnlag korreksjoner'!F6</f>
        <v>1.0211484799999999</v>
      </c>
      <c r="G6" s="3">
        <f>+'2022 Grunnlag korreksjoner'!G6</f>
        <v>0.74883710000000003</v>
      </c>
      <c r="H6" s="3">
        <f>+'2022 Grunnlag korreksjoner'!H6</f>
        <v>1.0760788699999999</v>
      </c>
      <c r="I6" s="2">
        <v>0.98709999999999998</v>
      </c>
      <c r="J6" s="5">
        <f>(D6-1)*'2022 Nto driftsutg landet'!$C$5*C6</f>
        <v>220854360.28378069</v>
      </c>
      <c r="K6" s="5">
        <f t="shared" si="1"/>
        <v>220799731.25340956</v>
      </c>
      <c r="L6" s="5">
        <f t="shared" si="2"/>
        <v>454.51028156495317</v>
      </c>
      <c r="M6" s="5">
        <f>(E6-1)*'2022 Nto driftsutg landet'!$C$6*$C6</f>
        <v>-169370731.69368565</v>
      </c>
      <c r="N6" s="5">
        <f t="shared" si="3"/>
        <v>-170200492.48821494</v>
      </c>
      <c r="O6" s="5">
        <f t="shared" si="4"/>
        <v>-350.35311557752505</v>
      </c>
      <c r="P6" s="5">
        <f>(F6-1)*'2022 Nto driftsutg landet'!$C$7*$C6</f>
        <v>25391384.472315963</v>
      </c>
      <c r="Q6" s="5">
        <f t="shared" si="5"/>
        <v>25034743.875213508</v>
      </c>
      <c r="R6" s="5">
        <f t="shared" si="6"/>
        <v>51.533343917754756</v>
      </c>
      <c r="S6" s="5">
        <f>(G6-1)*'2022 Nto driftsutg landet'!$C$8*$C6</f>
        <v>-113611748.98129706</v>
      </c>
      <c r="T6" s="5">
        <f t="shared" si="7"/>
        <v>-114630895.02222067</v>
      </c>
      <c r="U6" s="5">
        <f t="shared" si="8"/>
        <v>-235.96460048584217</v>
      </c>
      <c r="V6" s="5">
        <f>(H6-1)*'2022 Nto driftsutg landet'!$C$9*$C6</f>
        <v>19655059.006422311</v>
      </c>
      <c r="W6" s="5">
        <f t="shared" si="9"/>
        <v>19664493.904061832</v>
      </c>
      <c r="X6" s="5">
        <f t="shared" si="10"/>
        <v>40.478829437114335</v>
      </c>
      <c r="Z6" s="2">
        <f>1+L6/'2022 Nto driftsutg landet'!$C$5</f>
        <v>1.0704826415803712</v>
      </c>
      <c r="AA6" s="2">
        <f>1+O6/'2022 Nto driftsutg landet'!$C$6</f>
        <v>0.80647319887419788</v>
      </c>
      <c r="AB6" s="2">
        <f>1+R6/'2022 Nto driftsutg landet'!$C$7</f>
        <v>1.02085143410464</v>
      </c>
      <c r="AC6" s="2">
        <f>1+U6/'2022 Nto driftsutg landet'!$C$8</f>
        <v>0.74658406123018028</v>
      </c>
      <c r="AD6" s="2">
        <f>1+X6/'2022 Nto driftsutg landet'!$C$9</f>
        <v>1.0761153896741837</v>
      </c>
    </row>
    <row r="7" spans="1:30" x14ac:dyDescent="0.3">
      <c r="A7" s="41">
        <v>1500</v>
      </c>
      <c r="B7" s="42" t="s">
        <v>140</v>
      </c>
      <c r="C7" s="42">
        <f>+'2022 Nto driftsutg'!W7</f>
        <v>265848</v>
      </c>
      <c r="D7" s="3">
        <f>+'2022 Grunnlag korreksjoner'!D7</f>
        <v>1.11393319</v>
      </c>
      <c r="E7" s="3">
        <f>+'2022 Grunnlag korreksjoner'!E7</f>
        <v>1.5473002600000001</v>
      </c>
      <c r="F7" s="3">
        <f>+'2022 Grunnlag korreksjoner'!F7</f>
        <v>0.9953996799999999</v>
      </c>
      <c r="G7" s="3">
        <f>+'2022 Grunnlag korreksjoner'!G7</f>
        <v>3.08348662</v>
      </c>
      <c r="H7" s="3">
        <f>+'2022 Grunnlag korreksjoner'!H7</f>
        <v>1.03004516</v>
      </c>
      <c r="I7" s="2">
        <v>1.3223</v>
      </c>
      <c r="J7" s="5">
        <f>(D7-1)*'2022 Nto driftsutg landet'!$C$5*C7</f>
        <v>195319315.78694707</v>
      </c>
      <c r="K7" s="5">
        <f t="shared" si="1"/>
        <v>195289420.5457947</v>
      </c>
      <c r="L7" s="5">
        <f t="shared" si="2"/>
        <v>734.59051994295498</v>
      </c>
      <c r="M7" s="5">
        <f>(E7-1)*'2022 Nto driftsutg landet'!$C$6*$C7</f>
        <v>263404941.25813156</v>
      </c>
      <c r="N7" s="5">
        <f t="shared" si="3"/>
        <v>262950862.19279352</v>
      </c>
      <c r="O7" s="5">
        <f t="shared" si="4"/>
        <v>989.10227721402271</v>
      </c>
      <c r="P7" s="5">
        <f>(F7-1)*'2022 Nto driftsutg landet'!$C$7*$C7</f>
        <v>-3022552.367337021</v>
      </c>
      <c r="Q7" s="5">
        <f t="shared" si="5"/>
        <v>-3217720.6978505771</v>
      </c>
      <c r="R7" s="5">
        <f t="shared" si="6"/>
        <v>-12.103610701794173</v>
      </c>
      <c r="S7" s="5">
        <f>(G7-1)*'2022 Nto driftsutg landet'!$C$8*$C7</f>
        <v>515747392.98589253</v>
      </c>
      <c r="T7" s="5">
        <f t="shared" si="7"/>
        <v>515189674.56299686</v>
      </c>
      <c r="U7" s="5">
        <f t="shared" si="8"/>
        <v>1937.9106653538747</v>
      </c>
      <c r="V7" s="5">
        <f>(H7-1)*'2022 Nto driftsutg landet'!$C$9*$C7</f>
        <v>4247793.4270276176</v>
      </c>
      <c r="W7" s="5">
        <f t="shared" si="9"/>
        <v>4252956.5891460972</v>
      </c>
      <c r="X7" s="5">
        <f t="shared" si="10"/>
        <v>15.997700148754541</v>
      </c>
      <c r="Z7" s="2">
        <f>1+L7/'2022 Nto driftsutg landet'!$C$5</f>
        <v>1.1139157515803713</v>
      </c>
      <c r="AA7" s="2">
        <f>1+O7/'2022 Nto driftsutg landet'!$C$6</f>
        <v>1.5463567788741979</v>
      </c>
      <c r="AB7" s="2">
        <f>1+R7/'2022 Nto driftsutg landet'!$C$7</f>
        <v>0.99510263410463984</v>
      </c>
      <c r="AC7" s="2">
        <f>1+U7/'2022 Nto driftsutg landet'!$C$8</f>
        <v>3.0812335812301805</v>
      </c>
      <c r="AD7" s="2">
        <f>1+X7/'2022 Nto driftsutg landet'!$C$9</f>
        <v>1.0300816796741838</v>
      </c>
    </row>
    <row r="8" spans="1:30" x14ac:dyDescent="0.3">
      <c r="A8" s="41">
        <v>1800</v>
      </c>
      <c r="B8" s="42" t="s">
        <v>141</v>
      </c>
      <c r="C8" s="42">
        <f>+'2022 Nto driftsutg'!W8</f>
        <v>240190</v>
      </c>
      <c r="D8" s="3">
        <f>+'2022 Grunnlag korreksjoner'!D8</f>
        <v>1.0739446699999999</v>
      </c>
      <c r="E8" s="3">
        <f>+'2022 Grunnlag korreksjoner'!E8</f>
        <v>1.75356388</v>
      </c>
      <c r="F8" s="3">
        <f>+'2022 Grunnlag korreksjoner'!F8</f>
        <v>1.0204600800000001</v>
      </c>
      <c r="G8" s="3">
        <f>+'2022 Grunnlag korreksjoner'!G8</f>
        <v>5.3669618200000002</v>
      </c>
      <c r="H8" s="3">
        <f>+'2022 Grunnlag korreksjoner'!H8</f>
        <v>0.98230778000000007</v>
      </c>
      <c r="I8" s="2">
        <v>1.5132000000000001</v>
      </c>
      <c r="J8" s="5">
        <f>(D8-1)*'2022 Nto driftsutg landet'!$C$5*C8</f>
        <v>114531074.92979217</v>
      </c>
      <c r="K8" s="5">
        <f t="shared" si="1"/>
        <v>114504064.99188633</v>
      </c>
      <c r="L8" s="5">
        <f t="shared" si="2"/>
        <v>476.72286519791135</v>
      </c>
      <c r="M8" s="5">
        <f>(E8-1)*'2022 Nto driftsutg landet'!$C$6*$C8</f>
        <v>327672399.59493148</v>
      </c>
      <c r="N8" s="5">
        <f t="shared" si="3"/>
        <v>327262145.42448992</v>
      </c>
      <c r="O8" s="5">
        <f t="shared" si="4"/>
        <v>1362.513615989383</v>
      </c>
      <c r="P8" s="5">
        <f>(F8-1)*'2022 Nto driftsutg landet'!$C$7*$C8</f>
        <v>12145478.898357704</v>
      </c>
      <c r="Q8" s="5">
        <f t="shared" si="5"/>
        <v>11969147.004546011</v>
      </c>
      <c r="R8" s="5">
        <f t="shared" si="6"/>
        <v>49.831995522486409</v>
      </c>
      <c r="S8" s="5">
        <f>(G8-1)*'2022 Nto driftsutg landet'!$C$8*$C8</f>
        <v>976668644.77459288</v>
      </c>
      <c r="T8" s="5">
        <f t="shared" si="7"/>
        <v>976164753.87454724</v>
      </c>
      <c r="U8" s="5">
        <f t="shared" si="8"/>
        <v>4064.1357003811449</v>
      </c>
      <c r="V8" s="5">
        <f>(H8-1)*'2022 Nto driftsutg landet'!$C$9*$C8</f>
        <v>-2259918.218673585</v>
      </c>
      <c r="W8" s="5">
        <f t="shared" si="9"/>
        <v>-2255253.3729375345</v>
      </c>
      <c r="X8" s="5">
        <f t="shared" si="10"/>
        <v>-9.3894557347830236</v>
      </c>
      <c r="Z8" s="2">
        <f>1+L8/'2022 Nto driftsutg landet'!$C$5</f>
        <v>1.0739272315803712</v>
      </c>
      <c r="AA8" s="2">
        <f>1+O8/'2022 Nto driftsutg landet'!$C$6</f>
        <v>1.752620398874198</v>
      </c>
      <c r="AB8" s="2">
        <f>1+R8/'2022 Nto driftsutg landet'!$C$7</f>
        <v>1.0201630341046402</v>
      </c>
      <c r="AC8" s="2">
        <f>1+U8/'2022 Nto driftsutg landet'!$C$8</f>
        <v>5.3647087812301804</v>
      </c>
      <c r="AD8" s="2">
        <f>1+X8/'2022 Nto driftsutg landet'!$C$9</f>
        <v>0.98234429967418402</v>
      </c>
    </row>
    <row r="9" spans="1:30" x14ac:dyDescent="0.3">
      <c r="A9" s="41">
        <v>3000</v>
      </c>
      <c r="B9" s="42" t="s">
        <v>403</v>
      </c>
      <c r="C9" s="42">
        <f>+'2022 Nto driftsutg'!W9</f>
        <v>1269230</v>
      </c>
      <c r="D9" s="3">
        <f>+'2022 Grunnlag korreksjoner'!D9</f>
        <v>1.0186378599999999</v>
      </c>
      <c r="E9" s="3">
        <f>+'2022 Grunnlag korreksjoner'!E9</f>
        <v>0.64148788000000012</v>
      </c>
      <c r="F9" s="3">
        <f>+'2022 Grunnlag korreksjoner'!F9</f>
        <v>0.65952591999999999</v>
      </c>
      <c r="G9" s="3">
        <f>+'2022 Grunnlag korreksjoner'!G9</f>
        <v>6.9758440000000005E-2</v>
      </c>
      <c r="H9" s="3">
        <f>+'2022 Grunnlag korreksjoner'!H9</f>
        <v>1.0247303400000001</v>
      </c>
      <c r="I9" s="2">
        <v>0.81579999999999997</v>
      </c>
      <c r="J9" s="5">
        <f>(D9-1)*'2022 Nto driftsutg landet'!$C$5*C9</f>
        <v>152544977.57295477</v>
      </c>
      <c r="K9" s="5">
        <f t="shared" si="1"/>
        <v>152402249.63470495</v>
      </c>
      <c r="L9" s="5">
        <f t="shared" si="2"/>
        <v>120.07457248465995</v>
      </c>
      <c r="M9" s="5">
        <f>(E9-1)*'2022 Nto driftsutg landet'!$C$6*$C9</f>
        <v>-823775813.52728331</v>
      </c>
      <c r="N9" s="5">
        <f t="shared" si="3"/>
        <v>-825943709.36286974</v>
      </c>
      <c r="O9" s="5">
        <f t="shared" si="4"/>
        <v>-650.74392297918405</v>
      </c>
      <c r="P9" s="5">
        <f>(F9-1)*'2022 Nto driftsutg landet'!$C$7*$C9</f>
        <v>-1068013587.4030069</v>
      </c>
      <c r="Q9" s="5">
        <f t="shared" si="5"/>
        <v>-1068945373.6121856</v>
      </c>
      <c r="R9" s="5">
        <f t="shared" si="6"/>
        <v>-842.19989569438599</v>
      </c>
      <c r="S9" s="5">
        <f>(G9-1)*'2022 Nto driftsutg landet'!$C$8*$C9</f>
        <v>-1099382944.6934366</v>
      </c>
      <c r="T9" s="5">
        <f t="shared" si="7"/>
        <v>-1102045642.7535758</v>
      </c>
      <c r="U9" s="5">
        <f t="shared" si="8"/>
        <v>-868.27891142943031</v>
      </c>
      <c r="V9" s="5">
        <f>(H9-1)*'2022 Nto driftsutg landet'!$C$9*$C9</f>
        <v>16692673.002086816</v>
      </c>
      <c r="W9" s="5">
        <f t="shared" si="9"/>
        <v>16717323.329550771</v>
      </c>
      <c r="X9" s="5">
        <f t="shared" si="10"/>
        <v>13.17123242402935</v>
      </c>
      <c r="Z9" s="2">
        <f>1+L9/'2022 Nto driftsutg landet'!$C$5</f>
        <v>1.0186204215803711</v>
      </c>
      <c r="AA9" s="2">
        <f>1+O9/'2022 Nto driftsutg landet'!$C$6</f>
        <v>0.64054439887419801</v>
      </c>
      <c r="AB9" s="2">
        <f>1+R9/'2022 Nto driftsutg landet'!$C$7</f>
        <v>0.65922887410463993</v>
      </c>
      <c r="AC9" s="2">
        <f>1+U9/'2022 Nto driftsutg landet'!$C$8</f>
        <v>6.7505401230180229E-2</v>
      </c>
      <c r="AD9" s="2">
        <f>1+X9/'2022 Nto driftsutg landet'!$C$9</f>
        <v>1.0247668596741839</v>
      </c>
    </row>
    <row r="10" spans="1:30" x14ac:dyDescent="0.3">
      <c r="A10" s="41">
        <v>3400</v>
      </c>
      <c r="B10" s="42" t="s">
        <v>404</v>
      </c>
      <c r="C10" s="42">
        <f>+'2022 Nto driftsutg'!W10</f>
        <v>371253</v>
      </c>
      <c r="D10" s="3">
        <f>+'2022 Grunnlag korreksjoner'!D10</f>
        <v>1.0114143099999999</v>
      </c>
      <c r="E10" s="3">
        <f>+'2022 Grunnlag korreksjoner'!E10</f>
        <v>1.5407690200000002</v>
      </c>
      <c r="F10" s="3">
        <f>+'2022 Grunnlag korreksjoner'!F10</f>
        <v>1.0059225599999999</v>
      </c>
      <c r="G10" s="3">
        <f>+'2022 Grunnlag korreksjoner'!G10</f>
        <v>3.7465999999999999E-2</v>
      </c>
      <c r="H10" s="3">
        <f>+'2022 Grunnlag korreksjoner'!H10</f>
        <v>0.9667207000000001</v>
      </c>
      <c r="I10" s="2">
        <v>1.0403</v>
      </c>
      <c r="J10" s="5">
        <f>(D10-1)*'2022 Nto driftsutg landet'!$C$5*C10</f>
        <v>27326321.564739212</v>
      </c>
      <c r="K10" s="5">
        <f t="shared" si="1"/>
        <v>27284573.280142199</v>
      </c>
      <c r="L10" s="5">
        <f t="shared" si="2"/>
        <v>73.49320619669659</v>
      </c>
      <c r="M10" s="5">
        <f>(E10-1)*'2022 Nto driftsutg landet'!$C$6*$C10</f>
        <v>363451646.83569473</v>
      </c>
      <c r="N10" s="5">
        <f t="shared" si="3"/>
        <v>362817531.79535609</v>
      </c>
      <c r="O10" s="5">
        <f t="shared" si="4"/>
        <v>977.27838373119164</v>
      </c>
      <c r="P10" s="5">
        <f>(F10-1)*'2022 Nto driftsutg landet'!$C$7*$C10</f>
        <v>5434152.6636409732</v>
      </c>
      <c r="Q10" s="5">
        <f t="shared" si="5"/>
        <v>5161602.829870739</v>
      </c>
      <c r="R10" s="5">
        <f t="shared" si="6"/>
        <v>13.903194936797114</v>
      </c>
      <c r="S10" s="5">
        <f>(G10-1)*'2022 Nto driftsutg landet'!$C$8*$C10</f>
        <v>-332735377.6653769</v>
      </c>
      <c r="T10" s="5">
        <f t="shared" si="7"/>
        <v>-333514223.61364543</v>
      </c>
      <c r="U10" s="5">
        <f t="shared" si="8"/>
        <v>-898.34755170637118</v>
      </c>
      <c r="V10" s="5">
        <f>(H10-1)*'2022 Nto driftsutg landet'!$C$9*$C10</f>
        <v>-6570518.2288068151</v>
      </c>
      <c r="W10" s="5">
        <f t="shared" si="9"/>
        <v>-6563307.9453893295</v>
      </c>
      <c r="X10" s="5">
        <f t="shared" si="10"/>
        <v>-17.678801101645856</v>
      </c>
      <c r="Z10" s="2">
        <f>1+L10/'2022 Nto driftsutg landet'!$C$5</f>
        <v>1.0113968715803712</v>
      </c>
      <c r="AA10" s="2">
        <f>1+O10/'2022 Nto driftsutg landet'!$C$6</f>
        <v>1.5398255388741982</v>
      </c>
      <c r="AB10" s="2">
        <f>1+R10/'2022 Nto driftsutg landet'!$C$7</f>
        <v>1.00562551410464</v>
      </c>
      <c r="AC10" s="2">
        <f>1+U10/'2022 Nto driftsutg landet'!$C$8</f>
        <v>3.5212961230180362E-2</v>
      </c>
      <c r="AD10" s="2">
        <f>1+X10/'2022 Nto driftsutg landet'!$C$9</f>
        <v>0.96675721967418404</v>
      </c>
    </row>
    <row r="11" spans="1:30" x14ac:dyDescent="0.3">
      <c r="A11" s="41">
        <v>3800</v>
      </c>
      <c r="B11" s="42" t="s">
        <v>405</v>
      </c>
      <c r="C11" s="42">
        <f>+'2022 Nto driftsutg'!W11</f>
        <v>424832</v>
      </c>
      <c r="D11" s="3">
        <f>+'2022 Grunnlag korreksjoner'!D11</f>
        <v>1.01806916</v>
      </c>
      <c r="E11" s="3">
        <f>+'2022 Grunnlag korreksjoner'!E11</f>
        <v>0.95163352000000012</v>
      </c>
      <c r="F11" s="3">
        <f>+'2022 Grunnlag korreksjoner'!F11</f>
        <v>0.72960991999999991</v>
      </c>
      <c r="G11" s="3">
        <f>+'2022 Grunnlag korreksjoner'!G11</f>
        <v>0.13406012</v>
      </c>
      <c r="H11" s="3">
        <f>+'2022 Grunnlag korreksjoner'!H11</f>
        <v>0.99232936000000005</v>
      </c>
      <c r="I11" s="2">
        <v>0.89119999999999999</v>
      </c>
      <c r="J11" s="5">
        <f>(D11-1)*'2022 Nto driftsutg landet'!$C$5*C11</f>
        <v>49501313.748401254</v>
      </c>
      <c r="K11" s="5">
        <f t="shared" si="1"/>
        <v>49453540.377568103</v>
      </c>
      <c r="L11" s="5">
        <f t="shared" si="2"/>
        <v>116.40728659227202</v>
      </c>
      <c r="M11" s="5">
        <f>(E11-1)*'2022 Nto driftsutg landet'!$C$6*$C11</f>
        <v>-37198597.800294489</v>
      </c>
      <c r="N11" s="5">
        <f t="shared" si="3"/>
        <v>-37924227.925349735</v>
      </c>
      <c r="O11" s="5">
        <f t="shared" si="4"/>
        <v>-89.268764889061401</v>
      </c>
      <c r="P11" s="5">
        <f>(F11-1)*'2022 Nto driftsutg landet'!$C$7*$C11</f>
        <v>-283896717.08459401</v>
      </c>
      <c r="Q11" s="5">
        <f t="shared" si="5"/>
        <v>-284208601.13934988</v>
      </c>
      <c r="R11" s="5">
        <f t="shared" si="6"/>
        <v>-668.99056836431782</v>
      </c>
      <c r="S11" s="5">
        <f>(G11-1)*'2022 Nto driftsutg landet'!$C$8*$C11</f>
        <v>-342545204.00012839</v>
      </c>
      <c r="T11" s="5">
        <f t="shared" si="7"/>
        <v>-343436452.50692785</v>
      </c>
      <c r="U11" s="5">
        <f t="shared" si="8"/>
        <v>-808.40532847555698</v>
      </c>
      <c r="V11" s="5">
        <f>(H11-1)*'2022 Nto driftsutg landet'!$C$9*$C11</f>
        <v>-1733022.8658244163</v>
      </c>
      <c r="W11" s="5">
        <f t="shared" si="9"/>
        <v>-1724771.9988285473</v>
      </c>
      <c r="X11" s="5">
        <f t="shared" si="10"/>
        <v>-4.0598919074564703</v>
      </c>
      <c r="Z11" s="2">
        <f>1+L11/'2022 Nto driftsutg landet'!$C$5</f>
        <v>1.0180517215803713</v>
      </c>
      <c r="AA11" s="2">
        <f>1+O11/'2022 Nto driftsutg landet'!$C$6</f>
        <v>0.95069003887419801</v>
      </c>
      <c r="AB11" s="2">
        <f>1+R11/'2022 Nto driftsutg landet'!$C$7</f>
        <v>0.72931287410463996</v>
      </c>
      <c r="AC11" s="2">
        <f>1+U11/'2022 Nto driftsutg landet'!$C$8</f>
        <v>0.13180708123018026</v>
      </c>
      <c r="AD11" s="2">
        <f>1+X11/'2022 Nto driftsutg landet'!$C$9</f>
        <v>0.99236587967418399</v>
      </c>
    </row>
    <row r="12" spans="1:30" x14ac:dyDescent="0.3">
      <c r="A12" s="41">
        <v>4200</v>
      </c>
      <c r="B12" s="42" t="s">
        <v>406</v>
      </c>
      <c r="C12" s="42">
        <f>+'2022 Nto driftsutg'!W12</f>
        <v>311134</v>
      </c>
      <c r="D12" s="3">
        <f>+'2022 Grunnlag korreksjoner'!D12</f>
        <v>1.0686202599999999</v>
      </c>
      <c r="E12" s="3">
        <f>+'2022 Grunnlag korreksjoner'!E12</f>
        <v>1.15154242</v>
      </c>
      <c r="F12" s="3">
        <f>+'2022 Grunnlag korreksjoner'!F12</f>
        <v>0.82527287999999999</v>
      </c>
      <c r="G12" s="3">
        <f>+'2022 Grunnlag korreksjoner'!G12</f>
        <v>0.22924375999999999</v>
      </c>
      <c r="H12" s="3">
        <f>+'2022 Grunnlag korreksjoner'!H12</f>
        <v>1.0503528199999999</v>
      </c>
      <c r="I12" s="2">
        <v>0.98209999999999997</v>
      </c>
      <c r="J12" s="5">
        <f>(D12-1)*'2022 Nto driftsutg landet'!$C$5*C12</f>
        <v>137676992.73725474</v>
      </c>
      <c r="K12" s="5">
        <f t="shared" si="1"/>
        <v>137642004.97747958</v>
      </c>
      <c r="L12" s="5">
        <f t="shared" si="2"/>
        <v>442.38818315413801</v>
      </c>
      <c r="M12" s="5">
        <f>(E12-1)*'2022 Nto driftsutg landet'!$C$6*$C12</f>
        <v>85358457.121369749</v>
      </c>
      <c r="N12" s="5">
        <f t="shared" si="3"/>
        <v>84827027.748514265</v>
      </c>
      <c r="O12" s="5">
        <f t="shared" si="4"/>
        <v>272.63824509219262</v>
      </c>
      <c r="P12" s="5">
        <f>(F12-1)*'2022 Nto driftsutg landet'!$C$7*$C12</f>
        <v>-134356965.03852871</v>
      </c>
      <c r="Q12" s="5">
        <f t="shared" si="5"/>
        <v>-134585379.40819108</v>
      </c>
      <c r="R12" s="5">
        <f t="shared" si="6"/>
        <v>-432.5640380292449</v>
      </c>
      <c r="S12" s="5">
        <f>(G12-1)*'2022 Nto driftsutg landet'!$C$8*$C12</f>
        <v>-223294203.82027665</v>
      </c>
      <c r="T12" s="5">
        <f t="shared" si="7"/>
        <v>-223946927.0447855</v>
      </c>
      <c r="U12" s="5">
        <f t="shared" si="8"/>
        <v>-719.77645337631213</v>
      </c>
      <c r="V12" s="5">
        <f>(H12-1)*'2022 Nto driftsutg landet'!$C$9*$C12</f>
        <v>8331567.9483397203</v>
      </c>
      <c r="W12" s="5">
        <f t="shared" si="9"/>
        <v>8337610.6316872379</v>
      </c>
      <c r="X12" s="5">
        <f t="shared" si="10"/>
        <v>26.797491214998161</v>
      </c>
      <c r="Z12" s="2">
        <f>1+L12/'2022 Nto driftsutg landet'!$C$5</f>
        <v>1.0686028215803711</v>
      </c>
      <c r="AA12" s="2">
        <f>1+O12/'2022 Nto driftsutg landet'!$C$6</f>
        <v>1.1505989388741977</v>
      </c>
      <c r="AB12" s="2">
        <f>1+R12/'2022 Nto driftsutg landet'!$C$7</f>
        <v>0.82497583410464004</v>
      </c>
      <c r="AC12" s="2">
        <f>1+U12/'2022 Nto driftsutg landet'!$C$8</f>
        <v>0.22699072123018027</v>
      </c>
      <c r="AD12" s="2">
        <f>1+X12/'2022 Nto driftsutg landet'!$C$9</f>
        <v>1.0503893396741837</v>
      </c>
    </row>
    <row r="13" spans="1:30" x14ac:dyDescent="0.3">
      <c r="A13" s="41">
        <v>4600</v>
      </c>
      <c r="B13" s="42" t="s">
        <v>407</v>
      </c>
      <c r="C13" s="42">
        <f>+'2022 Nto driftsutg'!W13</f>
        <v>641292</v>
      </c>
      <c r="D13" s="3">
        <f>+'2022 Grunnlag korreksjoner'!D13</f>
        <v>1.0600025</v>
      </c>
      <c r="E13" s="3">
        <f>+'2022 Grunnlag korreksjoner'!E13</f>
        <v>1.1855225199999999</v>
      </c>
      <c r="F13" s="3">
        <f>+'2022 Grunnlag korreksjoner'!F13</f>
        <v>1.0005352000000001</v>
      </c>
      <c r="G13" s="3">
        <f>+'2022 Grunnlag korreksjoner'!G13</f>
        <v>2.1551446599999999</v>
      </c>
      <c r="H13" s="3">
        <f>+'2022 Grunnlag korreksjoner'!H13</f>
        <v>1.0314929100000001</v>
      </c>
      <c r="I13" s="2">
        <v>1.155</v>
      </c>
      <c r="J13" s="5">
        <f>(D13-1)*'2022 Nto driftsutg landet'!$C$5*C13</f>
        <v>248134246.12777871</v>
      </c>
      <c r="K13" s="5">
        <f t="shared" si="1"/>
        <v>248062131.31409159</v>
      </c>
      <c r="L13" s="5">
        <f t="shared" si="2"/>
        <v>386.81619498464289</v>
      </c>
      <c r="M13" s="5">
        <f>(E13-1)*'2022 Nto driftsutg landet'!$C$6*$C13</f>
        <v>215385926.55840024</v>
      </c>
      <c r="N13" s="5">
        <f t="shared" si="3"/>
        <v>214290574.05633608</v>
      </c>
      <c r="O13" s="5">
        <f t="shared" si="4"/>
        <v>334.15444767178769</v>
      </c>
      <c r="P13" s="5">
        <f>(F13-1)*'2022 Nto driftsutg landet'!$C$7*$C13</f>
        <v>848250.88437087764</v>
      </c>
      <c r="Q13" s="5">
        <f t="shared" si="5"/>
        <v>377455.96015967679</v>
      </c>
      <c r="R13" s="5">
        <f t="shared" si="6"/>
        <v>0.58858672829175596</v>
      </c>
      <c r="S13" s="5">
        <f>(G13-1)*'2022 Nto driftsutg landet'!$C$8*$C13</f>
        <v>689771307.72981501</v>
      </c>
      <c r="T13" s="5">
        <f t="shared" si="7"/>
        <v>688425951.12432754</v>
      </c>
      <c r="U13" s="5">
        <f t="shared" si="8"/>
        <v>1073.4984236889397</v>
      </c>
      <c r="V13" s="5">
        <f>(H13-1)*'2022 Nto driftsutg landet'!$C$9*$C13</f>
        <v>10740489.732999051</v>
      </c>
      <c r="W13" s="5">
        <f t="shared" si="9"/>
        <v>10752944.573965633</v>
      </c>
      <c r="X13" s="5">
        <f t="shared" si="10"/>
        <v>16.767626251326437</v>
      </c>
      <c r="Z13" s="2">
        <f>1+L13/'2022 Nto driftsutg landet'!$C$5</f>
        <v>1.0599850615803712</v>
      </c>
      <c r="AA13" s="2">
        <f>1+O13/'2022 Nto driftsutg landet'!$C$6</f>
        <v>1.1845790388741979</v>
      </c>
      <c r="AB13" s="2">
        <f>1+R13/'2022 Nto driftsutg landet'!$C$7</f>
        <v>1.0002381541046401</v>
      </c>
      <c r="AC13" s="2">
        <f>1+U13/'2022 Nto driftsutg landet'!$C$8</f>
        <v>2.1528916212301801</v>
      </c>
      <c r="AD13" s="2">
        <f>1+X13/'2022 Nto driftsutg landet'!$C$9</f>
        <v>1.0315294296741839</v>
      </c>
    </row>
    <row r="14" spans="1:30" x14ac:dyDescent="0.3">
      <c r="A14" s="41">
        <v>5000</v>
      </c>
      <c r="B14" s="42" t="s">
        <v>388</v>
      </c>
      <c r="C14" s="42">
        <f>+'2022 Nto driftsutg'!W14</f>
        <v>474131</v>
      </c>
      <c r="D14" s="3">
        <f>+'2022 Grunnlag korreksjoner'!D14</f>
        <v>1.02035371</v>
      </c>
      <c r="E14" s="3">
        <f>+'2022 Grunnlag korreksjoner'!E14</f>
        <v>1.2804020200000001</v>
      </c>
      <c r="F14" s="3">
        <f>+'2022 Grunnlag korreksjoner'!F14</f>
        <v>1.0615868000000002</v>
      </c>
      <c r="G14" s="3">
        <f>+'2022 Grunnlag korreksjoner'!G14</f>
        <v>1.2282993799999999</v>
      </c>
      <c r="H14" s="3">
        <f>+'2022 Grunnlag korreksjoner'!H14</f>
        <v>1.0043769899999999</v>
      </c>
      <c r="I14" s="2">
        <v>1.0929</v>
      </c>
      <c r="J14" s="5">
        <f>(D14-1)*'2022 Nto driftsutg landet'!$C$5*C14</f>
        <v>62230526.243643023</v>
      </c>
      <c r="K14" s="5">
        <f t="shared" si="1"/>
        <v>62177209.082773574</v>
      </c>
      <c r="L14" s="5">
        <f t="shared" si="2"/>
        <v>131.13930344730375</v>
      </c>
      <c r="M14" s="5">
        <f>(E14-1)*'2022 Nto driftsutg landet'!$C$6*$C14</f>
        <v>240682412.14548093</v>
      </c>
      <c r="N14" s="5">
        <f t="shared" si="3"/>
        <v>239872577.34767246</v>
      </c>
      <c r="O14" s="5">
        <f t="shared" si="4"/>
        <v>505.92046786156664</v>
      </c>
      <c r="P14" s="5">
        <f>(F14-1)*'2022 Nto driftsutg landet'!$C$7*$C14</f>
        <v>72166955.617106557</v>
      </c>
      <c r="Q14" s="5">
        <f t="shared" si="5"/>
        <v>71818879.439310506</v>
      </c>
      <c r="R14" s="5">
        <f t="shared" si="6"/>
        <v>151.47476001212851</v>
      </c>
      <c r="S14" s="5">
        <f>(G14-1)*'2022 Nto driftsutg landet'!$C$8*$C14</f>
        <v>100789667.34901819</v>
      </c>
      <c r="T14" s="5">
        <f t="shared" si="7"/>
        <v>99794995.229739666</v>
      </c>
      <c r="U14" s="5">
        <f t="shared" si="8"/>
        <v>210.47979404371296</v>
      </c>
      <c r="V14" s="5">
        <f>(H14-1)*'2022 Nto driftsutg landet'!$C$9*$C14</f>
        <v>1103644.9389144771</v>
      </c>
      <c r="W14" s="5">
        <f t="shared" si="9"/>
        <v>1112853.2655462243</v>
      </c>
      <c r="X14" s="5">
        <f t="shared" si="10"/>
        <v>2.3471430164790412</v>
      </c>
      <c r="Z14" s="2">
        <f>1+L14/'2022 Nto driftsutg landet'!$C$5</f>
        <v>1.0203362715803712</v>
      </c>
      <c r="AA14" s="2">
        <f>1+O14/'2022 Nto driftsutg landet'!$C$6</f>
        <v>1.2794585388741979</v>
      </c>
      <c r="AB14" s="2">
        <f>1+R14/'2022 Nto driftsutg landet'!$C$7</f>
        <v>1.0612897541046402</v>
      </c>
      <c r="AC14" s="2">
        <f>1+U14/'2022 Nto driftsutg landet'!$C$8</f>
        <v>1.2260463412301803</v>
      </c>
      <c r="AD14" s="2">
        <f>1+X14/'2022 Nto driftsutg landet'!$C$9</f>
        <v>1.0044135096741837</v>
      </c>
    </row>
    <row r="15" spans="1:30" x14ac:dyDescent="0.3">
      <c r="A15" s="41">
        <v>5400</v>
      </c>
      <c r="B15" s="42" t="s">
        <v>408</v>
      </c>
      <c r="C15" s="42">
        <f>+'2022 Nto driftsutg'!W15</f>
        <v>241736</v>
      </c>
      <c r="D15" s="3">
        <f>+'2022 Grunnlag korreksjoner'!D15</f>
        <v>1.0642349100000001</v>
      </c>
      <c r="E15" s="3">
        <f>+'2022 Grunnlag korreksjoner'!E15</f>
        <v>2.0654747200000001</v>
      </c>
      <c r="F15" s="3">
        <f>+'2022 Grunnlag korreksjoner'!F15</f>
        <v>1.1215987199999999</v>
      </c>
      <c r="G15" s="3">
        <f>+'2022 Grunnlag korreksjoner'!G15</f>
        <v>3.1805990999999998</v>
      </c>
      <c r="H15" s="3">
        <f>+'2022 Grunnlag korreksjoner'!H15</f>
        <v>0.97130740000000015</v>
      </c>
      <c r="I15" s="2">
        <v>1.4232</v>
      </c>
      <c r="J15" s="5">
        <f>(D15-1)*'2022 Nto driftsutg landet'!$C$5*C15</f>
        <v>100132253.70636697</v>
      </c>
      <c r="K15" s="5">
        <f t="shared" si="1"/>
        <v>100105069.9170768</v>
      </c>
      <c r="L15" s="5">
        <f t="shared" si="2"/>
        <v>414.10906905498888</v>
      </c>
      <c r="M15" s="5">
        <f>(E15-1)*'2022 Nto driftsutg landet'!$C$6*$C15</f>
        <v>466282747.98737741</v>
      </c>
      <c r="N15" s="5">
        <f t="shared" si="3"/>
        <v>465869853.18682009</v>
      </c>
      <c r="O15" s="5">
        <f t="shared" si="4"/>
        <v>1927.1844209667574</v>
      </c>
      <c r="P15" s="5">
        <f>(F15-1)*'2022 Nto driftsutg landet'!$C$7*$C15</f>
        <v>72647843.834646523</v>
      </c>
      <c r="Q15" s="5">
        <f t="shared" si="5"/>
        <v>72470376.968072295</v>
      </c>
      <c r="R15" s="5">
        <f t="shared" si="6"/>
        <v>299.79141281427798</v>
      </c>
      <c r="S15" s="5">
        <f>(G15-1)*'2022 Nto driftsutg landet'!$C$8*$C15</f>
        <v>490828857.23534316</v>
      </c>
      <c r="T15" s="5">
        <f t="shared" si="7"/>
        <v>490321723.00571907</v>
      </c>
      <c r="U15" s="5">
        <f t="shared" si="8"/>
        <v>2028.3355520308066</v>
      </c>
      <c r="V15" s="5">
        <f>(H15-1)*'2022 Nto driftsutg landet'!$C$9*$C15</f>
        <v>-3688643.6865285481</v>
      </c>
      <c r="W15" s="5">
        <f t="shared" si="9"/>
        <v>-3683948.81518149</v>
      </c>
      <c r="X15" s="5">
        <f t="shared" si="10"/>
        <v>-15.239553956305597</v>
      </c>
      <c r="Z15" s="2">
        <f>1+L15/'2022 Nto driftsutg landet'!$C$5</f>
        <v>1.0642174715803714</v>
      </c>
      <c r="AA15" s="2">
        <f>1+O15/'2022 Nto driftsutg landet'!$C$6</f>
        <v>2.0645312388741979</v>
      </c>
      <c r="AB15" s="2">
        <f>1+R15/'2022 Nto driftsutg landet'!$C$7</f>
        <v>1.12130167410464</v>
      </c>
      <c r="AC15" s="2">
        <f>1+U15/'2022 Nto driftsutg landet'!$C$8</f>
        <v>3.1783460612301804</v>
      </c>
      <c r="AD15" s="2">
        <f>1+X15/'2022 Nto driftsutg landet'!$C$9</f>
        <v>0.9713439196741841</v>
      </c>
    </row>
    <row r="16" spans="1:30" x14ac:dyDescent="0.3">
      <c r="B16" s="43"/>
      <c r="C16" s="43"/>
      <c r="D16" s="4"/>
      <c r="E16" s="4"/>
      <c r="F16" s="4"/>
      <c r="G16" s="4"/>
      <c r="H16" s="4"/>
      <c r="I16" s="4"/>
      <c r="Z16" s="4"/>
      <c r="AA16" s="4"/>
    </row>
    <row r="17" spans="2:31" x14ac:dyDescent="0.3">
      <c r="B17" s="42" t="s">
        <v>3</v>
      </c>
      <c r="C17" s="5">
        <f>SUM(C5:C16)</f>
        <v>5425270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5">
        <f>SUM(J5:J16)</f>
        <v>610084.54066537321</v>
      </c>
      <c r="K17" s="5">
        <f>SUM(K5:K16)</f>
        <v>0</v>
      </c>
      <c r="L17" s="5">
        <v>0</v>
      </c>
      <c r="M17" s="5">
        <f>SUM(M5:M16)</f>
        <v>9266579.1384794116</v>
      </c>
      <c r="N17" s="5">
        <f>SUM(N5:N16)</f>
        <v>0</v>
      </c>
      <c r="O17" s="5">
        <v>0</v>
      </c>
      <c r="P17" s="5">
        <f>SUM(P5:P16)</f>
        <v>3982880.7758015096</v>
      </c>
      <c r="Q17" s="5">
        <f>SUM(Q5:Q16)</f>
        <v>0</v>
      </c>
      <c r="R17" s="5">
        <v>0</v>
      </c>
      <c r="S17" s="5">
        <f>SUM(S5:S16)</f>
        <v>11381590.338025153</v>
      </c>
      <c r="T17" s="5">
        <f>SUM(T5:T16)</f>
        <v>0</v>
      </c>
      <c r="U17" s="5">
        <v>0</v>
      </c>
      <c r="V17" s="5">
        <f>SUM(V5:V16)</f>
        <v>-105366.78307349375</v>
      </c>
      <c r="W17" s="5">
        <f>SUM(W5:W16)</f>
        <v>0</v>
      </c>
      <c r="X17" s="5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/>
    </row>
  </sheetData>
  <sheetProtection algorithmName="SHA-512" hashValue="k2Ca6LaiX/UhsZVMcUt8aoDDNzbYvuhTMTJHZ+FLu+q65Y2T0vP9g0n0DQsz02Ch8rOqzKNLVdfmNBlnfZwR3w==" saltValue="9AAswV3y36I74qWCVPxpig==" spinCount="100000" sheet="1" selectLockedCells="1" selectUnlockedCell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479D-94A0-4ABD-AC9E-03CEC471281A}">
  <dimension ref="A1:CE18"/>
  <sheetViews>
    <sheetView zoomScale="80" zoomScaleNormal="8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4"/>
      <c r="CB1" s="5"/>
    </row>
    <row r="2" spans="1:83" ht="79.8" x14ac:dyDescent="0.3">
      <c r="A2" s="22" t="s">
        <v>2</v>
      </c>
      <c r="B2" s="22" t="s">
        <v>1</v>
      </c>
      <c r="C2" s="22" t="s">
        <v>411</v>
      </c>
      <c r="D2" s="22" t="s">
        <v>319</v>
      </c>
      <c r="E2" s="22" t="s">
        <v>320</v>
      </c>
      <c r="F2" s="22" t="s">
        <v>322</v>
      </c>
      <c r="G2" s="22" t="s">
        <v>321</v>
      </c>
      <c r="H2" s="22" t="s">
        <v>323</v>
      </c>
      <c r="I2" s="22" t="s">
        <v>228</v>
      </c>
      <c r="J2" s="22" t="s">
        <v>227</v>
      </c>
      <c r="K2" s="101" t="s">
        <v>324</v>
      </c>
      <c r="L2" s="101" t="s">
        <v>325</v>
      </c>
      <c r="M2" s="101" t="s">
        <v>326</v>
      </c>
      <c r="N2" s="101" t="s">
        <v>327</v>
      </c>
      <c r="O2" s="101" t="s">
        <v>328</v>
      </c>
      <c r="P2" s="101" t="s">
        <v>230</v>
      </c>
      <c r="Q2" s="101" t="s">
        <v>229</v>
      </c>
      <c r="R2" s="22" t="s">
        <v>329</v>
      </c>
      <c r="S2" s="22" t="s">
        <v>330</v>
      </c>
      <c r="T2" s="22" t="s">
        <v>331</v>
      </c>
      <c r="U2" s="22" t="s">
        <v>332</v>
      </c>
      <c r="V2" s="22" t="s">
        <v>333</v>
      </c>
      <c r="W2" s="22" t="s">
        <v>309</v>
      </c>
      <c r="X2" s="22" t="s">
        <v>308</v>
      </c>
      <c r="Y2" s="101" t="s">
        <v>334</v>
      </c>
      <c r="Z2" s="101" t="s">
        <v>335</v>
      </c>
      <c r="AA2" s="101" t="s">
        <v>336</v>
      </c>
      <c r="AB2" s="101" t="s">
        <v>337</v>
      </c>
      <c r="AC2" s="101" t="s">
        <v>338</v>
      </c>
      <c r="AD2" s="101" t="s">
        <v>311</v>
      </c>
      <c r="AE2" s="101" t="s">
        <v>310</v>
      </c>
      <c r="AF2" s="22" t="s">
        <v>339</v>
      </c>
      <c r="AG2" s="22" t="s">
        <v>340</v>
      </c>
      <c r="AH2" s="22" t="s">
        <v>341</v>
      </c>
      <c r="AI2" s="22" t="s">
        <v>342</v>
      </c>
      <c r="AJ2" s="22" t="s">
        <v>343</v>
      </c>
      <c r="AK2" s="22" t="s">
        <v>344</v>
      </c>
      <c r="AL2" s="22" t="s">
        <v>345</v>
      </c>
      <c r="AM2" s="101" t="s">
        <v>346</v>
      </c>
      <c r="AN2" s="101" t="s">
        <v>347</v>
      </c>
      <c r="AO2" s="101" t="s">
        <v>348</v>
      </c>
      <c r="AP2" s="101" t="s">
        <v>349</v>
      </c>
      <c r="AQ2" s="101" t="s">
        <v>350</v>
      </c>
      <c r="AR2" s="101" t="s">
        <v>232</v>
      </c>
      <c r="AS2" s="101" t="s">
        <v>231</v>
      </c>
      <c r="AT2" s="22" t="s">
        <v>351</v>
      </c>
      <c r="AU2" s="22" t="s">
        <v>352</v>
      </c>
      <c r="AV2" s="22" t="s">
        <v>353</v>
      </c>
      <c r="AW2" s="22" t="s">
        <v>354</v>
      </c>
      <c r="AX2" s="22" t="s">
        <v>355</v>
      </c>
      <c r="AY2" s="22" t="s">
        <v>356</v>
      </c>
      <c r="AZ2" s="22" t="s">
        <v>357</v>
      </c>
      <c r="BA2" s="101" t="s">
        <v>358</v>
      </c>
      <c r="BB2" s="101" t="s">
        <v>359</v>
      </c>
      <c r="BC2" s="101" t="s">
        <v>360</v>
      </c>
      <c r="BD2" s="101" t="s">
        <v>361</v>
      </c>
      <c r="BE2" s="101" t="s">
        <v>362</v>
      </c>
      <c r="BF2" s="101" t="s">
        <v>234</v>
      </c>
      <c r="BG2" s="101" t="s">
        <v>233</v>
      </c>
      <c r="BH2" s="22" t="s">
        <v>363</v>
      </c>
      <c r="BI2" s="22" t="s">
        <v>364</v>
      </c>
      <c r="BJ2" s="22" t="s">
        <v>365</v>
      </c>
      <c r="BK2" s="22" t="s">
        <v>366</v>
      </c>
      <c r="BL2" s="22" t="s">
        <v>367</v>
      </c>
      <c r="BM2" s="22" t="s">
        <v>236</v>
      </c>
      <c r="BN2" s="22" t="s">
        <v>235</v>
      </c>
      <c r="BO2" s="101" t="s">
        <v>368</v>
      </c>
      <c r="BP2" s="101" t="s">
        <v>369</v>
      </c>
      <c r="BQ2" s="101" t="s">
        <v>370</v>
      </c>
      <c r="BR2" s="101" t="s">
        <v>371</v>
      </c>
      <c r="BS2" s="101" t="s">
        <v>372</v>
      </c>
      <c r="BT2" s="101" t="s">
        <v>373</v>
      </c>
      <c r="BU2" s="101" t="s">
        <v>374</v>
      </c>
      <c r="BV2" s="22" t="s">
        <v>375</v>
      </c>
      <c r="BW2" s="22" t="s">
        <v>376</v>
      </c>
      <c r="BX2" s="22" t="s">
        <v>377</v>
      </c>
      <c r="BY2" s="22" t="s">
        <v>378</v>
      </c>
      <c r="BZ2" s="22" t="s">
        <v>379</v>
      </c>
      <c r="CA2" s="22" t="s">
        <v>380</v>
      </c>
      <c r="CB2" s="22" t="s">
        <v>381</v>
      </c>
      <c r="CC2" s="101"/>
      <c r="CD2" s="101"/>
      <c r="CE2" s="101"/>
    </row>
    <row r="3" spans="1:83" x14ac:dyDescent="0.3">
      <c r="A3" s="107">
        <v>1</v>
      </c>
      <c r="B3" s="107">
        <f t="shared" ref="B3:AG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2">
        <f t="shared" si="0"/>
        <v>11</v>
      </c>
      <c r="L3" s="102">
        <f t="shared" si="0"/>
        <v>12</v>
      </c>
      <c r="M3" s="102">
        <f t="shared" si="0"/>
        <v>13</v>
      </c>
      <c r="N3" s="102">
        <f t="shared" si="0"/>
        <v>14</v>
      </c>
      <c r="O3" s="102">
        <f t="shared" si="0"/>
        <v>15</v>
      </c>
      <c r="P3" s="102">
        <f t="shared" si="0"/>
        <v>16</v>
      </c>
      <c r="Q3" s="102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2">
        <f t="shared" si="0"/>
        <v>25</v>
      </c>
      <c r="Z3" s="102">
        <f t="shared" si="0"/>
        <v>26</v>
      </c>
      <c r="AA3" s="102">
        <f t="shared" si="0"/>
        <v>27</v>
      </c>
      <c r="AB3" s="102">
        <f t="shared" si="0"/>
        <v>28</v>
      </c>
      <c r="AC3" s="102">
        <f t="shared" si="0"/>
        <v>29</v>
      </c>
      <c r="AD3" s="102">
        <f t="shared" si="0"/>
        <v>30</v>
      </c>
      <c r="AE3" s="102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ref="AH3:BR3" si="1">+AG3+1</f>
        <v>34</v>
      </c>
      <c r="AI3" s="107">
        <f t="shared" si="1"/>
        <v>35</v>
      </c>
      <c r="AJ3" s="107">
        <f t="shared" si="1"/>
        <v>36</v>
      </c>
      <c r="AK3" s="107">
        <f t="shared" si="1"/>
        <v>37</v>
      </c>
      <c r="AL3" s="107">
        <f t="shared" si="1"/>
        <v>38</v>
      </c>
      <c r="AM3" s="102">
        <f t="shared" si="1"/>
        <v>39</v>
      </c>
      <c r="AN3" s="102">
        <f t="shared" si="1"/>
        <v>40</v>
      </c>
      <c r="AO3" s="102">
        <f t="shared" si="1"/>
        <v>41</v>
      </c>
      <c r="AP3" s="102">
        <f t="shared" si="1"/>
        <v>42</v>
      </c>
      <c r="AQ3" s="102">
        <f t="shared" si="1"/>
        <v>43</v>
      </c>
      <c r="AR3" s="102">
        <f t="shared" si="1"/>
        <v>44</v>
      </c>
      <c r="AS3" s="102">
        <f t="shared" si="1"/>
        <v>45</v>
      </c>
      <c r="AT3" s="107">
        <f t="shared" si="1"/>
        <v>46</v>
      </c>
      <c r="AU3" s="107">
        <f t="shared" si="1"/>
        <v>47</v>
      </c>
      <c r="AV3" s="107">
        <f t="shared" si="1"/>
        <v>48</v>
      </c>
      <c r="AW3" s="107">
        <f t="shared" si="1"/>
        <v>49</v>
      </c>
      <c r="AX3" s="107">
        <f t="shared" si="1"/>
        <v>50</v>
      </c>
      <c r="AY3" s="107">
        <f t="shared" si="1"/>
        <v>51</v>
      </c>
      <c r="AZ3" s="107">
        <f t="shared" si="1"/>
        <v>52</v>
      </c>
      <c r="BA3" s="102">
        <f t="shared" si="1"/>
        <v>53</v>
      </c>
      <c r="BB3" s="102">
        <f t="shared" si="1"/>
        <v>54</v>
      </c>
      <c r="BC3" s="102">
        <f t="shared" si="1"/>
        <v>55</v>
      </c>
      <c r="BD3" s="102">
        <f t="shared" si="1"/>
        <v>56</v>
      </c>
      <c r="BE3" s="102">
        <f t="shared" si="1"/>
        <v>57</v>
      </c>
      <c r="BF3" s="102">
        <f t="shared" si="1"/>
        <v>58</v>
      </c>
      <c r="BG3" s="102">
        <f t="shared" si="1"/>
        <v>59</v>
      </c>
      <c r="BH3" s="107">
        <f t="shared" si="1"/>
        <v>60</v>
      </c>
      <c r="BI3" s="107">
        <f t="shared" si="1"/>
        <v>61</v>
      </c>
      <c r="BJ3" s="107">
        <f t="shared" si="1"/>
        <v>62</v>
      </c>
      <c r="BK3" s="107">
        <f t="shared" si="1"/>
        <v>63</v>
      </c>
      <c r="BL3" s="107">
        <f t="shared" si="1"/>
        <v>64</v>
      </c>
      <c r="BM3" s="107">
        <f t="shared" si="1"/>
        <v>65</v>
      </c>
      <c r="BN3" s="107">
        <f t="shared" si="1"/>
        <v>66</v>
      </c>
      <c r="BO3" s="102">
        <f t="shared" si="1"/>
        <v>67</v>
      </c>
      <c r="BP3" s="102">
        <f t="shared" si="1"/>
        <v>68</v>
      </c>
      <c r="BQ3" s="102">
        <f t="shared" si="1"/>
        <v>69</v>
      </c>
      <c r="BR3" s="102">
        <f t="shared" si="1"/>
        <v>70</v>
      </c>
      <c r="BS3" s="102">
        <f>+BN3+1</f>
        <v>67</v>
      </c>
      <c r="BT3" s="102">
        <f t="shared" ref="BT3:CE3" si="2">+BS3+1</f>
        <v>68</v>
      </c>
      <c r="BU3" s="102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2">
        <f t="shared" si="2"/>
        <v>77</v>
      </c>
      <c r="CD3" s="102">
        <f t="shared" si="2"/>
        <v>78</v>
      </c>
      <c r="CE3" s="102">
        <f t="shared" si="2"/>
        <v>79</v>
      </c>
    </row>
    <row r="5" spans="1:83" x14ac:dyDescent="0.3">
      <c r="A5" s="41">
        <v>300</v>
      </c>
      <c r="B5" s="42" t="s">
        <v>0</v>
      </c>
      <c r="C5" s="42">
        <f>+'2022 Nto driftsutg'!W5</f>
        <v>699827</v>
      </c>
      <c r="D5" s="55">
        <f>IF('2022 Lønnsgr pensjon tjeneste'!D5&lt;100,0,(C5/$C$17)*'2022 Revekting utgiftsbehov'!D5*'2022 Pensjon tjeneste'!D5/'2022 Lønnsgr pensjon tjeneste'!D5)</f>
        <v>1.1322104911646024E-2</v>
      </c>
      <c r="E5" s="5">
        <f>IF('2022 Lønnsgr pensjon tjeneste'!D5&lt;100,0,C5)</f>
        <v>699827</v>
      </c>
      <c r="F5" s="55">
        <f>'2022 Revekting utgiftsbehov'!D5*E5/$E$17</f>
        <v>9.1616837548125704E-2</v>
      </c>
      <c r="G5" s="55">
        <f>'2022 Revekting utgiftsbehov'!D5/$F$17</f>
        <v>0.71022897472910607</v>
      </c>
      <c r="H5" s="55">
        <f>IF(E5=0,0,(E5/$E$17)*G5*'2022 Pensjon tjeneste'!D5/'2022 Lønnsgr pensjon tjeneste'!D5)</f>
        <v>1.1321907475472468E-2</v>
      </c>
      <c r="I5" s="5">
        <f>IF(E5=0,0,'2022 Nto driftsutg landet'!$C$5*'2022 Lønnsand og pensjon landet'!$D$6*('2022 Pensjon tjeneste'!D5/'2022 Lønnsgr pensjon tjeneste'!D5-$H$17)*'2022 Revekting utgiftsbehov'!D5)</f>
        <v>72.969050198747681</v>
      </c>
      <c r="J5" s="5">
        <f t="shared" ref="J5:J15" si="3">I5*C5/1000</f>
        <v>51065.711493438997</v>
      </c>
      <c r="K5" s="55">
        <f>IF('2022 Lønnsgr pensjon tjeneste'!E5&lt;100,0,(C5/$C$17)*'2022 Revekting utgiftsbehov'!E5*'2022 Pensjon tjeneste'!E5/'2022 Lønnsgr pensjon tjeneste'!E5)</f>
        <v>0</v>
      </c>
      <c r="L5" s="5">
        <f>IF('2022 Lønnsgr pensjon tjeneste'!E5&lt;100,0,C5)</f>
        <v>0</v>
      </c>
      <c r="M5" s="55">
        <f>'2022 Revekting utgiftsbehov'!E5*L5/$L$17</f>
        <v>0</v>
      </c>
      <c r="N5" s="55">
        <f>'2022 Revekting utgiftsbehov'!E5/$M$17</f>
        <v>0.24507051249090814</v>
      </c>
      <c r="O5" s="55">
        <f>IF(L5=0,0,(L5/$L$17)*N5*'2022 Pensjon tjeneste'!E5/'2022 Lønnsgr pensjon tjeneste'!E5)</f>
        <v>0</v>
      </c>
      <c r="P5" s="5">
        <f>IF(L5=0,0,'2022 Nto driftsutg landet'!$C$6*'2022 Lønnsand og pensjon landet'!$D$7*('2022 Pensjon tjeneste'!E5/'2022 Lønnsgr pensjon tjeneste'!E5-$O$17)*'2022 Revekting utgiftsbehov'!E5)</f>
        <v>0</v>
      </c>
      <c r="Q5" s="5">
        <f t="shared" ref="Q5:Q15" si="4">P5*C5/1000</f>
        <v>0</v>
      </c>
      <c r="R5" s="55">
        <f>IF('2022 Lønnsgr pensjon tjeneste'!F5&lt;100,0,(C5/$C$17)*'2022 Revekting utgiftsbehov'!F5*'2022 Pensjon tjeneste'!F5/'2022 Lønnsgr pensjon tjeneste'!F5)</f>
        <v>5.6992071231985533E-2</v>
      </c>
      <c r="S5" s="5">
        <f>IF('2022 Lønnsgr pensjon tjeneste'!F5&lt;100,0,C5)</f>
        <v>699827</v>
      </c>
      <c r="T5" s="55">
        <f>'2022 Revekting utgiftsbehov'!F5*S5/$S$17</f>
        <v>0.2262947652718777</v>
      </c>
      <c r="U5" s="55">
        <f>'2022 Revekting utgiftsbehov'!F5/$T$17</f>
        <v>1.7537843255647443</v>
      </c>
      <c r="V5" s="55">
        <f>IF(S5=0,0,(S5/$S$17)*U5*'2022 Pensjon tjeneste'!F5/'2022 Lønnsgr pensjon tjeneste'!F5)</f>
        <v>5.6975146998432119E-2</v>
      </c>
      <c r="W5" s="5">
        <f>IF(S5=0,0,'2022 Nto driftsutg landet'!$C$7*'2022 Lønnsand og pensjon landet'!$D$8*('2022 Pensjon tjeneste'!F5/'2022 Lønnsgr pensjon tjeneste'!F5-$V$17)*'2022 Revekting utgiftsbehov'!F5)</f>
        <v>3.5247107746274384</v>
      </c>
      <c r="X5" s="5">
        <f t="shared" ref="X5:X15" si="5">W5*C5/1000</f>
        <v>2466.6877672751966</v>
      </c>
      <c r="Y5" s="55">
        <f>IF('2022 Lønnsgr pensjon tjeneste'!G5&lt;100,0,(C5/$C$17)*'2022 Revekting utgiftsbehov'!G5*'2022 Pensjon tjeneste'!G5/'2022 Lønnsgr pensjon tjeneste'!G5)</f>
        <v>0</v>
      </c>
      <c r="Z5" s="5">
        <f>IF('2022 Lønnsgr pensjon tjeneste'!G5&lt;100,0,C5)</f>
        <v>0</v>
      </c>
      <c r="AA5" s="55">
        <f>'2022 Revekting utgiftsbehov'!G5*Z5/$Z$17</f>
        <v>0</v>
      </c>
      <c r="AB5" s="55">
        <f>'2022 Revekting utgiftsbehov'!G5/$AA$17</f>
        <v>7.3095106325818024E-4</v>
      </c>
      <c r="AC5" s="55">
        <f>IF(Z5=0,0,(Z5/$Z$17)*AB5*'2022 Pensjon tjeneste'!G5/'2022 Lønnsgr pensjon tjeneste'!G5)</f>
        <v>0</v>
      </c>
      <c r="AD5" s="5">
        <f>IF(Z5=0,0,'2022 Nto driftsutg landet'!$C$8*'2022 Lønnsand og pensjon landet'!$D$9*('2022 Pensjon tjeneste'!G5/'2022 Lønnsgr pensjon tjeneste'!G5-$AC$17)*'2022 Revekting utgiftsbehov'!G5)</f>
        <v>0</v>
      </c>
      <c r="AE5" s="5">
        <f t="shared" ref="AE5:AE15" si="6">+AD5*$C5/1000</f>
        <v>0</v>
      </c>
      <c r="AF5" s="55">
        <f>IF('2022 Lønnsgr pensjon tjeneste'!H5&lt;100,0,(C5/$C$17)*'2022 Revekting utgiftsbehov'!H5*'2022 Pensjon tjeneste'!H5/'2022 Lønnsgr pensjon tjeneste'!H5)</f>
        <v>4.2948057172408377E-2</v>
      </c>
      <c r="AG5" s="5">
        <f>IF('2022 Lønnsgr pensjon tjeneste'!H5&lt;100,0,C5)</f>
        <v>699827</v>
      </c>
      <c r="AH5" s="55">
        <f>'2022 Revekting utgiftsbehov'!H5*AG5/$AG$17</f>
        <v>0.11283410019251762</v>
      </c>
      <c r="AI5" s="55">
        <f>'2022 Revekting utgiftsbehov'!H5/$AH$17</f>
        <v>0.87475592580140082</v>
      </c>
      <c r="AJ5" s="55">
        <f>IF(AG5=0,0,(AG5/$AG$17)*AI5*'2022 Pensjon tjeneste'!H5/'2022 Lønnsgr pensjon tjeneste'!H5)</f>
        <v>4.2949625678744489E-2</v>
      </c>
      <c r="AK5" s="5">
        <f>IF(AG5=0,0,'2022 Nto driftsutg landet'!$C$9*'2022 Lønnsand og pensjon landet'!$D$10*('2022 Pensjon tjeneste'!H5/'2022 Lønnsgr pensjon tjeneste'!H5-$AJ$17)*'2022 Revekting utgiftsbehov'!H5)</f>
        <v>45.914369074344172</v>
      </c>
      <c r="AL5" s="5">
        <f t="shared" ref="AL5:AL15" si="7">+AK5*$C5/1000</f>
        <v>32132.115166191059</v>
      </c>
      <c r="AM5" s="55">
        <f>IF('2022 Lønnsgr pensjon tjeneste'!K5&lt;100,0,(C5/$C$17)*'2022 Pensjon tjeneste'!K5/'2022 Lønnsgr pensjon tjeneste'!K5)</f>
        <v>7.186562789987383E-2</v>
      </c>
      <c r="AN5" s="5">
        <f>IF('2022 Lønnsgr pensjon tjeneste'!K5&lt;100,0,C5)</f>
        <v>699827</v>
      </c>
      <c r="AO5" s="55">
        <f t="shared" ref="AO5:AO15" si="8">AN5/$AN$17</f>
        <v>0.12899394868826805</v>
      </c>
      <c r="AP5" s="55">
        <f t="shared" ref="AP5:AP15" si="9">1/$AH$17</f>
        <v>1.0000365210079192</v>
      </c>
      <c r="AQ5" s="55">
        <f>IF(AN5=0,0,(AN5/$AN$17)*AP5*'2022 Pensjon tjeneste'!K5/'2022 Lønnsgr pensjon tjeneste'!K5)</f>
        <v>7.1868252505039476E-2</v>
      </c>
      <c r="AR5" s="5">
        <f>IF(AN5=0,0,'2022 Nto driftsutg landet'!$C$23*'2022 Lønnsand og pensjon landet'!$D$13*('2022 Pensjon tjeneste'!K5/'2022 Lønnsgr pensjon tjeneste'!K5-$AQ$17))</f>
        <v>26.547104988572375</v>
      </c>
      <c r="AS5" s="5">
        <f t="shared" ref="AS5:AS15" si="10">+AR5*$C5/1000</f>
        <v>18578.38084283764</v>
      </c>
      <c r="AT5" s="55">
        <f>IF('2022 Lønnsgr pensjon tjeneste'!L5&lt;100,0,(C5/$C$17)*'2022 Pensjon tjeneste'!L5/'2022 Lønnsgr pensjon tjeneste'!L5)</f>
        <v>0</v>
      </c>
      <c r="AU5" s="5">
        <f>IF('2022 Lønnsgr pensjon tjeneste'!L5&lt;100,0,C5)</f>
        <v>0</v>
      </c>
      <c r="AV5" s="55">
        <f t="shared" ref="AV5:AV15" si="11">AU5/$AU$17</f>
        <v>0</v>
      </c>
      <c r="AW5" s="55">
        <f t="shared" ref="AW5:AW15" si="12">1/$AV$17</f>
        <v>1</v>
      </c>
      <c r="AX5" s="55">
        <f>IF(AU5=0,0,(AU5/$AU$17)*AW5*'2022 Pensjon tjeneste'!L5/'2022 Lønnsgr pensjon tjeneste'!L5)</f>
        <v>0</v>
      </c>
      <c r="AY5" s="5">
        <f>IF(AU5=0,0,'2022 Nto driftsutg landet'!$C$24*'2022 Lønnsand og pensjon landet'!$D$14*('2022 Pensjon tjeneste'!L5/'2022 Lønnsgr pensjon tjeneste'!L5-$AX$17))</f>
        <v>0</v>
      </c>
      <c r="AZ5" s="5">
        <f t="shared" ref="AZ5:AZ15" si="13">+AY5*$C5/1000</f>
        <v>0</v>
      </c>
      <c r="BA5" s="55">
        <f>IF('2022 Lønnsgr pensjon tjeneste'!M5&lt;100,0,(C5/$C$17)*'2022 Pensjon tjeneste'!M5/'2022 Lønnsgr pensjon tjeneste'!M5)</f>
        <v>4.234036668709034E-2</v>
      </c>
      <c r="BB5" s="5">
        <f>IF('2022 Lønnsgr pensjon tjeneste'!M5&lt;100,0,C5)</f>
        <v>699827</v>
      </c>
      <c r="BC5" s="55">
        <f t="shared" ref="BC5:BC15" si="14">BB5/$BB$17</f>
        <v>0.12899394868826805</v>
      </c>
      <c r="BD5" s="55">
        <f t="shared" ref="BD5:BD15" si="15">1/$BC$17</f>
        <v>1</v>
      </c>
      <c r="BE5" s="55">
        <f>IF(BB5=0,0,(BB5/$BB$17)*BD5*'2022 Pensjon tjeneste'!M5/'2022 Lønnsgr pensjon tjeneste'!M5)</f>
        <v>4.234036668709034E-2</v>
      </c>
      <c r="BF5" s="5">
        <f>IF(BB5=0,0,'2022 Nto driftsutg landet'!$C$25*'2022 Lønnsand og pensjon landet'!$D$15*('2022 Pensjon tjeneste'!M5/'2022 Lønnsgr pensjon tjeneste'!M5-$BE$17))</f>
        <v>-0.32740047431171604</v>
      </c>
      <c r="BG5" s="5">
        <f t="shared" ref="BG5:BG15" si="16">+BF5*$C5/1000</f>
        <v>-229.1236917361453</v>
      </c>
      <c r="BH5" s="55">
        <f>IF('2022 Lønnsgr pensjon tjeneste'!N5&lt;100,0,(C5/$C$17)*'2022 Pensjon tjeneste'!N5/'2022 Lønnsgr pensjon tjeneste'!N5)</f>
        <v>4.2662585213592549E-2</v>
      </c>
      <c r="BI5" s="5">
        <f>IF('2022 Lønnsgr pensjon tjeneste'!N5&lt;100,0,C5)</f>
        <v>699827</v>
      </c>
      <c r="BJ5" s="55">
        <f t="shared" ref="BJ5:BJ15" si="17">BI5/$BI$17</f>
        <v>0.12899394868826805</v>
      </c>
      <c r="BK5" s="55">
        <f t="shared" ref="BK5:BK15" si="18">1/$BJ$17</f>
        <v>1</v>
      </c>
      <c r="BL5" s="55">
        <f>IF(BI5=0,0,(BI5/$BI$17)*BK5*'2022 Pensjon tjeneste'!N5/'2022 Lønnsgr pensjon tjeneste'!N5)</f>
        <v>4.2662585213592549E-2</v>
      </c>
      <c r="BM5" s="5">
        <f>IF(BI5=0,0,'2022 Nto driftsutg landet'!$C$26*'2022 Lønnsand og pensjon landet'!$D$16*('2022 Pensjon tjeneste'!N5/'2022 Lønnsgr pensjon tjeneste'!N5-$BL$17))</f>
        <v>4.0910492761613169</v>
      </c>
      <c r="BN5" s="5">
        <f t="shared" ref="BN5:BN15" si="19">+BM5*$C5/1000</f>
        <v>2863.026741788146</v>
      </c>
      <c r="BO5" s="55">
        <f>IF('2022 Lønnsgr pensjon tjeneste'!O5&lt;100,0,(C5/$C$17)*'2022 Pensjon tjeneste'!O5/'2022 Lønnsgr pensjon tjeneste'!O5)</f>
        <v>0</v>
      </c>
      <c r="BP5" s="5">
        <f>IF('2022 Lønnsgr pensjon tjeneste'!O5&lt;100,0,C5)</f>
        <v>0</v>
      </c>
      <c r="BQ5" s="55">
        <f t="shared" ref="BQ5:BQ15" si="20">BP5/$BP$17</f>
        <v>0</v>
      </c>
      <c r="BR5" s="55">
        <f t="shared" ref="BR5:BR15" si="21">1/$BQ$17</f>
        <v>1</v>
      </c>
      <c r="BS5" s="55">
        <f>IF(BP5=0,0,(BP5/$BP$17)*BR5*'2022 Pensjon tjeneste'!O5/'2022 Lønnsgr pensjon tjeneste'!O5)</f>
        <v>0</v>
      </c>
      <c r="BT5" s="5">
        <f>IF(BP5=0,0,'2022 Nto driftsutg landet'!$C$27*'2022 Lønnsand og pensjon landet'!$D$17*('2022 Pensjon tjeneste'!O5/'2022 Lønnsgr pensjon tjeneste'!O5-$BS$17))</f>
        <v>0</v>
      </c>
      <c r="BU5" s="5">
        <f t="shared" ref="BU5:BU15" si="22">+BT5*$C5/1000</f>
        <v>0</v>
      </c>
      <c r="BV5" s="55">
        <f>IF('2022 Lønnsgr pensjon tjeneste'!P5&lt;100,0,(C5/$C$17)*'2022 Pensjon tjeneste'!P5/'2022 Lønnsgr pensjon tjeneste'!P5)</f>
        <v>0</v>
      </c>
      <c r="BW5" s="5">
        <f>IF('2022 Lønnsgr pensjon tjeneste'!P5&lt;100,0,C5)</f>
        <v>0</v>
      </c>
      <c r="BX5" s="55">
        <f t="shared" ref="BX5:BX15" si="23">BW5/$BW$17</f>
        <v>0</v>
      </c>
      <c r="BY5" s="55">
        <f t="shared" ref="BY5:BY15" si="24">1/$BX$17</f>
        <v>1</v>
      </c>
      <c r="BZ5" s="55">
        <f>IF(BW5=0,0,(BW5/$BW$17)*BY5*'2022 Pensjon tjeneste'!P5/'2022 Lønnsgr pensjon tjeneste'!P5)</f>
        <v>0</v>
      </c>
      <c r="CA5" s="5">
        <f>IF(BW5=0,0,'2022 Nto driftsutg landet'!$C$28*'2022 Lønnsand og pensjon landet'!$D$18*('2022 Pensjon tjeneste'!P5/'2022 Lønnsgr pensjon tjeneste'!P5-$BZ$17))</f>
        <v>0</v>
      </c>
      <c r="CB5" s="5">
        <f t="shared" ref="CB5:CB15" si="25">+CA5*$C5/1000</f>
        <v>0</v>
      </c>
      <c r="CC5" s="5"/>
      <c r="CD5" s="5"/>
      <c r="CE5" s="5"/>
    </row>
    <row r="6" spans="1:83" x14ac:dyDescent="0.3">
      <c r="A6" s="41">
        <v>1100</v>
      </c>
      <c r="B6" s="42" t="s">
        <v>139</v>
      </c>
      <c r="C6" s="42">
        <f>+'2022 Nto driftsutg'!W6</f>
        <v>485797</v>
      </c>
      <c r="D6" s="55">
        <f>IF('2022 Lønnsgr pensjon tjeneste'!D6&lt;100,0,(C6/$C$17)*'2022 Revekting utgiftsbehov'!D6*'2022 Pensjon tjeneste'!D6/'2022 Lønnsgr pensjon tjeneste'!D6)</f>
        <v>9.7976231375447188E-3</v>
      </c>
      <c r="E6" s="5">
        <f>IF('2022 Lønnsgr pensjon tjeneste'!D6&lt;100,0,C6)</f>
        <v>485797</v>
      </c>
      <c r="F6" s="55">
        <f>'2022 Revekting utgiftsbehov'!D6*E6/$E$17</f>
        <v>9.5856192846394739E-2</v>
      </c>
      <c r="G6" s="55">
        <f>'2022 Revekting utgiftsbehov'!D6/$F$17</f>
        <v>1.0704814124959241</v>
      </c>
      <c r="H6" s="55">
        <f>IF(E6=0,0,(E6/$E$17)*G6*'2022 Pensjon tjeneste'!D6/'2022 Lønnsgr pensjon tjeneste'!D6)</f>
        <v>9.7974522854604729E-3</v>
      </c>
      <c r="I6" s="5">
        <f>IF(E6=0,0,'2022 Nto driftsutg landet'!$C$5*'2022 Lønnsand og pensjon landet'!$D$6*('2022 Pensjon tjeneste'!D6/'2022 Lønnsgr pensjon tjeneste'!D6-$H$17)*'2022 Revekting utgiftsbehov'!D6)</f>
        <v>28.206284661426931</v>
      </c>
      <c r="J6" s="5">
        <f t="shared" si="3"/>
        <v>13702.528469667219</v>
      </c>
      <c r="K6" s="55">
        <f>IF('2022 Lønnsgr pensjon tjeneste'!E6&lt;100,0,(C6/$C$17)*'2022 Revekting utgiftsbehov'!E6*'2022 Pensjon tjeneste'!E6/'2022 Lønnsgr pensjon tjeneste'!E6)</f>
        <v>1.1546982958464099E-2</v>
      </c>
      <c r="L6" s="5">
        <f>IF('2022 Lønnsgr pensjon tjeneste'!E6&lt;100,0,C6)</f>
        <v>485797</v>
      </c>
      <c r="M6" s="55">
        <f>'2022 Revekting utgiftsbehov'!E6*L6/$L$17</f>
        <v>8.3006101416091563E-2</v>
      </c>
      <c r="N6" s="55">
        <f>'2022 Revekting utgiftsbehov'!E6/$M$17</f>
        <v>0.72810241445037605</v>
      </c>
      <c r="O6" s="55">
        <f>IF(L6=0,0,(L6/$L$17)*N6*'2022 Pensjon tjeneste'!E6/'2022 Lønnsgr pensjon tjeneste'!E6)</f>
        <v>1.1954794270660343E-2</v>
      </c>
      <c r="P6" s="5">
        <f>IF(L6=0,0,'2022 Nto driftsutg landet'!$C$6*'2022 Lønnsand og pensjon landet'!$D$7*('2022 Pensjon tjeneste'!E6/'2022 Lønnsgr pensjon tjeneste'!E6-$O$17)*'2022 Revekting utgiftsbehov'!E6)</f>
        <v>-14.163412786674304</v>
      </c>
      <c r="Q6" s="5">
        <f t="shared" si="4"/>
        <v>-6880.543441528017</v>
      </c>
      <c r="R6" s="55">
        <f>IF('2022 Lønnsgr pensjon tjeneste'!F6&lt;100,0,(C6/$C$17)*'2022 Revekting utgiftsbehov'!F6*'2022 Pensjon tjeneste'!F6/'2022 Lønnsgr pensjon tjeneste'!F6)</f>
        <v>1.4875975957974356E-2</v>
      </c>
      <c r="S6" s="5">
        <f>IF('2022 Lønnsgr pensjon tjeneste'!F6&lt;100,0,C6)</f>
        <v>485797</v>
      </c>
      <c r="T6" s="55">
        <f>'2022 Revekting utgiftsbehov'!F6*S6/$S$17</f>
        <v>9.1437083894176693E-2</v>
      </c>
      <c r="U6" s="55">
        <f>'2022 Revekting utgiftsbehov'!F6/$T$17</f>
        <v>1.020845242111033</v>
      </c>
      <c r="V6" s="55">
        <f>IF(S6=0,0,(S6/$S$17)*U6*'2022 Pensjon tjeneste'!F6/'2022 Lønnsgr pensjon tjeneste'!F6)</f>
        <v>1.4871558422587319E-2</v>
      </c>
      <c r="W6" s="5">
        <f>IF(S6=0,0,'2022 Nto driftsutg landet'!$C$7*'2022 Lønnsand og pensjon landet'!$D$8*('2022 Pensjon tjeneste'!F6/'2022 Lønnsgr pensjon tjeneste'!F6-$V$17)*'2022 Revekting utgiftsbehov'!F6)</f>
        <v>-1.228826867805719</v>
      </c>
      <c r="X6" s="5">
        <f t="shared" si="5"/>
        <v>-596.96040589941492</v>
      </c>
      <c r="Y6" s="55">
        <f>IF('2022 Lønnsgr pensjon tjeneste'!G6&lt;100,0,(C6/$C$17)*'2022 Revekting utgiftsbehov'!G6*'2022 Pensjon tjeneste'!G6/'2022 Lønnsgr pensjon tjeneste'!G6)</f>
        <v>1.3069731128245497E-2</v>
      </c>
      <c r="Z6" s="5">
        <f>IF('2022 Lønnsgr pensjon tjeneste'!G6&lt;100,0,C6)</f>
        <v>485797</v>
      </c>
      <c r="AA6" s="55">
        <f>'2022 Revekting utgiftsbehov'!G6*Z6/$Z$17</f>
        <v>0.15220471566903995</v>
      </c>
      <c r="AB6" s="55">
        <f>'2022 Revekting utgiftsbehov'!G6/$AA$17</f>
        <v>0.45785301083410479</v>
      </c>
      <c r="AC6" s="55">
        <f>IF(Z6=0,0,(Z6/$Z$17)*AB6*'2022 Pensjon tjeneste'!G6/'2022 Lønnsgr pensjon tjeneste'!G6)</f>
        <v>1.8138971505273709E-2</v>
      </c>
      <c r="AD6" s="5">
        <f>IF(Z6=0,0,'2022 Nto driftsutg landet'!$C$8*'2022 Lønnsand og pensjon landet'!$D$9*('2022 Pensjon tjeneste'!G6/'2022 Lønnsgr pensjon tjeneste'!G6-$AC$17)*'2022 Revekting utgiftsbehov'!G6)</f>
        <v>-9.5010577246476373E-3</v>
      </c>
      <c r="AE6" s="5">
        <f t="shared" si="6"/>
        <v>-4.6155853394606483</v>
      </c>
      <c r="AF6" s="55">
        <f>IF('2022 Lønnsgr pensjon tjeneste'!H6&lt;100,0,(C6/$C$17)*'2022 Revekting utgiftsbehov'!H6*'2022 Pensjon tjeneste'!H6/'2022 Lønnsgr pensjon tjeneste'!H6)</f>
        <v>1.8340007902922718E-2</v>
      </c>
      <c r="AG6" s="5">
        <f>IF('2022 Lønnsgr pensjon tjeneste'!H6&lt;100,0,C6)</f>
        <v>485797</v>
      </c>
      <c r="AH6" s="55">
        <f>'2022 Revekting utgiftsbehov'!H6*AG6/$AG$17</f>
        <v>9.6355736545718454E-2</v>
      </c>
      <c r="AI6" s="55">
        <f>'2022 Revekting utgiftsbehov'!H6/$AH$17</f>
        <v>1.0761181694849329</v>
      </c>
      <c r="AJ6" s="55">
        <f>IF(AG6=0,0,(AG6/$AG$17)*AI6*'2022 Pensjon tjeneste'!H6/'2022 Lønnsgr pensjon tjeneste'!H6)</f>
        <v>1.834067769849658E-2</v>
      </c>
      <c r="AK6" s="5">
        <f>IF(AG6=0,0,'2022 Nto driftsutg landet'!$C$9*'2022 Lønnsand og pensjon landet'!$D$10*('2022 Pensjon tjeneste'!H6/'2022 Lønnsgr pensjon tjeneste'!H6-$AJ$17)*'2022 Revekting utgiftsbehov'!H6)</f>
        <v>-0.96831833069352768</v>
      </c>
      <c r="AL6" s="5">
        <f t="shared" si="7"/>
        <v>-470.40614009592366</v>
      </c>
      <c r="AM6" s="55">
        <f>IF('2022 Lønnsgr pensjon tjeneste'!K6&lt;100,0,(C6/$C$17)*'2022 Pensjon tjeneste'!K6/'2022 Lønnsgr pensjon tjeneste'!K6)</f>
        <v>1.4062633715506218E-2</v>
      </c>
      <c r="AN6" s="5">
        <f>IF('2022 Lønnsgr pensjon tjeneste'!K6&lt;100,0,C6)</f>
        <v>485797</v>
      </c>
      <c r="AO6" s="55">
        <f t="shared" si="8"/>
        <v>8.9543377564618901E-2</v>
      </c>
      <c r="AP6" s="55">
        <f t="shared" si="9"/>
        <v>1.0000365210079192</v>
      </c>
      <c r="AQ6" s="55">
        <f>IF(AN6=0,0,(AN6/$AN$17)*AP6*'2022 Pensjon tjeneste'!K6/'2022 Lønnsgr pensjon tjeneste'!K6)</f>
        <v>1.4063147297063507E-2</v>
      </c>
      <c r="AR6" s="5">
        <f>IF(AN6=0,0,'2022 Nto driftsutg landet'!$C$23*'2022 Lønnsand og pensjon landet'!$D$13*('2022 Pensjon tjeneste'!K6/'2022 Lønnsgr pensjon tjeneste'!K6-$AQ$17))</f>
        <v>-105.68441678504875</v>
      </c>
      <c r="AS6" s="5">
        <f t="shared" si="10"/>
        <v>-51341.172620926329</v>
      </c>
      <c r="AT6" s="55">
        <f>IF('2022 Lønnsgr pensjon tjeneste'!L6&lt;100,0,(C6/$C$17)*'2022 Pensjon tjeneste'!L6/'2022 Lønnsgr pensjon tjeneste'!L6)</f>
        <v>1.4773768003389098E-2</v>
      </c>
      <c r="AU6" s="5">
        <f>IF('2022 Lønnsgr pensjon tjeneste'!L6&lt;100,0,C6)</f>
        <v>485797</v>
      </c>
      <c r="AV6" s="55">
        <f t="shared" si="11"/>
        <v>0.10280454128850988</v>
      </c>
      <c r="AW6" s="55">
        <f t="shared" si="12"/>
        <v>1</v>
      </c>
      <c r="AX6" s="55">
        <f>IF(AU6=0,0,(AU6/$AU$17)*AW6*'2022 Pensjon tjeneste'!L6/'2022 Lønnsgr pensjon tjeneste'!L6)</f>
        <v>1.6961728315365729E-2</v>
      </c>
      <c r="AY6" s="5">
        <f>IF(AU6=0,0,'2022 Nto driftsutg landet'!$C$24*'2022 Lønnsand og pensjon landet'!$D$14*('2022 Pensjon tjeneste'!L6/'2022 Lønnsgr pensjon tjeneste'!L6-$AX$17))</f>
        <v>0.1462921251963433</v>
      </c>
      <c r="AZ6" s="5">
        <f t="shared" si="13"/>
        <v>71.068275544007975</v>
      </c>
      <c r="BA6" s="55">
        <f>IF('2022 Lønnsgr pensjon tjeneste'!M6&lt;100,0,(C6/$C$17)*'2022 Pensjon tjeneste'!M6/'2022 Lønnsgr pensjon tjeneste'!M6)</f>
        <v>1.5157987505114864E-2</v>
      </c>
      <c r="BB6" s="5">
        <f>IF('2022 Lønnsgr pensjon tjeneste'!M6&lt;100,0,C6)</f>
        <v>485797</v>
      </c>
      <c r="BC6" s="55">
        <f t="shared" si="14"/>
        <v>8.9543377564618901E-2</v>
      </c>
      <c r="BD6" s="55">
        <f t="shared" si="15"/>
        <v>1</v>
      </c>
      <c r="BE6" s="55">
        <f>IF(BB6=0,0,(BB6/$BB$17)*BD6*'2022 Pensjon tjeneste'!M6/'2022 Lønnsgr pensjon tjeneste'!M6)</f>
        <v>1.5157987505114864E-2</v>
      </c>
      <c r="BF6" s="5">
        <f>IF(BB6=0,0,'2022 Nto driftsutg landet'!$C$25*'2022 Lønnsand og pensjon landet'!$D$15*('2022 Pensjon tjeneste'!M6/'2022 Lønnsgr pensjon tjeneste'!M6-$BE$17))</f>
        <v>2.14873258248434E-2</v>
      </c>
      <c r="BG6" s="5">
        <f t="shared" si="16"/>
        <v>10.438478423731448</v>
      </c>
      <c r="BH6" s="55">
        <f>IF('2022 Lønnsgr pensjon tjeneste'!N6&lt;100,0,(C6/$C$17)*'2022 Pensjon tjeneste'!N6/'2022 Lønnsgr pensjon tjeneste'!N6)</f>
        <v>1.4800838185845547E-2</v>
      </c>
      <c r="BI6" s="5">
        <f>IF('2022 Lønnsgr pensjon tjeneste'!N6&lt;100,0,C6)</f>
        <v>485797</v>
      </c>
      <c r="BJ6" s="55">
        <f t="shared" si="17"/>
        <v>8.9543377564618901E-2</v>
      </c>
      <c r="BK6" s="55">
        <f t="shared" si="18"/>
        <v>1</v>
      </c>
      <c r="BL6" s="55">
        <f>IF(BI6=0,0,(BI6/$BI$17)*BK6*'2022 Pensjon tjeneste'!N6/'2022 Lønnsgr pensjon tjeneste'!N6)</f>
        <v>1.4800838185845547E-2</v>
      </c>
      <c r="BM6" s="5">
        <f>IF(BI6=0,0,'2022 Nto driftsutg landet'!$C$26*'2022 Lønnsand og pensjon landet'!$D$16*('2022 Pensjon tjeneste'!N6/'2022 Lønnsgr pensjon tjeneste'!N6-$BL$17))</f>
        <v>-0.24187775853310844</v>
      </c>
      <c r="BN6" s="5">
        <f t="shared" si="19"/>
        <v>-117.50348946210848</v>
      </c>
      <c r="BO6" s="55">
        <f>IF('2022 Lønnsgr pensjon tjeneste'!O6&lt;100,0,(C6/$C$17)*'2022 Pensjon tjeneste'!O6/'2022 Lønnsgr pensjon tjeneste'!O6)</f>
        <v>0</v>
      </c>
      <c r="BP6" s="5">
        <f>IF('2022 Lønnsgr pensjon tjeneste'!O6&lt;100,0,C6)</f>
        <v>0</v>
      </c>
      <c r="BQ6" s="55">
        <f t="shared" si="20"/>
        <v>0</v>
      </c>
      <c r="BR6" s="55">
        <f t="shared" si="21"/>
        <v>1</v>
      </c>
      <c r="BS6" s="55">
        <f>IF(BP6=0,0,(BP6/$BP$17)*BR6*'2022 Pensjon tjeneste'!O6/'2022 Lønnsgr pensjon tjeneste'!O6)</f>
        <v>0</v>
      </c>
      <c r="BT6" s="5">
        <f>IF(BP6=0,0,'2022 Nto driftsutg landet'!$C$27*'2022 Lønnsand og pensjon landet'!$D$17*('2022 Pensjon tjeneste'!O6/'2022 Lønnsgr pensjon tjeneste'!O6-$BS$17))</f>
        <v>0</v>
      </c>
      <c r="BU6" s="5">
        <f t="shared" si="22"/>
        <v>0</v>
      </c>
      <c r="BV6" s="55">
        <f>IF('2022 Lønnsgr pensjon tjeneste'!P6&lt;100,0,(C6/$C$17)*'2022 Pensjon tjeneste'!P6/'2022 Lønnsgr pensjon tjeneste'!P6)</f>
        <v>8.482125551693552E-3</v>
      </c>
      <c r="BW6" s="5">
        <f>IF('2022 Lønnsgr pensjon tjeneste'!P6&lt;100,0,C6)</f>
        <v>485797</v>
      </c>
      <c r="BX6" s="55">
        <f t="shared" si="23"/>
        <v>0.1439816171861408</v>
      </c>
      <c r="BY6" s="55">
        <f t="shared" si="24"/>
        <v>1</v>
      </c>
      <c r="BZ6" s="55">
        <f>IF(BW6=0,0,(BW6/$BW$17)*BY6*'2022 Pensjon tjeneste'!P6/'2022 Lønnsgr pensjon tjeneste'!P6)</f>
        <v>1.363886629390762E-2</v>
      </c>
      <c r="CA6" s="5">
        <f>IF(BW6=0,0,'2022 Nto driftsutg landet'!$C$28*'2022 Lønnsand og pensjon landet'!$D$18*('2022 Pensjon tjeneste'!P6/'2022 Lønnsgr pensjon tjeneste'!P6-$BZ$17))</f>
        <v>5.0885002780894284E-3</v>
      </c>
      <c r="CB6" s="5">
        <f t="shared" si="25"/>
        <v>2.47197816959501</v>
      </c>
      <c r="CC6" s="5"/>
      <c r="CD6" s="5"/>
      <c r="CE6" s="5"/>
    </row>
    <row r="7" spans="1:83" x14ac:dyDescent="0.3">
      <c r="A7" s="41">
        <v>1500</v>
      </c>
      <c r="B7" s="42" t="s">
        <v>140</v>
      </c>
      <c r="C7" s="42">
        <f>+'2022 Nto driftsutg'!W7</f>
        <v>265848</v>
      </c>
      <c r="D7" s="55">
        <f>IF('2022 Lønnsgr pensjon tjeneste'!D7&lt;100,0,(C7/$C$17)*'2022 Revekting utgiftsbehov'!D7*'2022 Pensjon tjeneste'!D7/'2022 Lønnsgr pensjon tjeneste'!D7)</f>
        <v>5.4040466726355688E-3</v>
      </c>
      <c r="E7" s="5">
        <f>IF('2022 Lønnsgr pensjon tjeneste'!D7&lt;100,0,C7)</f>
        <v>265848</v>
      </c>
      <c r="F7" s="55">
        <f>'2022 Revekting utgiftsbehov'!D7*E7/$E$17</f>
        <v>5.458473231657042E-2</v>
      </c>
      <c r="G7" s="55">
        <f>'2022 Revekting utgiftsbehov'!D7/$F$17</f>
        <v>1.1139137651043338</v>
      </c>
      <c r="H7" s="55">
        <f>IF(E7=0,0,(E7/$E$17)*G7*'2022 Pensjon tjeneste'!D7/'2022 Lønnsgr pensjon tjeneste'!D7)</f>
        <v>5.4039524362453307E-3</v>
      </c>
      <c r="I7" s="5">
        <f>IF(E7=0,0,'2022 Nto driftsutg landet'!$C$5*'2022 Lønnsand og pensjon landet'!$D$6*('2022 Pensjon tjeneste'!D7/'2022 Lønnsgr pensjon tjeneste'!D7-$H$17)*'2022 Revekting utgiftsbehov'!D7)</f>
        <v>16.573262990160959</v>
      </c>
      <c r="J7" s="5">
        <f t="shared" si="3"/>
        <v>4405.968819408311</v>
      </c>
      <c r="K7" s="55">
        <f>IF('2022 Lønnsgr pensjon tjeneste'!E7&lt;100,0,(C7/$C$17)*'2022 Revekting utgiftsbehov'!E7*'2022 Pensjon tjeneste'!E7/'2022 Lønnsgr pensjon tjeneste'!E7)</f>
        <v>3.6964733279840539E-2</v>
      </c>
      <c r="L7" s="5">
        <f>IF('2022 Lønnsgr pensjon tjeneste'!E7&lt;100,0,C7)</f>
        <v>265848</v>
      </c>
      <c r="M7" s="55">
        <f>'2022 Revekting utgiftsbehov'!E7*L7/$L$17</f>
        <v>8.7049336860158935E-2</v>
      </c>
      <c r="N7" s="55">
        <f>'2022 Revekting utgiftsbehov'!E7/$M$17</f>
        <v>1.3953056496005194</v>
      </c>
      <c r="O7" s="55">
        <f>IF(L7=0,0,(L7/$L$17)*N7*'2022 Pensjon tjeneste'!E7/'2022 Lønnsgr pensjon tjeneste'!E7)</f>
        <v>3.8270237621369503E-2</v>
      </c>
      <c r="P7" s="5">
        <f>IF(L7=0,0,'2022 Nto driftsutg landet'!$C$6*'2022 Lønnsand og pensjon landet'!$D$7*('2022 Pensjon tjeneste'!E7/'2022 Lønnsgr pensjon tjeneste'!E7-$O$17)*'2022 Revekting utgiftsbehov'!E7)</f>
        <v>32.150850458298557</v>
      </c>
      <c r="Q7" s="5">
        <f t="shared" si="4"/>
        <v>8547.2392926377543</v>
      </c>
      <c r="R7" s="55">
        <f>IF('2022 Lønnsgr pensjon tjeneste'!F7&lt;100,0,(C7/$C$17)*'2022 Revekting utgiftsbehov'!F7*'2022 Pensjon tjeneste'!F7/'2022 Lønnsgr pensjon tjeneste'!F7)</f>
        <v>1.2594869082488386E-2</v>
      </c>
      <c r="S7" s="5">
        <f>IF('2022 Lønnsgr pensjon tjeneste'!F7&lt;100,0,C7)</f>
        <v>265848</v>
      </c>
      <c r="T7" s="55">
        <f>'2022 Revekting utgiftsbehov'!F7*S7/$S$17</f>
        <v>4.8776376867628694E-2</v>
      </c>
      <c r="U7" s="55">
        <f>'2022 Revekting utgiftsbehov'!F7/$T$17</f>
        <v>0.99510408841508025</v>
      </c>
      <c r="V7" s="55">
        <f>IF(S7=0,0,(S7/$S$17)*U7*'2022 Pensjon tjeneste'!F7/'2022 Lønnsgr pensjon tjeneste'!F7)</f>
        <v>1.2591128939319013E-2</v>
      </c>
      <c r="W7" s="5">
        <f>IF(S7=0,0,'2022 Nto driftsutg landet'!$C$7*'2022 Lønnsand og pensjon landet'!$D$8*('2022 Pensjon tjeneste'!F7/'2022 Lønnsgr pensjon tjeneste'!F7-$V$17)*'2022 Revekting utgiftsbehov'!F7)</f>
        <v>2.2283229527754331</v>
      </c>
      <c r="X7" s="5">
        <f t="shared" si="5"/>
        <v>592.39520034944337</v>
      </c>
      <c r="Y7" s="55">
        <f>IF('2022 Lønnsgr pensjon tjeneste'!G7&lt;100,0,(C7/$C$17)*'2022 Revekting utgiftsbehov'!G7*'2022 Pensjon tjeneste'!G7/'2022 Lønnsgr pensjon tjeneste'!G7)</f>
        <v>2.9675776402698164E-2</v>
      </c>
      <c r="Z7" s="5">
        <f>IF('2022 Lønnsgr pensjon tjeneste'!G7&lt;100,0,C7)</f>
        <v>265848</v>
      </c>
      <c r="AA7" s="55">
        <f>'2022 Revekting utgiftsbehov'!G7*Z7/$Z$17</f>
        <v>0.34297415324440217</v>
      </c>
      <c r="AB7" s="55">
        <f>'2022 Revekting utgiftsbehov'!G7/$AA$17</f>
        <v>1.8853013997753012</v>
      </c>
      <c r="AC7" s="55">
        <f>IF(Z7=0,0,(Z7/$Z$17)*AB7*'2022 Pensjon tjeneste'!G7/'2022 Lønnsgr pensjon tjeneste'!G7)</f>
        <v>4.1185855874425838E-2</v>
      </c>
      <c r="AD7" s="5">
        <f>IF(Z7=0,0,'2022 Nto driftsutg landet'!$C$8*'2022 Lønnsand og pensjon landet'!$D$9*('2022 Pensjon tjeneste'!G7/'2022 Lønnsgr pensjon tjeneste'!G7-$AC$17)*'2022 Revekting utgiftsbehov'!G7)</f>
        <v>-1.6297524226749505E-2</v>
      </c>
      <c r="AE7" s="5">
        <f t="shared" si="6"/>
        <v>-4.3326642206329025</v>
      </c>
      <c r="AF7" s="55">
        <f>IF('2022 Lønnsgr pensjon tjeneste'!H7&lt;100,0,(C7/$C$17)*'2022 Revekting utgiftsbehov'!H7*'2022 Pensjon tjeneste'!H7/'2022 Lønnsgr pensjon tjeneste'!H7)</f>
        <v>1.0544728553075774E-2</v>
      </c>
      <c r="AG7" s="5">
        <f>IF('2022 Lønnsgr pensjon tjeneste'!H7&lt;100,0,C7)</f>
        <v>265848</v>
      </c>
      <c r="AH7" s="55">
        <f>'2022 Revekting utgiftsbehov'!H7*AG7/$AG$17</f>
        <v>5.0474067778318865E-2</v>
      </c>
      <c r="AI7" s="55">
        <f>'2022 Revekting utgiftsbehov'!H7/$AH$17</f>
        <v>1.0300827782874455</v>
      </c>
      <c r="AJ7" s="55">
        <f>IF(AG7=0,0,(AG7/$AG$17)*AI7*'2022 Pensjon tjeneste'!H7/'2022 Lønnsgr pensjon tjeneste'!H7)</f>
        <v>1.0545113657190771E-2</v>
      </c>
      <c r="AK7" s="5">
        <f>IF(AG7=0,0,'2022 Nto driftsutg landet'!$C$9*'2022 Lønnsand og pensjon landet'!$D$10*('2022 Pensjon tjeneste'!H7/'2022 Lønnsgr pensjon tjeneste'!H7-$AJ$17)*'2022 Revekting utgiftsbehov'!H7)</f>
        <v>4.441881766783097</v>
      </c>
      <c r="AL7" s="5">
        <f t="shared" si="7"/>
        <v>1180.8653839357528</v>
      </c>
      <c r="AM7" s="55">
        <f>IF('2022 Lønnsgr pensjon tjeneste'!K7&lt;100,0,(C7/$C$17)*'2022 Pensjon tjeneste'!K7/'2022 Lønnsgr pensjon tjeneste'!K7)</f>
        <v>9.4417816859546956E-3</v>
      </c>
      <c r="AN7" s="5">
        <f>IF('2022 Lønnsgr pensjon tjeneste'!K7&lt;100,0,C7)</f>
        <v>265848</v>
      </c>
      <c r="AO7" s="55">
        <f t="shared" si="8"/>
        <v>4.9001800832032323E-2</v>
      </c>
      <c r="AP7" s="55">
        <f t="shared" si="9"/>
        <v>1.0000365210079192</v>
      </c>
      <c r="AQ7" s="55">
        <f>IF(AN7=0,0,(AN7/$AN$17)*AP7*'2022 Pensjon tjeneste'!K7/'2022 Lønnsgr pensjon tjeneste'!K7)</f>
        <v>9.442126509338419E-3</v>
      </c>
      <c r="AR7" s="5">
        <f>IF(AN7=0,0,'2022 Nto driftsutg landet'!$C$23*'2022 Lønnsand og pensjon landet'!$D$13*('2022 Pensjon tjeneste'!K7/'2022 Lønnsgr pensjon tjeneste'!K7-$AQ$17))</f>
        <v>-93.906782777956451</v>
      </c>
      <c r="AS7" s="5">
        <f t="shared" si="10"/>
        <v>-24964.930387954169</v>
      </c>
      <c r="AT7" s="55">
        <f>IF('2022 Lønnsgr pensjon tjeneste'!L7&lt;100,0,(C7/$C$17)*'2022 Pensjon tjeneste'!L7/'2022 Lønnsgr pensjon tjeneste'!L7)</f>
        <v>9.3626731457339823E-3</v>
      </c>
      <c r="AU7" s="5">
        <f>IF('2022 Lønnsgr pensjon tjeneste'!L7&lt;100,0,C7)</f>
        <v>265848</v>
      </c>
      <c r="AV7" s="55">
        <f t="shared" si="11"/>
        <v>5.6258852344637317E-2</v>
      </c>
      <c r="AW7" s="55">
        <f t="shared" si="12"/>
        <v>1</v>
      </c>
      <c r="AX7" s="55">
        <f>IF(AU7=0,0,(AU7/$AU$17)*AW7*'2022 Pensjon tjeneste'!L7/'2022 Lønnsgr pensjon tjeneste'!L7)</f>
        <v>1.0749263029382896E-2</v>
      </c>
      <c r="AY7" s="5">
        <f>IF(AU7=0,0,'2022 Nto driftsutg landet'!$C$24*'2022 Lønnsand og pensjon landet'!$D$14*('2022 Pensjon tjeneste'!L7/'2022 Lønnsgr pensjon tjeneste'!L7-$AX$17))</f>
        <v>1.415243373231055</v>
      </c>
      <c r="AZ7" s="5">
        <f t="shared" si="13"/>
        <v>376.23962028672946</v>
      </c>
      <c r="BA7" s="55">
        <f>IF('2022 Lønnsgr pensjon tjeneste'!M7&lt;100,0,(C7/$C$17)*'2022 Pensjon tjeneste'!M7/'2022 Lønnsgr pensjon tjeneste'!M7)</f>
        <v>9.6477158148050943E-3</v>
      </c>
      <c r="BB7" s="5">
        <f>IF('2022 Lønnsgr pensjon tjeneste'!M7&lt;100,0,C7)</f>
        <v>265848</v>
      </c>
      <c r="BC7" s="55">
        <f t="shared" si="14"/>
        <v>4.9001800832032323E-2</v>
      </c>
      <c r="BD7" s="55">
        <f t="shared" si="15"/>
        <v>1</v>
      </c>
      <c r="BE7" s="55">
        <f>IF(BB7=0,0,(BB7/$BB$17)*BD7*'2022 Pensjon tjeneste'!M7/'2022 Lønnsgr pensjon tjeneste'!M7)</f>
        <v>9.6477158148050943E-3</v>
      </c>
      <c r="BF7" s="5">
        <f>IF(BB7=0,0,'2022 Nto driftsutg landet'!$C$25*'2022 Lønnsand og pensjon landet'!$D$15*('2022 Pensjon tjeneste'!M7/'2022 Lønnsgr pensjon tjeneste'!M7-$BE$17))</f>
        <v>-3.9100457094664975E-2</v>
      </c>
      <c r="BG7" s="5">
        <f t="shared" si="16"/>
        <v>-10.394778317702494</v>
      </c>
      <c r="BH7" s="55">
        <f>IF('2022 Lønnsgr pensjon tjeneste'!N7&lt;100,0,(C7/$C$17)*'2022 Pensjon tjeneste'!N7/'2022 Lønnsgr pensjon tjeneste'!N7)</f>
        <v>1.0116523582158614E-2</v>
      </c>
      <c r="BI7" s="5">
        <f>IF('2022 Lønnsgr pensjon tjeneste'!N7&lt;100,0,C7)</f>
        <v>265848</v>
      </c>
      <c r="BJ7" s="55">
        <f t="shared" si="17"/>
        <v>4.9001800832032323E-2</v>
      </c>
      <c r="BK7" s="55">
        <f t="shared" si="18"/>
        <v>1</v>
      </c>
      <c r="BL7" s="55">
        <f>IF(BI7=0,0,(BI7/$BI$17)*BK7*'2022 Pensjon tjeneste'!N7/'2022 Lønnsgr pensjon tjeneste'!N7)</f>
        <v>1.0116523582158614E-2</v>
      </c>
      <c r="BM7" s="5">
        <f>IF(BI7=0,0,'2022 Nto driftsutg landet'!$C$26*'2022 Lønnsand og pensjon landet'!$D$16*('2022 Pensjon tjeneste'!N7/'2022 Lønnsgr pensjon tjeneste'!N7-$BL$17))</f>
        <v>0.83610243558762598</v>
      </c>
      <c r="BN7" s="5">
        <f t="shared" si="19"/>
        <v>222.27616029609919</v>
      </c>
      <c r="BO7" s="55">
        <f>IF('2022 Lønnsgr pensjon tjeneste'!O7&lt;100,0,(C7/$C$17)*'2022 Pensjon tjeneste'!O7/'2022 Lønnsgr pensjon tjeneste'!O7)</f>
        <v>0</v>
      </c>
      <c r="BP7" s="5">
        <f>IF('2022 Lønnsgr pensjon tjeneste'!O7&lt;100,0,C7)</f>
        <v>0</v>
      </c>
      <c r="BQ7" s="55">
        <f t="shared" si="20"/>
        <v>0</v>
      </c>
      <c r="BR7" s="55">
        <f t="shared" si="21"/>
        <v>1</v>
      </c>
      <c r="BS7" s="55">
        <f>IF(BP7=0,0,(BP7/$BP$17)*BR7*'2022 Pensjon tjeneste'!O7/'2022 Lønnsgr pensjon tjeneste'!O7)</f>
        <v>0</v>
      </c>
      <c r="BT7" s="5">
        <f>IF(BP7=0,0,'2022 Nto driftsutg landet'!$C$27*'2022 Lønnsand og pensjon landet'!$D$17*('2022 Pensjon tjeneste'!O7/'2022 Lønnsgr pensjon tjeneste'!O7-$BS$17))</f>
        <v>0</v>
      </c>
      <c r="BU7" s="5">
        <f t="shared" si="22"/>
        <v>0</v>
      </c>
      <c r="BV7" s="55">
        <f>IF('2022 Lønnsgr pensjon tjeneste'!P7&lt;100,0,(C7/$C$17)*'2022 Pensjon tjeneste'!P7/'2022 Lønnsgr pensjon tjeneste'!P7)</f>
        <v>0</v>
      </c>
      <c r="BW7" s="5">
        <f>IF('2022 Lønnsgr pensjon tjeneste'!P7&lt;100,0,C7)</f>
        <v>0</v>
      </c>
      <c r="BX7" s="55">
        <f t="shared" si="23"/>
        <v>0</v>
      </c>
      <c r="BY7" s="55">
        <f t="shared" si="24"/>
        <v>1</v>
      </c>
      <c r="BZ7" s="55">
        <f>IF(BW7=0,0,(BW7/$BW$17)*BY7*'2022 Pensjon tjeneste'!P7/'2022 Lønnsgr pensjon tjeneste'!P7)</f>
        <v>0</v>
      </c>
      <c r="CA7" s="5">
        <f>IF(BW7=0,0,'2022 Nto driftsutg landet'!$C$28*'2022 Lønnsand og pensjon landet'!$D$18*('2022 Pensjon tjeneste'!P7/'2022 Lønnsgr pensjon tjeneste'!P7-$BZ$17))</f>
        <v>0</v>
      </c>
      <c r="CB7" s="5">
        <f t="shared" si="25"/>
        <v>0</v>
      </c>
      <c r="CC7" s="5"/>
      <c r="CD7" s="5"/>
      <c r="CE7" s="5"/>
    </row>
    <row r="8" spans="1:83" x14ac:dyDescent="0.3">
      <c r="A8" s="41">
        <v>1800</v>
      </c>
      <c r="B8" s="42" t="s">
        <v>141</v>
      </c>
      <c r="C8" s="42">
        <f>+'2022 Nto driftsutg'!W8</f>
        <v>240190</v>
      </c>
      <c r="D8" s="55">
        <f>IF('2022 Lønnsgr pensjon tjeneste'!D8&lt;100,0,(C8/$C$17)*'2022 Revekting utgiftsbehov'!D8*'2022 Pensjon tjeneste'!D8/'2022 Lønnsgr pensjon tjeneste'!D8)</f>
        <v>5.5043336020607582E-3</v>
      </c>
      <c r="E8" s="5">
        <f>IF('2022 Lønnsgr pensjon tjeneste'!D8&lt;100,0,C8)</f>
        <v>240190</v>
      </c>
      <c r="F8" s="55">
        <f>'2022 Revekting utgiftsbehov'!D8*E8/$E$17</f>
        <v>4.7546162732417005E-2</v>
      </c>
      <c r="G8" s="55">
        <f>'2022 Revekting utgiftsbehov'!D8/$F$17</f>
        <v>1.0739259424287657</v>
      </c>
      <c r="H8" s="55">
        <f>IF(E8=0,0,(E8/$E$17)*G8*'2022 Pensjon tjeneste'!D8/'2022 Lønnsgr pensjon tjeneste'!D8)</f>
        <v>5.5042376168554594E-3</v>
      </c>
      <c r="I8" s="5">
        <f>IF(E8=0,0,'2022 Nto driftsutg landet'!$C$5*'2022 Lønnsand og pensjon landet'!$D$6*('2022 Pensjon tjeneste'!D8/'2022 Lønnsgr pensjon tjeneste'!D8-$H$17)*'2022 Revekting utgiftsbehov'!D8)</f>
        <v>80.341326806397205</v>
      </c>
      <c r="J8" s="5">
        <f t="shared" si="3"/>
        <v>19297.183285628547</v>
      </c>
      <c r="K8" s="55">
        <f>IF('2022 Lønnsgr pensjon tjeneste'!E8&lt;100,0,(C8/$C$17)*'2022 Revekting utgiftsbehov'!E8*'2022 Pensjon tjeneste'!E8/'2022 Lønnsgr pensjon tjeneste'!E8)</f>
        <v>2.8718019419089073E-2</v>
      </c>
      <c r="L8" s="5">
        <f>IF('2022 Lønnsgr pensjon tjeneste'!E8&lt;100,0,C8)</f>
        <v>240190</v>
      </c>
      <c r="M8" s="55">
        <f>'2022 Revekting utgiftsbehov'!E8*L8/$L$17</f>
        <v>8.9132068324006872E-2</v>
      </c>
      <c r="N8" s="55">
        <f>'2022 Revekting utgiftsbehov'!E8/$M$17</f>
        <v>1.5813075535186731</v>
      </c>
      <c r="O8" s="55">
        <f>IF(L8=0,0,(L8/$L$17)*N8*'2022 Pensjon tjeneste'!E8/'2022 Lønnsgr pensjon tjeneste'!E8)</f>
        <v>2.9732269914227394E-2</v>
      </c>
      <c r="P8" s="5">
        <f>IF(L8=0,0,'2022 Nto driftsutg landet'!$C$6*'2022 Lønnsand og pensjon landet'!$D$7*('2022 Pensjon tjeneste'!E8/'2022 Lønnsgr pensjon tjeneste'!E8-$O$17)*'2022 Revekting utgiftsbehov'!E8)</f>
        <v>12.327267553333954</v>
      </c>
      <c r="Q8" s="5">
        <f t="shared" si="4"/>
        <v>2960.8863936352823</v>
      </c>
      <c r="R8" s="55">
        <f>IF('2022 Lønnsgr pensjon tjeneste'!F8&lt;100,0,(C8/$C$17)*'2022 Revekting utgiftsbehov'!F8*'2022 Pensjon tjeneste'!F8/'2022 Lønnsgr pensjon tjeneste'!F8)</f>
        <v>1.0849224464492744E-2</v>
      </c>
      <c r="S8" s="5">
        <f>IF('2022 Lønnsgr pensjon tjeneste'!F8&lt;100,0,C8)</f>
        <v>240190</v>
      </c>
      <c r="T8" s="55">
        <f>'2022 Revekting utgiftsbehov'!F8*S8/$S$17</f>
        <v>4.5178268844721092E-2</v>
      </c>
      <c r="U8" s="55">
        <f>'2022 Revekting utgiftsbehov'!F8/$T$17</f>
        <v>1.0201570465367038</v>
      </c>
      <c r="V8" s="55">
        <f>IF(S8=0,0,(S8/$S$17)*U8*'2022 Pensjon tjeneste'!F8/'2022 Lønnsgr pensjon tjeneste'!F8)</f>
        <v>1.0846002703908484E-2</v>
      </c>
      <c r="W8" s="5">
        <f>IF(S8=0,0,'2022 Nto driftsutg landet'!$C$7*'2022 Lønnsand og pensjon landet'!$D$8*('2022 Pensjon tjeneste'!F8/'2022 Lønnsgr pensjon tjeneste'!F8-$V$17)*'2022 Revekting utgiftsbehov'!F8)</f>
        <v>1.6198527416229647</v>
      </c>
      <c r="X8" s="5">
        <f t="shared" si="5"/>
        <v>389.07243001041985</v>
      </c>
      <c r="Y8" s="55">
        <f>IF('2022 Lønnsgr pensjon tjeneste'!G8&lt;100,0,(C8/$C$17)*'2022 Revekting utgiftsbehov'!G8*'2022 Pensjon tjeneste'!G8/'2022 Lønnsgr pensjon tjeneste'!G8)</f>
        <v>5.4743439079621051E-2</v>
      </c>
      <c r="Z8" s="5">
        <f>IF('2022 Lønnsgr pensjon tjeneste'!G8&lt;100,0,C8)</f>
        <v>240190</v>
      </c>
      <c r="AA8" s="55">
        <f>'2022 Revekting utgiftsbehov'!G8*Z8/$Z$17</f>
        <v>0.53934835043623908</v>
      </c>
      <c r="AB8" s="55">
        <f>'2022 Revekting utgiftsbehov'!G8/$AA$17</f>
        <v>3.2814608521916004</v>
      </c>
      <c r="AC8" s="55">
        <f>IF(Z8=0,0,(Z8/$Z$17)*AB8*'2022 Pensjon tjeneste'!G8/'2022 Lønnsgr pensjon tjeneste'!G8)</f>
        <v>7.5976289934530108E-2</v>
      </c>
      <c r="AD8" s="5">
        <f>IF(Z8=0,0,'2022 Nto driftsutg landet'!$C$8*'2022 Lønnsand og pensjon landet'!$D$9*('2022 Pensjon tjeneste'!G8/'2022 Lønnsgr pensjon tjeneste'!G8-$AC$17)*'2022 Revekting utgiftsbehov'!G8)</f>
        <v>0.87933475185761401</v>
      </c>
      <c r="AE8" s="5">
        <f t="shared" si="6"/>
        <v>211.20741404868031</v>
      </c>
      <c r="AF8" s="55">
        <f>IF('2022 Lønnsgr pensjon tjeneste'!H8&lt;100,0,(C8/$C$17)*'2022 Revekting utgiftsbehov'!H8*'2022 Pensjon tjeneste'!H8/'2022 Lønnsgr pensjon tjeneste'!H8)</f>
        <v>1.021006413476723E-2</v>
      </c>
      <c r="AG8" s="5">
        <f>IF('2022 Lønnsgr pensjon tjeneste'!H8&lt;100,0,C8)</f>
        <v>240190</v>
      </c>
      <c r="AH8" s="55">
        <f>'2022 Revekting utgiftsbehov'!H8*AG8/$AG$17</f>
        <v>4.3489173014098839E-2</v>
      </c>
      <c r="AI8" s="55">
        <f>'2022 Revekting utgiftsbehov'!H8/$AH$17</f>
        <v>0.98234365487021258</v>
      </c>
      <c r="AJ8" s="55">
        <f>IF(AG8=0,0,(AG8/$AG$17)*AI8*'2022 Pensjon tjeneste'!H8/'2022 Lønnsgr pensjon tjeneste'!H8)</f>
        <v>1.0210437016600351E-2</v>
      </c>
      <c r="AK8" s="5">
        <f>IF(AG8=0,0,'2022 Nto driftsutg landet'!$C$9*'2022 Lønnsand og pensjon landet'!$D$10*('2022 Pensjon tjeneste'!H8/'2022 Lønnsgr pensjon tjeneste'!H8-$AJ$17)*'2022 Revekting utgiftsbehov'!H8)</f>
        <v>11.36276104498454</v>
      </c>
      <c r="AL8" s="5">
        <f t="shared" si="7"/>
        <v>2729.2215753948367</v>
      </c>
      <c r="AM8" s="55">
        <f>IF('2022 Lønnsgr pensjon tjeneste'!K8&lt;100,0,(C8/$C$17)*'2022 Pensjon tjeneste'!K8/'2022 Lønnsgr pensjon tjeneste'!K8)</f>
        <v>1.0129725349621713E-2</v>
      </c>
      <c r="AN8" s="5">
        <f>IF('2022 Lønnsgr pensjon tjeneste'!K8&lt;100,0,C8)</f>
        <v>240190</v>
      </c>
      <c r="AO8" s="55">
        <f t="shared" si="8"/>
        <v>4.4272450956357935E-2</v>
      </c>
      <c r="AP8" s="55">
        <f t="shared" si="9"/>
        <v>1.0000365210079192</v>
      </c>
      <c r="AQ8" s="55">
        <f>IF(AN8=0,0,(AN8/$AN$17)*AP8*'2022 Pensjon tjeneste'!K8/'2022 Lønnsgr pensjon tjeneste'!K8)</f>
        <v>1.0130095297401425E-2</v>
      </c>
      <c r="AR8" s="5">
        <f>IF(AN8=0,0,'2022 Nto driftsutg landet'!$C$23*'2022 Lønnsand og pensjon landet'!$D$13*('2022 Pensjon tjeneste'!K8/'2022 Lønnsgr pensjon tjeneste'!K8-$AQ$17))</f>
        <v>-81.967902808762346</v>
      </c>
      <c r="AS8" s="5">
        <f t="shared" si="10"/>
        <v>-19687.870575636629</v>
      </c>
      <c r="AT8" s="55">
        <f>IF('2022 Lønnsgr pensjon tjeneste'!L8&lt;100,0,(C8/$C$17)*'2022 Pensjon tjeneste'!L8/'2022 Lønnsgr pensjon tjeneste'!L8)</f>
        <v>1.0196756307104727E-2</v>
      </c>
      <c r="AU8" s="5">
        <f>IF('2022 Lønnsgr pensjon tjeneste'!L8&lt;100,0,C8)</f>
        <v>240190</v>
      </c>
      <c r="AV8" s="55">
        <f t="shared" si="11"/>
        <v>5.0829096869859612E-2</v>
      </c>
      <c r="AW8" s="55">
        <f t="shared" si="12"/>
        <v>1</v>
      </c>
      <c r="AX8" s="55">
        <f>IF(AU8=0,0,(AU8/$AU$17)*AW8*'2022 Pensjon tjeneste'!L8/'2022 Lønnsgr pensjon tjeneste'!L8)</f>
        <v>1.170687194623786E-2</v>
      </c>
      <c r="AY8" s="5">
        <f>IF(AU8=0,0,'2022 Nto driftsutg landet'!$C$24*'2022 Lønnsand og pensjon landet'!$D$14*('2022 Pensjon tjeneste'!L8/'2022 Lønnsgr pensjon tjeneste'!L8-$AX$17))</f>
        <v>3.325169657661402</v>
      </c>
      <c r="AZ8" s="5">
        <f t="shared" si="13"/>
        <v>798.67250007369216</v>
      </c>
      <c r="BA8" s="55">
        <f>IF('2022 Lønnsgr pensjon tjeneste'!M8&lt;100,0,(C8/$C$17)*'2022 Pensjon tjeneste'!M8/'2022 Lønnsgr pensjon tjeneste'!M8)</f>
        <v>9.8799879407778096E-3</v>
      </c>
      <c r="BB8" s="5">
        <f>IF('2022 Lønnsgr pensjon tjeneste'!M8&lt;100,0,C8)</f>
        <v>240190</v>
      </c>
      <c r="BC8" s="55">
        <f t="shared" si="14"/>
        <v>4.4272450956357935E-2</v>
      </c>
      <c r="BD8" s="55">
        <f t="shared" si="15"/>
        <v>1</v>
      </c>
      <c r="BE8" s="55">
        <f>IF(BB8=0,0,(BB8/$BB$17)*BD8*'2022 Pensjon tjeneste'!M8/'2022 Lønnsgr pensjon tjeneste'!M8)</f>
        <v>9.8799879407778096E-3</v>
      </c>
      <c r="BF8" s="5">
        <f>IF(BB8=0,0,'2022 Nto driftsutg landet'!$C$25*'2022 Lønnsand og pensjon landet'!$D$15*('2022 Pensjon tjeneste'!M8/'2022 Lønnsgr pensjon tjeneste'!M8-$BE$17))</f>
        <v>-9.6778766729163107E-2</v>
      </c>
      <c r="BG8" s="5">
        <f t="shared" si="16"/>
        <v>-23.245291980677688</v>
      </c>
      <c r="BH8" s="55">
        <f>IF('2022 Lønnsgr pensjon tjeneste'!N8&lt;100,0,(C8/$C$17)*'2022 Pensjon tjeneste'!N8/'2022 Lønnsgr pensjon tjeneste'!N8)</f>
        <v>9.9354939927314024E-3</v>
      </c>
      <c r="BI8" s="5">
        <f>IF('2022 Lønnsgr pensjon tjeneste'!N8&lt;100,0,C8)</f>
        <v>240190</v>
      </c>
      <c r="BJ8" s="55">
        <f t="shared" si="17"/>
        <v>4.4272450956357935E-2</v>
      </c>
      <c r="BK8" s="55">
        <f t="shared" si="18"/>
        <v>1</v>
      </c>
      <c r="BL8" s="55">
        <f>IF(BI8=0,0,(BI8/$BI$17)*BK8*'2022 Pensjon tjeneste'!N8/'2022 Lønnsgr pensjon tjeneste'!N8)</f>
        <v>9.9354939927314024E-3</v>
      </c>
      <c r="BM8" s="5">
        <f>IF(BI8=0,0,'2022 Nto driftsutg landet'!$C$26*'2022 Lønnsand og pensjon landet'!$D$16*('2022 Pensjon tjeneste'!N8/'2022 Lønnsgr pensjon tjeneste'!N8-$BL$17))</f>
        <v>1.3066091409511535</v>
      </c>
      <c r="BN8" s="5">
        <f t="shared" si="19"/>
        <v>313.83444956505758</v>
      </c>
      <c r="BO8" s="55">
        <f>IF('2022 Lønnsgr pensjon tjeneste'!O8&lt;100,0,(C8/$C$17)*'2022 Pensjon tjeneste'!O8/'2022 Lønnsgr pensjon tjeneste'!O8)</f>
        <v>0</v>
      </c>
      <c r="BP8" s="5">
        <f>IF('2022 Lønnsgr pensjon tjeneste'!O8&lt;100,0,C8)</f>
        <v>0</v>
      </c>
      <c r="BQ8" s="55">
        <f t="shared" si="20"/>
        <v>0</v>
      </c>
      <c r="BR8" s="55">
        <f t="shared" si="21"/>
        <v>1</v>
      </c>
      <c r="BS8" s="55">
        <f>IF(BP8=0,0,(BP8/$BP$17)*BR8*'2022 Pensjon tjeneste'!O8/'2022 Lønnsgr pensjon tjeneste'!O8)</f>
        <v>0</v>
      </c>
      <c r="BT8" s="5">
        <f>IF(BP8=0,0,'2022 Nto driftsutg landet'!$C$27*'2022 Lønnsand og pensjon landet'!$D$17*('2022 Pensjon tjeneste'!O8/'2022 Lønnsgr pensjon tjeneste'!O8-$BS$17))</f>
        <v>0</v>
      </c>
      <c r="BU8" s="5">
        <f t="shared" si="22"/>
        <v>0</v>
      </c>
      <c r="BV8" s="55">
        <f>IF('2022 Lønnsgr pensjon tjeneste'!P8&lt;100,0,(C8/$C$17)*'2022 Pensjon tjeneste'!P8/'2022 Lønnsgr pensjon tjeneste'!P8)</f>
        <v>0</v>
      </c>
      <c r="BW8" s="5">
        <f>IF('2022 Lønnsgr pensjon tjeneste'!P8&lt;100,0,C8)</f>
        <v>0</v>
      </c>
      <c r="BX8" s="55">
        <f t="shared" si="23"/>
        <v>0</v>
      </c>
      <c r="BY8" s="55">
        <f t="shared" si="24"/>
        <v>1</v>
      </c>
      <c r="BZ8" s="55">
        <f>IF(BW8=0,0,(BW8/$BW$17)*BY8*'2022 Pensjon tjeneste'!P8/'2022 Lønnsgr pensjon tjeneste'!P8)</f>
        <v>0</v>
      </c>
      <c r="CA8" s="5">
        <f>IF(BW8=0,0,'2022 Nto driftsutg landet'!$C$28*'2022 Lønnsand og pensjon landet'!$D$18*('2022 Pensjon tjeneste'!P8/'2022 Lønnsgr pensjon tjeneste'!P8-$BZ$17))</f>
        <v>0</v>
      </c>
      <c r="CB8" s="5">
        <f t="shared" si="25"/>
        <v>0</v>
      </c>
      <c r="CC8" s="5"/>
      <c r="CD8" s="5"/>
      <c r="CE8" s="5"/>
    </row>
    <row r="9" spans="1:83" x14ac:dyDescent="0.3">
      <c r="A9" s="41">
        <v>3000</v>
      </c>
      <c r="B9" s="42" t="s">
        <v>403</v>
      </c>
      <c r="C9" s="42">
        <f>+'2022 Nto driftsutg'!W9</f>
        <v>1269230</v>
      </c>
      <c r="D9" s="55">
        <f>IF('2022 Lønnsgr pensjon tjeneste'!D9&lt;100,0,(C9/$C$17)*'2022 Revekting utgiftsbehov'!D9*'2022 Pensjon tjeneste'!D9/'2022 Lønnsgr pensjon tjeneste'!D9)</f>
        <v>2.311405808718299E-2</v>
      </c>
      <c r="E9" s="5">
        <f>IF('2022 Lønnsgr pensjon tjeneste'!D9&lt;100,0,C9)</f>
        <v>1269230</v>
      </c>
      <c r="F9" s="55">
        <f>'2022 Revekting utgiftsbehov'!D9*E9/$E$17</f>
        <v>0.23830808992875926</v>
      </c>
      <c r="G9" s="55">
        <f>'2022 Revekting utgiftsbehov'!D9/$F$17</f>
        <v>1.0186200968753083</v>
      </c>
      <c r="H9" s="55">
        <f>IF(E9=0,0,(E9/$E$17)*G9*'2022 Pensjon tjeneste'!D9/'2022 Lønnsgr pensjon tjeneste'!D9)</f>
        <v>2.3113655021567571E-2</v>
      </c>
      <c r="I9" s="5">
        <f>IF(E9=0,0,'2022 Nto driftsutg landet'!$C$5*'2022 Lønnsand og pensjon landet'!$D$6*('2022 Pensjon tjeneste'!D9/'2022 Lønnsgr pensjon tjeneste'!D9-$H$17)*'2022 Revekting utgiftsbehov'!D9)</f>
        <v>7.8342730576856807</v>
      </c>
      <c r="J9" s="5">
        <f t="shared" si="3"/>
        <v>9943.4943930063982</v>
      </c>
      <c r="K9" s="55">
        <f>IF('2022 Lønnsgr pensjon tjeneste'!E9&lt;100,0,(C9/$C$17)*'2022 Revekting utgiftsbehov'!E9*'2022 Pensjon tjeneste'!E9/'2022 Lønnsgr pensjon tjeneste'!E9)</f>
        <v>3.6267221087368615E-2</v>
      </c>
      <c r="L9" s="5">
        <f>IF('2022 Lønnsgr pensjon tjeneste'!E9&lt;100,0,C9)</f>
        <v>1269230</v>
      </c>
      <c r="M9" s="55">
        <f>'2022 Revekting utgiftsbehov'!E9*L9/$L$17</f>
        <v>0.17230038790699628</v>
      </c>
      <c r="N9" s="55">
        <f>'2022 Revekting utgiftsbehov'!E9/$M$17</f>
        <v>0.5784731549869061</v>
      </c>
      <c r="O9" s="55">
        <f>IF(L9=0,0,(L9/$L$17)*N9*'2022 Pensjon tjeneste'!E9/'2022 Lønnsgr pensjon tjeneste'!E9)</f>
        <v>3.7548090997244911E-2</v>
      </c>
      <c r="P9" s="5">
        <f>IF(L9=0,0,'2022 Nto driftsutg landet'!$C$6*'2022 Lønnsand og pensjon landet'!$D$7*('2022 Pensjon tjeneste'!E9/'2022 Lønnsgr pensjon tjeneste'!E9-$O$17)*'2022 Revekting utgiftsbehov'!E9)</f>
        <v>-5.1076325652123344</v>
      </c>
      <c r="Q9" s="5">
        <f t="shared" si="4"/>
        <v>-6482.7604807444513</v>
      </c>
      <c r="R9" s="55">
        <f>IF('2022 Lønnsgr pensjon tjeneste'!F9&lt;100,0,(C9/$C$17)*'2022 Revekting utgiftsbehov'!F9*'2022 Pensjon tjeneste'!F9/'2022 Lønnsgr pensjon tjeneste'!F9)</f>
        <v>2.6581715926661729E-2</v>
      </c>
      <c r="S9" s="5">
        <f>IF('2022 Lønnsgr pensjon tjeneste'!F9&lt;100,0,C9)</f>
        <v>1269230</v>
      </c>
      <c r="T9" s="55">
        <f>'2022 Revekting utgiftsbehov'!F9*S9/$S$17</f>
        <v>0.15429464034814858</v>
      </c>
      <c r="U9" s="55">
        <f>'2022 Revekting utgiftsbehov'!F9/$T$17</f>
        <v>0.65933006870940247</v>
      </c>
      <c r="V9" s="55">
        <f>IF(S9=0,0,(S9/$S$17)*U9*'2022 Pensjon tjeneste'!F9/'2022 Lønnsgr pensjon tjeneste'!F9)</f>
        <v>2.6573822281828891E-2</v>
      </c>
      <c r="W9" s="5">
        <f>IF(S9=0,0,'2022 Nto driftsutg landet'!$C$7*'2022 Lønnsand og pensjon landet'!$D$8*('2022 Pensjon tjeneste'!F9/'2022 Lønnsgr pensjon tjeneste'!F9-$V$17)*'2022 Revekting utgiftsbehov'!F9)</f>
        <v>-0.56580569114354318</v>
      </c>
      <c r="X9" s="5">
        <f t="shared" si="5"/>
        <v>-718.13755737011923</v>
      </c>
      <c r="Y9" s="55">
        <f>IF('2022 Lønnsgr pensjon tjeneste'!G9&lt;100,0,(C9/$C$17)*'2022 Revekting utgiftsbehov'!G9*'2022 Pensjon tjeneste'!G9/'2022 Lønnsgr pensjon tjeneste'!G9)</f>
        <v>0</v>
      </c>
      <c r="Z9" s="5">
        <f>IF('2022 Lønnsgr pensjon tjeneste'!G9&lt;100,0,C9)</f>
        <v>0</v>
      </c>
      <c r="AA9" s="55">
        <f>'2022 Revekting utgiftsbehov'!G9*Z9/$Z$17</f>
        <v>0</v>
      </c>
      <c r="AB9" s="55">
        <f>'2022 Revekting utgiftsbehov'!G9/$AA$17</f>
        <v>4.2651615131101613E-2</v>
      </c>
      <c r="AC9" s="55">
        <f>IF(Z9=0,0,(Z9/$Z$17)*AB9*'2022 Pensjon tjeneste'!G9/'2022 Lønnsgr pensjon tjeneste'!G9)</f>
        <v>0</v>
      </c>
      <c r="AD9" s="5">
        <f>IF(Z9=0,0,'2022 Nto driftsutg landet'!$C$8*'2022 Lønnsand og pensjon landet'!$D$9*('2022 Pensjon tjeneste'!G9/'2022 Lønnsgr pensjon tjeneste'!G9-$AC$17)*'2022 Revekting utgiftsbehov'!G9)</f>
        <v>0</v>
      </c>
      <c r="AE9" s="5">
        <f t="shared" si="6"/>
        <v>0</v>
      </c>
      <c r="AF9" s="55">
        <f>IF('2022 Lønnsgr pensjon tjeneste'!H9&lt;100,0,(C9/$C$17)*'2022 Revekting utgiftsbehov'!H9*'2022 Pensjon tjeneste'!H9/'2022 Lønnsgr pensjon tjeneste'!H9)</f>
        <v>2.9243997092026599E-2</v>
      </c>
      <c r="AG9" s="5">
        <f>IF('2022 Lønnsgr pensjon tjeneste'!H9&lt;100,0,C9)</f>
        <v>1269230</v>
      </c>
      <c r="AH9" s="55">
        <f>'2022 Revekting utgiftsbehov'!H9*AG9/$AG$17</f>
        <v>0.23973341224274555</v>
      </c>
      <c r="AI9" s="55">
        <f>'2022 Revekting utgiftsbehov'!H9/$AH$17</f>
        <v>1.0247677641848623</v>
      </c>
      <c r="AJ9" s="55">
        <f>IF(AG9=0,0,(AG9/$AG$17)*AI9*'2022 Pensjon tjeneste'!H9/'2022 Lønnsgr pensjon tjeneste'!H9)</f>
        <v>2.9245065112275984E-2</v>
      </c>
      <c r="AK9" s="5">
        <f>IF(AG9=0,0,'2022 Nto driftsutg landet'!$C$9*'2022 Lønnsand og pensjon landet'!$D$10*('2022 Pensjon tjeneste'!H9/'2022 Lønnsgr pensjon tjeneste'!H9-$AJ$17)*'2022 Revekting utgiftsbehov'!H9)</f>
        <v>-20.573334301113352</v>
      </c>
      <c r="AL9" s="5">
        <f t="shared" si="7"/>
        <v>-26112.2930950021</v>
      </c>
      <c r="AM9" s="55">
        <f>IF('2022 Lønnsgr pensjon tjeneste'!K9&lt;100,0,(C9/$C$17)*'2022 Pensjon tjeneste'!K9/'2022 Lønnsgr pensjon tjeneste'!K9)</f>
        <v>0.15508940746906694</v>
      </c>
      <c r="AN9" s="5">
        <f>IF('2022 Lønnsgr pensjon tjeneste'!K9&lt;100,0,C9)</f>
        <v>1269230</v>
      </c>
      <c r="AO9" s="55">
        <f t="shared" si="8"/>
        <v>0.23394780351945618</v>
      </c>
      <c r="AP9" s="55">
        <f t="shared" si="9"/>
        <v>1.0000365210079192</v>
      </c>
      <c r="AQ9" s="55">
        <f>IF(AN9=0,0,(AN9/$AN$17)*AP9*'2022 Pensjon tjeneste'!K9/'2022 Lønnsgr pensjon tjeneste'!K9)</f>
        <v>0.15509507149054527</v>
      </c>
      <c r="AR9" s="5">
        <f>IF(AN9=0,0,'2022 Nto driftsutg landet'!$C$23*'2022 Lønnsand og pensjon landet'!$D$13*('2022 Pensjon tjeneste'!K9/'2022 Lønnsgr pensjon tjeneste'!K9-$AQ$17))</f>
        <v>61.515421388680316</v>
      </c>
      <c r="AS9" s="5">
        <f t="shared" si="10"/>
        <v>78077.218289154727</v>
      </c>
      <c r="AT9" s="55">
        <f>IF('2022 Lønnsgr pensjon tjeneste'!L9&lt;100,0,(C9/$C$17)*'2022 Pensjon tjeneste'!L9/'2022 Lønnsgr pensjon tjeneste'!L9)</f>
        <v>2.7056066101916312E-2</v>
      </c>
      <c r="AU9" s="5">
        <f>IF('2022 Lønnsgr pensjon tjeneste'!L9&lt;100,0,C9)</f>
        <v>1269230</v>
      </c>
      <c r="AV9" s="55">
        <f t="shared" si="11"/>
        <v>0.26859492326962786</v>
      </c>
      <c r="AW9" s="55">
        <f t="shared" si="12"/>
        <v>1</v>
      </c>
      <c r="AX9" s="55">
        <f>IF(AU9=0,0,(AU9/$AU$17)*AW9*'2022 Pensjon tjeneste'!L9/'2022 Lønnsgr pensjon tjeneste'!L9)</f>
        <v>3.1063005889763882E-2</v>
      </c>
      <c r="AY9" s="5">
        <f>IF(AU9=0,0,'2022 Nto driftsutg landet'!$C$24*'2022 Lønnsand og pensjon landet'!$D$14*('2022 Pensjon tjeneste'!L9/'2022 Lønnsgr pensjon tjeneste'!L9-$AX$17))</f>
        <v>-2.2545988854501959</v>
      </c>
      <c r="AZ9" s="5">
        <f t="shared" si="13"/>
        <v>-2861.6045433799522</v>
      </c>
      <c r="BA9" s="55">
        <f>IF('2022 Lønnsgr pensjon tjeneste'!M9&lt;100,0,(C9/$C$17)*'2022 Pensjon tjeneste'!M9/'2022 Lønnsgr pensjon tjeneste'!M9)</f>
        <v>2.6730713182453739E-2</v>
      </c>
      <c r="BB9" s="5">
        <f>IF('2022 Lønnsgr pensjon tjeneste'!M9&lt;100,0,C9)</f>
        <v>1269230</v>
      </c>
      <c r="BC9" s="55">
        <f t="shared" si="14"/>
        <v>0.23394780351945618</v>
      </c>
      <c r="BD9" s="55">
        <f t="shared" si="15"/>
        <v>1</v>
      </c>
      <c r="BE9" s="55">
        <f>IF(BB9=0,0,(BB9/$BB$17)*BD9*'2022 Pensjon tjeneste'!M9/'2022 Lønnsgr pensjon tjeneste'!M9)</f>
        <v>2.6730713182453739E-2</v>
      </c>
      <c r="BF9" s="5">
        <f>IF(BB9=0,0,'2022 Nto driftsutg landet'!$C$25*'2022 Lønnsand og pensjon landet'!$D$15*('2022 Pensjon tjeneste'!M9/'2022 Lønnsgr pensjon tjeneste'!M9-$BE$17))</f>
        <v>0.14225394259671201</v>
      </c>
      <c r="BG9" s="5">
        <f t="shared" si="16"/>
        <v>180.55297156202479</v>
      </c>
      <c r="BH9" s="55">
        <f>IF('2022 Lønnsgr pensjon tjeneste'!N9&lt;100,0,(C9/$C$17)*'2022 Pensjon tjeneste'!N9/'2022 Lønnsgr pensjon tjeneste'!N9)</f>
        <v>2.6584806922303084E-2</v>
      </c>
      <c r="BI9" s="5">
        <f>IF('2022 Lønnsgr pensjon tjeneste'!N9&lt;100,0,C9)</f>
        <v>1269230</v>
      </c>
      <c r="BJ9" s="55">
        <f t="shared" si="17"/>
        <v>0.23394780351945618</v>
      </c>
      <c r="BK9" s="55">
        <f t="shared" si="18"/>
        <v>1</v>
      </c>
      <c r="BL9" s="55">
        <f>IF(BI9=0,0,(BI9/$BI$17)*BK9*'2022 Pensjon tjeneste'!N9/'2022 Lønnsgr pensjon tjeneste'!N9)</f>
        <v>2.6584806922303084E-2</v>
      </c>
      <c r="BM9" s="5">
        <f>IF(BI9=0,0,'2022 Nto driftsutg landet'!$C$26*'2022 Lønnsand og pensjon landet'!$D$16*('2022 Pensjon tjeneste'!N9/'2022 Lønnsgr pensjon tjeneste'!N9-$BL$17))</f>
        <v>-1.5947777559997591</v>
      </c>
      <c r="BN9" s="5">
        <f t="shared" si="19"/>
        <v>-2024.1397712475743</v>
      </c>
      <c r="BO9" s="55">
        <f>IF('2022 Lønnsgr pensjon tjeneste'!O9&lt;100,0,(C9/$C$17)*'2022 Pensjon tjeneste'!O9/'2022 Lønnsgr pensjon tjeneste'!O9)</f>
        <v>2.8013462272836021E-2</v>
      </c>
      <c r="BP9" s="5">
        <f>IF('2022 Lønnsgr pensjon tjeneste'!O9&lt;100,0,C9)</f>
        <v>1269230</v>
      </c>
      <c r="BQ9" s="55">
        <f t="shared" si="20"/>
        <v>0.74922287377911789</v>
      </c>
      <c r="BR9" s="55">
        <f t="shared" si="21"/>
        <v>1</v>
      </c>
      <c r="BS9" s="55">
        <f>IF(BP9=0,0,(BP9/$BP$17)*BR9*'2022 Pensjon tjeneste'!O9/'2022 Lønnsgr pensjon tjeneste'!O9)</f>
        <v>8.9713715593023796E-2</v>
      </c>
      <c r="BT9" s="5">
        <f>IF(BP9=0,0,'2022 Nto driftsutg landet'!$C$27*'2022 Lønnsand og pensjon landet'!$D$17*('2022 Pensjon tjeneste'!O9/'2022 Lønnsgr pensjon tjeneste'!O9-$BS$17))</f>
        <v>3.1206245743969027E-3</v>
      </c>
      <c r="BU9" s="5">
        <f t="shared" si="22"/>
        <v>3.9607903285617807</v>
      </c>
      <c r="BV9" s="55">
        <f>IF('2022 Lønnsgr pensjon tjeneste'!P9&lt;100,0,(C9/$C$17)*'2022 Pensjon tjeneste'!P9/'2022 Lønnsgr pensjon tjeneste'!P9)</f>
        <v>2.5194378840556822E-2</v>
      </c>
      <c r="BW9" s="5">
        <f>IF('2022 Lønnsgr pensjon tjeneste'!P9&lt;100,0,C9)</f>
        <v>1269230</v>
      </c>
      <c r="BX9" s="55">
        <f t="shared" si="23"/>
        <v>0.37617726742068291</v>
      </c>
      <c r="BY9" s="55">
        <f t="shared" si="24"/>
        <v>1</v>
      </c>
      <c r="BZ9" s="55">
        <f>IF(BW9=0,0,(BW9/$BW$17)*BY9*'2022 Pensjon tjeneste'!P9/'2022 Lønnsgr pensjon tjeneste'!P9)</f>
        <v>4.0511398029919696E-2</v>
      </c>
      <c r="CA9" s="5">
        <f>IF(BW9=0,0,'2022 Nto driftsutg landet'!$C$28*'2022 Lønnsand og pensjon landet'!$D$18*('2022 Pensjon tjeneste'!P9/'2022 Lønnsgr pensjon tjeneste'!P9-$BZ$17))</f>
        <v>2.6847681899885775E-3</v>
      </c>
      <c r="CB9" s="5">
        <f t="shared" si="25"/>
        <v>3.4075883297792027</v>
      </c>
      <c r="CC9" s="5"/>
      <c r="CD9" s="5"/>
      <c r="CE9" s="5"/>
    </row>
    <row r="10" spans="1:83" x14ac:dyDescent="0.3">
      <c r="A10" s="41">
        <v>3400</v>
      </c>
      <c r="B10" s="42" t="s">
        <v>404</v>
      </c>
      <c r="C10" s="42">
        <f>+'2022 Nto driftsutg'!W10</f>
        <v>371253</v>
      </c>
      <c r="D10" s="55">
        <f>IF('2022 Lønnsgr pensjon tjeneste'!D10&lt;100,0,(C10/$C$17)*'2022 Revekting utgiftsbehov'!D10*'2022 Pensjon tjeneste'!D10/'2022 Lønnsgr pensjon tjeneste'!D10)</f>
        <v>7.5413915962954069E-3</v>
      </c>
      <c r="E10" s="5">
        <f>IF('2022 Lønnsgr pensjon tjeneste'!D10&lt;100,0,C10)</f>
        <v>371253</v>
      </c>
      <c r="F10" s="55">
        <f>'2022 Revekting utgiftsbehov'!D10*E10/$E$17</f>
        <v>6.921141193533778E-2</v>
      </c>
      <c r="G10" s="55">
        <f>'2022 Revekting utgiftsbehov'!D10/$F$17</f>
        <v>1.0113966728404078</v>
      </c>
      <c r="H10" s="55">
        <f>IF(E10=0,0,(E10/$E$17)*G10*'2022 Pensjon tjeneste'!D10/'2022 Lønnsgr pensjon tjeneste'!D10)</f>
        <v>7.5412600886374534E-3</v>
      </c>
      <c r="I10" s="5">
        <f>IF(E10=0,0,'2022 Nto driftsutg landet'!$C$5*'2022 Lønnsand og pensjon landet'!$D$6*('2022 Pensjon tjeneste'!D10/'2022 Lønnsgr pensjon tjeneste'!D10-$H$17)*'2022 Revekting utgiftsbehov'!D10)</f>
        <v>51.054264415918183</v>
      </c>
      <c r="J10" s="5">
        <f t="shared" si="3"/>
        <v>18954.048827202874</v>
      </c>
      <c r="K10" s="55">
        <f>IF('2022 Lønnsgr pensjon tjeneste'!E10&lt;100,0,(C10/$C$17)*'2022 Revekting utgiftsbehov'!E10*'2022 Pensjon tjeneste'!E10/'2022 Lønnsgr pensjon tjeneste'!E10)</f>
        <v>2.6144259544652139E-2</v>
      </c>
      <c r="L10" s="5">
        <f>IF('2022 Lønnsgr pensjon tjeneste'!E10&lt;100,0,C10)</f>
        <v>371253</v>
      </c>
      <c r="M10" s="55">
        <f>'2022 Revekting utgiftsbehov'!E10*L10/$L$17</f>
        <v>0.12105005202307172</v>
      </c>
      <c r="N10" s="55">
        <f>'2022 Revekting utgiftsbehov'!E10/$M$17</f>
        <v>1.3894159872599361</v>
      </c>
      <c r="O10" s="55">
        <f>IF(L10=0,0,(L10/$L$17)*N10*'2022 Pensjon tjeneste'!E10/'2022 Lønnsgr pensjon tjeneste'!E10)</f>
        <v>2.7067611110135174E-2</v>
      </c>
      <c r="P10" s="5">
        <f>IF(L10=0,0,'2022 Nto driftsutg landet'!$C$6*'2022 Lønnsand og pensjon landet'!$D$7*('2022 Pensjon tjeneste'!E10/'2022 Lønnsgr pensjon tjeneste'!E10-$O$17)*'2022 Revekting utgiftsbehov'!E10)</f>
        <v>-11.132501551846218</v>
      </c>
      <c r="Q10" s="5">
        <f t="shared" si="4"/>
        <v>-4132.9745986275639</v>
      </c>
      <c r="R10" s="55">
        <f>IF('2022 Lønnsgr pensjon tjeneste'!F10&lt;100,0,(C10/$C$17)*'2022 Revekting utgiftsbehov'!F10*'2022 Pensjon tjeneste'!F10/'2022 Lønnsgr pensjon tjeneste'!F10)</f>
        <v>1.6934878934277652E-2</v>
      </c>
      <c r="S10" s="5">
        <f>IF('2022 Lønnsgr pensjon tjeneste'!F10&lt;100,0,C10)</f>
        <v>371253</v>
      </c>
      <c r="T10" s="55">
        <f>'2022 Revekting utgiftsbehov'!F10*S10/$S$17</f>
        <v>6.8835609687200816E-2</v>
      </c>
      <c r="U10" s="55">
        <f>'2022 Revekting utgiftsbehov'!F10/$T$17</f>
        <v>1.0056238435649929</v>
      </c>
      <c r="V10" s="55">
        <f>IF(S10=0,0,(S10/$S$17)*U10*'2022 Pensjon tjeneste'!F10/'2022 Lønnsgr pensjon tjeneste'!F10)</f>
        <v>1.6929849991828519E-2</v>
      </c>
      <c r="W10" s="5">
        <f>IF(S10=0,0,'2022 Nto driftsutg landet'!$C$7*'2022 Lønnsand og pensjon landet'!$D$8*('2022 Pensjon tjeneste'!F10/'2022 Lønnsgr pensjon tjeneste'!F10-$V$17)*'2022 Revekting utgiftsbehov'!F10)</f>
        <v>1.8097774878179425</v>
      </c>
      <c r="X10" s="5">
        <f t="shared" si="5"/>
        <v>671.88532168487461</v>
      </c>
      <c r="Y10" s="55">
        <f>IF('2022 Lønnsgr pensjon tjeneste'!G10&lt;100,0,(C10/$C$17)*'2022 Revekting utgiftsbehov'!G10*'2022 Pensjon tjeneste'!G10/'2022 Lønnsgr pensjon tjeneste'!G10)</f>
        <v>2.133659420217008E-4</v>
      </c>
      <c r="Z10" s="5">
        <f>IF('2022 Lønnsgr pensjon tjeneste'!G10&lt;100,0,C10)</f>
        <v>371253</v>
      </c>
      <c r="AA10" s="55">
        <f>'2022 Revekting utgiftsbehov'!G10*Z10/$Z$17</f>
        <v>5.8196012357698817E-3</v>
      </c>
      <c r="AB10" s="55">
        <f>'2022 Revekting utgiftsbehov'!G10/$AA$17</f>
        <v>2.2907413246366359E-2</v>
      </c>
      <c r="AC10" s="55">
        <f>IF(Z10=0,0,(Z10/$Z$17)*AB10*'2022 Pensjon tjeneste'!G10/'2022 Lønnsgr pensjon tjeneste'!G10)</f>
        <v>2.9612229238315329E-4</v>
      </c>
      <c r="AD10" s="5">
        <f>IF(Z10=0,0,'2022 Nto driftsutg landet'!$C$8*'2022 Lønnsand og pensjon landet'!$D$9*('2022 Pensjon tjeneste'!G10/'2022 Lønnsgr pensjon tjeneste'!G10-$AC$17)*'2022 Revekting utgiftsbehov'!G10)</f>
        <v>-2.1297297465315061E-2</v>
      </c>
      <c r="AE10" s="5">
        <f t="shared" si="6"/>
        <v>-7.906685575890612</v>
      </c>
      <c r="AF10" s="55">
        <f>IF('2022 Lønnsgr pensjon tjeneste'!H10&lt;100,0,(C10/$C$17)*'2022 Revekting utgiftsbehov'!H10*'2022 Pensjon tjeneste'!H10/'2022 Lønnsgr pensjon tjeneste'!H10)</f>
        <v>1.5651367196483974E-2</v>
      </c>
      <c r="AG10" s="5">
        <f>IF('2022 Lønnsgr pensjon tjeneste'!H10&lt;100,0,C10)</f>
        <v>371253</v>
      </c>
      <c r="AH10" s="55">
        <f>'2022 Revekting utgiftsbehov'!H10*AG10/$AG$17</f>
        <v>6.6153013589572499E-2</v>
      </c>
      <c r="AI10" s="55">
        <f>'2022 Revekting utgiftsbehov'!H10/$AH$17</f>
        <v>0.9667560056143405</v>
      </c>
      <c r="AJ10" s="55">
        <f>IF(AG10=0,0,(AG10/$AG$17)*AI10*'2022 Pensjon tjeneste'!H10/'2022 Lønnsgr pensjon tjeneste'!H10)</f>
        <v>1.5651938800189301E-2</v>
      </c>
      <c r="AK10" s="5">
        <f>IF(AG10=0,0,'2022 Nto driftsutg landet'!$C$9*'2022 Lønnsand og pensjon landet'!$D$10*('2022 Pensjon tjeneste'!H10/'2022 Lønnsgr pensjon tjeneste'!H10-$AJ$17)*'2022 Revekting utgiftsbehov'!H10)</f>
        <v>11.676329182699382</v>
      </c>
      <c r="AL10" s="5">
        <f t="shared" si="7"/>
        <v>4334.8722380646932</v>
      </c>
      <c r="AM10" s="55">
        <f>IF('2022 Lønnsgr pensjon tjeneste'!K10&lt;100,0,(C10/$C$17)*'2022 Pensjon tjeneste'!K10/'2022 Lønnsgr pensjon tjeneste'!K10)</f>
        <v>1.4718687494819666E-2</v>
      </c>
      <c r="AN10" s="5">
        <f>IF('2022 Lønnsgr pensjon tjeneste'!K10&lt;100,0,C10)</f>
        <v>371253</v>
      </c>
      <c r="AO10" s="55">
        <f t="shared" si="8"/>
        <v>6.8430326969901964E-2</v>
      </c>
      <c r="AP10" s="55">
        <f t="shared" si="9"/>
        <v>1.0000365210079192</v>
      </c>
      <c r="AQ10" s="55">
        <f>IF(AN10=0,0,(AN10/$AN$17)*AP10*'2022 Pensjon tjeneste'!K10/'2022 Lønnsgr pensjon tjeneste'!K10)</f>
        <v>1.4719225036122226E-2</v>
      </c>
      <c r="AR10" s="5">
        <f>IF(AN10=0,0,'2022 Nto driftsutg landet'!$C$23*'2022 Lønnsand og pensjon landet'!$D$13*('2022 Pensjon tjeneste'!K10/'2022 Lønnsgr pensjon tjeneste'!K10-$AQ$17))</f>
        <v>-86.500647061653538</v>
      </c>
      <c r="AS10" s="5">
        <f t="shared" si="10"/>
        <v>-32113.624723580062</v>
      </c>
      <c r="AT10" s="55">
        <f>IF('2022 Lønnsgr pensjon tjeneste'!L10&lt;100,0,(C10/$C$17)*'2022 Pensjon tjeneste'!L10/'2022 Lønnsgr pensjon tjeneste'!L10)</f>
        <v>1.8429642012460244E-2</v>
      </c>
      <c r="AU10" s="5">
        <f>IF('2022 Lønnsgr pensjon tjeneste'!L10&lt;100,0,C10)</f>
        <v>371253</v>
      </c>
      <c r="AV10" s="55">
        <f t="shared" si="11"/>
        <v>7.8564697532062078E-2</v>
      </c>
      <c r="AW10" s="55">
        <f t="shared" si="12"/>
        <v>1</v>
      </c>
      <c r="AX10" s="55">
        <f>IF(AU10=0,0,(AU10/$AU$17)*AW10*'2022 Pensjon tjeneste'!L10/'2022 Lønnsgr pensjon tjeneste'!L10)</f>
        <v>2.1159028671161661E-2</v>
      </c>
      <c r="AY10" s="5">
        <f>IF(AU10=0,0,'2022 Nto driftsutg landet'!$C$24*'2022 Lønnsand og pensjon landet'!$D$14*('2022 Pensjon tjeneste'!L10/'2022 Lønnsgr pensjon tjeneste'!L10-$AX$17))</f>
        <v>5.2229849633699281</v>
      </c>
      <c r="AZ10" s="5">
        <f t="shared" si="13"/>
        <v>1939.0488366059758</v>
      </c>
      <c r="BA10" s="55">
        <f>IF('2022 Lønnsgr pensjon tjeneste'!M10&lt;100,0,(C10/$C$17)*'2022 Pensjon tjeneste'!M10/'2022 Lønnsgr pensjon tjeneste'!M10)</f>
        <v>1.5082138692374118E-2</v>
      </c>
      <c r="BB10" s="5">
        <f>IF('2022 Lønnsgr pensjon tjeneste'!M10&lt;100,0,C10)</f>
        <v>371253</v>
      </c>
      <c r="BC10" s="55">
        <f t="shared" si="14"/>
        <v>6.8430326969901964E-2</v>
      </c>
      <c r="BD10" s="55">
        <f t="shared" si="15"/>
        <v>1</v>
      </c>
      <c r="BE10" s="55">
        <f>IF(BB10=0,0,(BB10/$BB$17)*BD10*'2022 Pensjon tjeneste'!M10/'2022 Lønnsgr pensjon tjeneste'!M10)</f>
        <v>1.5082138692374118E-2</v>
      </c>
      <c r="BF10" s="5">
        <f>IF(BB10=0,0,'2022 Nto driftsutg landet'!$C$25*'2022 Lønnsand og pensjon landet'!$D$15*('2022 Pensjon tjeneste'!M10/'2022 Lønnsgr pensjon tjeneste'!M10-$BE$17))</f>
        <v>-9.0716570309811131E-2</v>
      </c>
      <c r="BG10" s="5">
        <f t="shared" si="16"/>
        <v>-33.67879887722831</v>
      </c>
      <c r="BH10" s="55">
        <f>IF('2022 Lønnsgr pensjon tjeneste'!N10&lt;100,0,(C10/$C$17)*'2022 Pensjon tjeneste'!N10/'2022 Lønnsgr pensjon tjeneste'!N10)</f>
        <v>7.5849097126971365E-3</v>
      </c>
      <c r="BI10" s="5">
        <f>IF('2022 Lønnsgr pensjon tjeneste'!N10&lt;100,0,C10)</f>
        <v>371253</v>
      </c>
      <c r="BJ10" s="55">
        <f t="shared" si="17"/>
        <v>6.8430326969901964E-2</v>
      </c>
      <c r="BK10" s="55">
        <f t="shared" si="18"/>
        <v>1</v>
      </c>
      <c r="BL10" s="55">
        <f>IF(BI10=0,0,(BI10/$BI$17)*BK10*'2022 Pensjon tjeneste'!N10/'2022 Lønnsgr pensjon tjeneste'!N10)</f>
        <v>7.5849097126971365E-3</v>
      </c>
      <c r="BM10" s="5">
        <f>IF(BI10=0,0,'2022 Nto driftsutg landet'!$C$26*'2022 Lønnsand og pensjon landet'!$D$16*('2022 Pensjon tjeneste'!N10/'2022 Lønnsgr pensjon tjeneste'!N10-$BL$17))</f>
        <v>-1.667960617681536</v>
      </c>
      <c r="BN10" s="5">
        <f t="shared" si="19"/>
        <v>-619.23538319612328</v>
      </c>
      <c r="BO10" s="55">
        <f>IF('2022 Lønnsgr pensjon tjeneste'!O10&lt;100,0,(C10/$C$17)*'2022 Pensjon tjeneste'!O10/'2022 Lønnsgr pensjon tjeneste'!O10)</f>
        <v>0</v>
      </c>
      <c r="BP10" s="5">
        <f>IF('2022 Lønnsgr pensjon tjeneste'!O10&lt;100,0,C10)</f>
        <v>0</v>
      </c>
      <c r="BQ10" s="55">
        <f t="shared" si="20"/>
        <v>0</v>
      </c>
      <c r="BR10" s="55">
        <f t="shared" si="21"/>
        <v>1</v>
      </c>
      <c r="BS10" s="55">
        <f>IF(BP10=0,0,(BP10/$BP$17)*BR10*'2022 Pensjon tjeneste'!O10/'2022 Lønnsgr pensjon tjeneste'!O10)</f>
        <v>0</v>
      </c>
      <c r="BT10" s="5">
        <f>IF(BP10=0,0,'2022 Nto driftsutg landet'!$C$27*'2022 Lønnsand og pensjon landet'!$D$17*('2022 Pensjon tjeneste'!O10/'2022 Lønnsgr pensjon tjeneste'!O10-$BS$17))</f>
        <v>0</v>
      </c>
      <c r="BU10" s="5">
        <f t="shared" si="22"/>
        <v>0</v>
      </c>
      <c r="BV10" s="55">
        <f>IF('2022 Lønnsgr pensjon tjeneste'!P10&lt;100,0,(C10/$C$17)*'2022 Pensjon tjeneste'!P10/'2022 Lønnsgr pensjon tjeneste'!P10)</f>
        <v>0</v>
      </c>
      <c r="BW10" s="5">
        <f>IF('2022 Lønnsgr pensjon tjeneste'!P10&lt;100,0,C10)</f>
        <v>0</v>
      </c>
      <c r="BX10" s="55">
        <f t="shared" si="23"/>
        <v>0</v>
      </c>
      <c r="BY10" s="55">
        <f t="shared" si="24"/>
        <v>1</v>
      </c>
      <c r="BZ10" s="55">
        <f>IF(BW10=0,0,(BW10/$BW$17)*BY10*'2022 Pensjon tjeneste'!P10/'2022 Lønnsgr pensjon tjeneste'!P10)</f>
        <v>0</v>
      </c>
      <c r="CA10" s="5">
        <f>IF(BW10=0,0,'2022 Nto driftsutg landet'!$C$28*'2022 Lønnsand og pensjon landet'!$D$18*('2022 Pensjon tjeneste'!P10/'2022 Lønnsgr pensjon tjeneste'!P10-$BZ$17))</f>
        <v>0</v>
      </c>
      <c r="CB10" s="5">
        <f t="shared" si="25"/>
        <v>0</v>
      </c>
      <c r="CC10" s="5"/>
      <c r="CD10" s="5"/>
      <c r="CE10" s="5"/>
    </row>
    <row r="11" spans="1:83" x14ac:dyDescent="0.3">
      <c r="A11" s="41">
        <v>3800</v>
      </c>
      <c r="B11" s="42" t="s">
        <v>405</v>
      </c>
      <c r="C11" s="42">
        <f>+'2022 Nto driftsutg'!W11</f>
        <v>424832</v>
      </c>
      <c r="D11" s="55">
        <f>IF('2022 Lønnsgr pensjon tjeneste'!D11&lt;100,0,(C11/$C$17)*'2022 Revekting utgiftsbehov'!D11*'2022 Pensjon tjeneste'!D11/'2022 Lønnsgr pensjon tjeneste'!D11)</f>
        <v>8.7701394335454059E-3</v>
      </c>
      <c r="E11" s="5">
        <f>IF('2022 Lønnsgr pensjon tjeneste'!D11&lt;100,0,C11)</f>
        <v>424832</v>
      </c>
      <c r="F11" s="55">
        <f>'2022 Revekting utgiftsbehov'!D11*E11/$E$17</f>
        <v>7.9721075150383305E-2</v>
      </c>
      <c r="G11" s="55">
        <f>'2022 Revekting utgiftsbehov'!D11/$F$17</f>
        <v>1.0180514067923647</v>
      </c>
      <c r="H11" s="55">
        <f>IF(E11=0,0,(E11/$E$17)*G11*'2022 Pensjon tjeneste'!D11/'2022 Lønnsgr pensjon tjeneste'!D11)</f>
        <v>8.7699864988406984E-3</v>
      </c>
      <c r="I11" s="5">
        <f>IF(E11=0,0,'2022 Nto driftsutg landet'!$C$5*'2022 Lønnsand og pensjon landet'!$D$6*('2022 Pensjon tjeneste'!D11/'2022 Lønnsgr pensjon tjeneste'!D11-$H$17)*'2022 Revekting utgiftsbehov'!D11)</f>
        <v>55.206462265392609</v>
      </c>
      <c r="J11" s="5">
        <f t="shared" si="3"/>
        <v>23453.471777131275</v>
      </c>
      <c r="K11" s="55">
        <f>IF('2022 Lønnsgr pensjon tjeneste'!E11&lt;100,0,(C11/$C$17)*'2022 Revekting utgiftsbehov'!E11*'2022 Pensjon tjeneste'!E11/'2022 Lønnsgr pensjon tjeneste'!E11)</f>
        <v>1.6129692692403358E-2</v>
      </c>
      <c r="L11" s="5">
        <f>IF('2022 Lønnsgr pensjon tjeneste'!E11&lt;100,0,C11)</f>
        <v>424832</v>
      </c>
      <c r="M11" s="55">
        <f>'2022 Revekting utgiftsbehov'!E11*L11/$L$17</f>
        <v>8.5554808632468962E-2</v>
      </c>
      <c r="N11" s="55">
        <f>'2022 Revekting utgiftsbehov'!E11/$M$17</f>
        <v>0.85815252613298787</v>
      </c>
      <c r="O11" s="55">
        <f>IF(L11=0,0,(L11/$L$17)*N11*'2022 Pensjon tjeneste'!E11/'2022 Lønnsgr pensjon tjeneste'!E11)</f>
        <v>1.6699354149934956E-2</v>
      </c>
      <c r="P11" s="5">
        <f>IF(L11=0,0,'2022 Nto driftsutg landet'!$C$6*'2022 Lønnsand og pensjon landet'!$D$7*('2022 Pensjon tjeneste'!E11/'2022 Lønnsgr pensjon tjeneste'!E11-$O$17)*'2022 Revekting utgiftsbehov'!E11)</f>
        <v>-10.3814272661866</v>
      </c>
      <c r="Q11" s="5">
        <f t="shared" si="4"/>
        <v>-4410.3625083485858</v>
      </c>
      <c r="R11" s="55">
        <f>IF('2022 Lønnsgr pensjon tjeneste'!F11&lt;100,0,(C11/$C$17)*'2022 Revekting utgiftsbehov'!F11*'2022 Pensjon tjeneste'!F11/'2022 Lønnsgr pensjon tjeneste'!F11)</f>
        <v>1.2618227081492723E-2</v>
      </c>
      <c r="S11" s="5">
        <f>IF('2022 Lønnsgr pensjon tjeneste'!F11&lt;100,0,C11)</f>
        <v>424832</v>
      </c>
      <c r="T11" s="55">
        <f>'2022 Revekting utgiftsbehov'!F11*S11/$S$17</f>
        <v>5.7132942974900784E-2</v>
      </c>
      <c r="U11" s="55">
        <f>'2022 Revekting utgiftsbehov'!F11/$T$17</f>
        <v>0.72939325672698596</v>
      </c>
      <c r="V11" s="55">
        <f>IF(S11=0,0,(S11/$S$17)*U11*'2022 Pensjon tjeneste'!F11/'2022 Lønnsgr pensjon tjeneste'!F11)</f>
        <v>1.2614480001986035E-2</v>
      </c>
      <c r="W11" s="5">
        <f>IF(S11=0,0,'2022 Nto driftsutg landet'!$C$7*'2022 Lønnsand og pensjon landet'!$D$8*('2022 Pensjon tjeneste'!F11/'2022 Lønnsgr pensjon tjeneste'!F11-$V$17)*'2022 Revekting utgiftsbehov'!F11)</f>
        <v>0.65116636025781216</v>
      </c>
      <c r="X11" s="5">
        <f t="shared" si="5"/>
        <v>276.63630716104683</v>
      </c>
      <c r="Y11" s="55">
        <f>IF('2022 Lønnsgr pensjon tjeneste'!G11&lt;100,0,(C11/$C$17)*'2022 Revekting utgiftsbehov'!G11*'2022 Pensjon tjeneste'!G11/'2022 Lønnsgr pensjon tjeneste'!G11)</f>
        <v>0</v>
      </c>
      <c r="Z11" s="5">
        <f>IF('2022 Lønnsgr pensjon tjeneste'!G11&lt;100,0,C11)</f>
        <v>0</v>
      </c>
      <c r="AA11" s="55">
        <f>'2022 Revekting utgiftsbehov'!G11*Z11/$Z$17</f>
        <v>0</v>
      </c>
      <c r="AB11" s="55">
        <f>'2022 Revekting utgiftsbehov'!G11/$AA$17</f>
        <v>8.1966865122977198E-2</v>
      </c>
      <c r="AC11" s="55">
        <f>IF(Z11=0,0,(Z11/$Z$17)*AB11*'2022 Pensjon tjeneste'!G11/'2022 Lønnsgr pensjon tjeneste'!G11)</f>
        <v>0</v>
      </c>
      <c r="AD11" s="5">
        <f>IF(Z11=0,0,'2022 Nto driftsutg landet'!$C$8*'2022 Lønnsand og pensjon landet'!$D$9*('2022 Pensjon tjeneste'!G11/'2022 Lønnsgr pensjon tjeneste'!G11-$AC$17)*'2022 Revekting utgiftsbehov'!G11)</f>
        <v>0</v>
      </c>
      <c r="AE11" s="5">
        <f t="shared" si="6"/>
        <v>0</v>
      </c>
      <c r="AF11" s="55">
        <f>IF('2022 Lønnsgr pensjon tjeneste'!H11&lt;100,0,(C11/$C$17)*'2022 Revekting utgiftsbehov'!H11*'2022 Pensjon tjeneste'!H11/'2022 Lønnsgr pensjon tjeneste'!H11)</f>
        <v>1.8185479552150302E-2</v>
      </c>
      <c r="AG11" s="5">
        <f>IF('2022 Lønnsgr pensjon tjeneste'!H11&lt;100,0,C11)</f>
        <v>424832</v>
      </c>
      <c r="AH11" s="55">
        <f>'2022 Revekting utgiftsbehov'!H11*AG11/$AG$17</f>
        <v>7.7705490541027461E-2</v>
      </c>
      <c r="AI11" s="55">
        <f>'2022 Revekting utgiftsbehov'!H11/$AH$17</f>
        <v>0.99236560086841508</v>
      </c>
      <c r="AJ11" s="55">
        <f>IF(AG11=0,0,(AG11/$AG$17)*AI11*'2022 Pensjon tjeneste'!H11/'2022 Lønnsgr pensjon tjeneste'!H11)</f>
        <v>1.8186143704193039E-2</v>
      </c>
      <c r="AK11" s="5">
        <f>IF(AG11=0,0,'2022 Nto driftsutg landet'!$C$9*'2022 Lønnsand og pensjon landet'!$D$10*('2022 Pensjon tjeneste'!H11/'2022 Lønnsgr pensjon tjeneste'!H11-$AJ$17)*'2022 Revekting utgiftsbehov'!H11)</f>
        <v>11.272175724685425</v>
      </c>
      <c r="AL11" s="5">
        <f t="shared" si="7"/>
        <v>4788.7809574695584</v>
      </c>
      <c r="AM11" s="55">
        <f>IF('2022 Lønnsgr pensjon tjeneste'!K11&lt;100,0,(C11/$C$17)*'2022 Pensjon tjeneste'!K11/'2022 Lønnsgr pensjon tjeneste'!K11)</f>
        <v>1.6232975905456068E-2</v>
      </c>
      <c r="AN11" s="5">
        <f>IF('2022 Lønnsgr pensjon tjeneste'!K11&lt;100,0,C11)</f>
        <v>424832</v>
      </c>
      <c r="AO11" s="55">
        <f t="shared" si="8"/>
        <v>7.8306148818399826E-2</v>
      </c>
      <c r="AP11" s="55">
        <f t="shared" si="9"/>
        <v>1.0000365210079192</v>
      </c>
      <c r="AQ11" s="55">
        <f>IF(AN11=0,0,(AN11/$AN$17)*AP11*'2022 Pensjon tjeneste'!K11/'2022 Lønnsgr pensjon tjeneste'!K11)</f>
        <v>1.6233568750097665E-2</v>
      </c>
      <c r="AR11" s="5">
        <f>IF(AN11=0,0,'2022 Nto driftsutg landet'!$C$23*'2022 Lønnsand og pensjon landet'!$D$13*('2022 Pensjon tjeneste'!K11/'2022 Lønnsgr pensjon tjeneste'!K11-$AQ$17))</f>
        <v>-89.074939718168281</v>
      </c>
      <c r="AS11" s="5">
        <f t="shared" si="10"/>
        <v>-37841.884790348864</v>
      </c>
      <c r="AT11" s="55">
        <f>IF('2022 Lønnsgr pensjon tjeneste'!L11&lt;100,0,(C11/$C$17)*'2022 Pensjon tjeneste'!L11/'2022 Lønnsgr pensjon tjeneste'!L11)</f>
        <v>1.7099845638839182E-2</v>
      </c>
      <c r="AU11" s="5">
        <f>IF('2022 Lønnsgr pensjon tjeneste'!L11&lt;100,0,C11)</f>
        <v>424832</v>
      </c>
      <c r="AV11" s="55">
        <f t="shared" si="11"/>
        <v>8.9903105380807688E-2</v>
      </c>
      <c r="AW11" s="55">
        <f t="shared" si="12"/>
        <v>1</v>
      </c>
      <c r="AX11" s="55">
        <f>IF(AU11=0,0,(AU11/$AU$17)*AW11*'2022 Pensjon tjeneste'!L11/'2022 Lønnsgr pensjon tjeneste'!L11)</f>
        <v>1.9632292580616263E-2</v>
      </c>
      <c r="AY11" s="5">
        <f>IF(AU11=0,0,'2022 Nto driftsutg landet'!$C$24*'2022 Lønnsand og pensjon landet'!$D$14*('2022 Pensjon tjeneste'!L11/'2022 Lønnsgr pensjon tjeneste'!L11-$AX$17))</f>
        <v>2.743845699474377</v>
      </c>
      <c r="AZ11" s="5">
        <f t="shared" si="13"/>
        <v>1165.6734561990986</v>
      </c>
      <c r="BA11" s="55">
        <f>IF('2022 Lønnsgr pensjon tjeneste'!M11&lt;100,0,(C11/$C$17)*'2022 Pensjon tjeneste'!M11/'2022 Lønnsgr pensjon tjeneste'!M11)</f>
        <v>1.6997838009787741E-2</v>
      </c>
      <c r="BB11" s="5">
        <f>IF('2022 Lønnsgr pensjon tjeneste'!M11&lt;100,0,C11)</f>
        <v>424832</v>
      </c>
      <c r="BC11" s="55">
        <f t="shared" si="14"/>
        <v>7.8306148818399826E-2</v>
      </c>
      <c r="BD11" s="55">
        <f t="shared" si="15"/>
        <v>1</v>
      </c>
      <c r="BE11" s="55">
        <f>IF(BB11=0,0,(BB11/$BB$17)*BD11*'2022 Pensjon tjeneste'!M11/'2022 Lønnsgr pensjon tjeneste'!M11)</f>
        <v>1.6997838009787741E-2</v>
      </c>
      <c r="BF11" s="5">
        <f>IF(BB11=0,0,'2022 Nto driftsutg landet'!$C$25*'2022 Lønnsand og pensjon landet'!$D$15*('2022 Pensjon tjeneste'!M11/'2022 Lønnsgr pensjon tjeneste'!M11-$BE$17))</f>
        <v>-8.3402362916407707E-2</v>
      </c>
      <c r="BG11" s="5">
        <f t="shared" si="16"/>
        <v>-35.431992642503317</v>
      </c>
      <c r="BH11" s="55">
        <f>IF('2022 Lønnsgr pensjon tjeneste'!N11&lt;100,0,(C11/$C$17)*'2022 Pensjon tjeneste'!N11/'2022 Lønnsgr pensjon tjeneste'!N11)</f>
        <v>1.8468550784546598E-2</v>
      </c>
      <c r="BI11" s="5">
        <f>IF('2022 Lønnsgr pensjon tjeneste'!N11&lt;100,0,C11)</f>
        <v>424832</v>
      </c>
      <c r="BJ11" s="55">
        <f t="shared" si="17"/>
        <v>7.8306148818399826E-2</v>
      </c>
      <c r="BK11" s="55">
        <f t="shared" si="18"/>
        <v>1</v>
      </c>
      <c r="BL11" s="55">
        <f>IF(BI11=0,0,(BI11/$BI$17)*BK11*'2022 Pensjon tjeneste'!N11/'2022 Lønnsgr pensjon tjeneste'!N11)</f>
        <v>1.8468550784546598E-2</v>
      </c>
      <c r="BM11" s="5">
        <f>IF(BI11=0,0,'2022 Nto driftsutg landet'!$C$26*'2022 Lønnsand og pensjon landet'!$D$16*('2022 Pensjon tjeneste'!N11/'2022 Lønnsgr pensjon tjeneste'!N11-$BL$17))</f>
        <v>1.6060548254304545</v>
      </c>
      <c r="BN11" s="5">
        <f t="shared" si="19"/>
        <v>682.30348359727088</v>
      </c>
      <c r="BO11" s="55">
        <f>IF('2022 Lønnsgr pensjon tjeneste'!O11&lt;100,0,(C11/$C$17)*'2022 Pensjon tjeneste'!O11/'2022 Lønnsgr pensjon tjeneste'!O11)</f>
        <v>1.2187083724553776E-2</v>
      </c>
      <c r="BP11" s="5">
        <f>IF('2022 Lønnsgr pensjon tjeneste'!O11&lt;100,0,C11)</f>
        <v>424832</v>
      </c>
      <c r="BQ11" s="55">
        <f t="shared" si="20"/>
        <v>0.25077712622088211</v>
      </c>
      <c r="BR11" s="55">
        <f t="shared" si="21"/>
        <v>1</v>
      </c>
      <c r="BS11" s="55">
        <f>IF(BP11=0,0,(BP11/$BP$17)*BR11*'2022 Pensjon tjeneste'!O11/'2022 Lønnsgr pensjon tjeneste'!O11)</f>
        <v>3.9029397813249961E-2</v>
      </c>
      <c r="BT11" s="5">
        <f>IF(BP11=0,0,'2022 Nto driftsutg landet'!$C$27*'2022 Lønnsand og pensjon landet'!$D$17*('2022 Pensjon tjeneste'!O11/'2022 Lønnsgr pensjon tjeneste'!O11-$BS$17))</f>
        <v>-9.3231920584178601E-3</v>
      </c>
      <c r="BU11" s="5">
        <f t="shared" si="22"/>
        <v>-3.9607903285617763</v>
      </c>
      <c r="BV11" s="55">
        <f>IF('2022 Lønnsgr pensjon tjeneste'!P11&lt;100,0,(C11/$C$17)*'2022 Pensjon tjeneste'!P11/'2022 Lønnsgr pensjon tjeneste'!P11)</f>
        <v>1.413861020332219E-2</v>
      </c>
      <c r="BW11" s="5">
        <f>IF('2022 Lønnsgr pensjon tjeneste'!P11&lt;100,0,C11)</f>
        <v>424832</v>
      </c>
      <c r="BX11" s="55">
        <f t="shared" si="23"/>
        <v>0.12591267214993623</v>
      </c>
      <c r="BY11" s="55">
        <f t="shared" si="24"/>
        <v>1</v>
      </c>
      <c r="BZ11" s="55">
        <f>IF(BW11=0,0,(BW11/$BW$17)*BY11*'2022 Pensjon tjeneste'!P11/'2022 Lønnsgr pensjon tjeneste'!P11)</f>
        <v>2.2734232471516264E-2</v>
      </c>
      <c r="CA11" s="5">
        <f>IF(BW11=0,0,'2022 Nto driftsutg landet'!$C$28*'2022 Lønnsand og pensjon landet'!$D$18*('2022 Pensjon tjeneste'!P11/'2022 Lønnsgr pensjon tjeneste'!P11-$BZ$17))</f>
        <v>-1.0823294413032675E-2</v>
      </c>
      <c r="CB11" s="5">
        <f t="shared" si="25"/>
        <v>-4.5980818120774973</v>
      </c>
      <c r="CC11" s="5"/>
      <c r="CD11" s="5"/>
      <c r="CE11" s="5"/>
    </row>
    <row r="12" spans="1:83" x14ac:dyDescent="0.3">
      <c r="A12" s="41">
        <v>4200</v>
      </c>
      <c r="B12" s="42" t="s">
        <v>406</v>
      </c>
      <c r="C12" s="42">
        <f>+'2022 Nto driftsutg'!W12</f>
        <v>311134</v>
      </c>
      <c r="D12" s="55">
        <f>IF('2022 Lønnsgr pensjon tjeneste'!D12&lt;100,0,(C12/$C$17)*'2022 Revekting utgiftsbehov'!D12*'2022 Pensjon tjeneste'!D12/'2022 Lønnsgr pensjon tjeneste'!D12)</f>
        <v>4.3378337876563075E-3</v>
      </c>
      <c r="E12" s="5">
        <f>IF('2022 Lønnsgr pensjon tjeneste'!D12&lt;100,0,C12)</f>
        <v>311134</v>
      </c>
      <c r="F12" s="55">
        <f>'2022 Revekting utgiftsbehov'!D12*E12/$E$17</f>
        <v>6.1284340866876667E-2</v>
      </c>
      <c r="G12" s="55">
        <f>'2022 Revekting utgiftsbehov'!D12/$F$17</f>
        <v>1.0686016252764423</v>
      </c>
      <c r="H12" s="55">
        <f>IF(E12=0,0,(E12/$E$17)*G12*'2022 Pensjon tjeneste'!D12/'2022 Lønnsgr pensjon tjeneste'!D12)</f>
        <v>4.3377581440095436E-3</v>
      </c>
      <c r="I12" s="5">
        <f>IF(E12=0,0,'2022 Nto driftsutg landet'!$C$5*'2022 Lønnsand og pensjon landet'!$D$6*('2022 Pensjon tjeneste'!D12/'2022 Lønnsgr pensjon tjeneste'!D12-$H$17)*'2022 Revekting utgiftsbehov'!D12)</f>
        <v>-91.905184320613316</v>
      </c>
      <c r="J12" s="5">
        <f t="shared" si="3"/>
        <v>-28594.827618409705</v>
      </c>
      <c r="K12" s="55">
        <f>IF('2022 Lønnsgr pensjon tjeneste'!E12&lt;100,0,(C12/$C$17)*'2022 Revekting utgiftsbehov'!E12*'2022 Pensjon tjeneste'!E12/'2022 Lønnsgr pensjon tjeneste'!E12)</f>
        <v>1.8128175219224534E-2</v>
      </c>
      <c r="L12" s="5">
        <f>IF('2022 Lønnsgr pensjon tjeneste'!E12&lt;100,0,C12)</f>
        <v>311134</v>
      </c>
      <c r="M12" s="55">
        <f>'2022 Revekting utgiftsbehov'!E12*L12/$L$17</f>
        <v>7.5820192795528374E-2</v>
      </c>
      <c r="N12" s="55">
        <f>'2022 Revekting utgiftsbehov'!E12/$M$17</f>
        <v>1.0384239477738173</v>
      </c>
      <c r="O12" s="55">
        <f>IF(L12=0,0,(L12/$L$17)*N12*'2022 Pensjon tjeneste'!E12/'2022 Lønnsgr pensjon tjeneste'!E12)</f>
        <v>1.8768418211742015E-2</v>
      </c>
      <c r="P12" s="5">
        <f>IF(L12=0,0,'2022 Nto driftsutg landet'!$C$6*'2022 Lønnsand og pensjon landet'!$D$7*('2022 Pensjon tjeneste'!E12/'2022 Lønnsgr pensjon tjeneste'!E12-$O$17)*'2022 Revekting utgiftsbehov'!E12)</f>
        <v>-4.7478570368626283</v>
      </c>
      <c r="Q12" s="5">
        <f t="shared" si="4"/>
        <v>-1477.2197513072169</v>
      </c>
      <c r="R12" s="55">
        <f>IF('2022 Lønnsgr pensjon tjeneste'!F12&lt;100,0,(C12/$C$17)*'2022 Revekting utgiftsbehov'!F12*'2022 Pensjon tjeneste'!F12/'2022 Lønnsgr pensjon tjeneste'!F12)</f>
        <v>8.4132940781860514E-3</v>
      </c>
      <c r="S12" s="5">
        <f>IF('2022 Lønnsgr pensjon tjeneste'!F12&lt;100,0,C12)</f>
        <v>311134</v>
      </c>
      <c r="T12" s="55">
        <f>'2022 Revekting utgiftsbehov'!F12*S12/$S$17</f>
        <v>4.7328603414377529E-2</v>
      </c>
      <c r="U12" s="55">
        <f>'2022 Revekting utgiftsbehov'!F12/$T$17</f>
        <v>0.82502780887581562</v>
      </c>
      <c r="V12" s="55">
        <f>IF(S12=0,0,(S12/$S$17)*U12*'2022 Pensjon tjeneste'!F12/'2022 Lønnsgr pensjon tjeneste'!F12)</f>
        <v>8.4107956858508574E-3</v>
      </c>
      <c r="W12" s="5">
        <f>IF(S12=0,0,'2022 Nto driftsutg landet'!$C$7*'2022 Lønnsand og pensjon landet'!$D$8*('2022 Pensjon tjeneste'!F12/'2022 Lønnsgr pensjon tjeneste'!F12-$V$17)*'2022 Revekting utgiftsbehov'!F12)</f>
        <v>-0.5449110968072699</v>
      </c>
      <c r="X12" s="5">
        <f t="shared" si="5"/>
        <v>-169.54036919403313</v>
      </c>
      <c r="Y12" s="55">
        <f>IF('2022 Lønnsgr pensjon tjeneste'!G12&lt;100,0,(C12/$C$17)*'2022 Revekting utgiftsbehov'!G12*'2022 Pensjon tjeneste'!G12/'2022 Lønnsgr pensjon tjeneste'!G12)</f>
        <v>2.3485269244189018E-3</v>
      </c>
      <c r="Z12" s="5">
        <f>IF('2022 Lønnsgr pensjon tjeneste'!G12&lt;100,0,C12)</f>
        <v>311134</v>
      </c>
      <c r="AA12" s="55">
        <f>'2022 Revekting utgiftsbehov'!G12*Z12/$Z$17</f>
        <v>2.9842205885990021E-2</v>
      </c>
      <c r="AB12" s="55">
        <f>'2022 Revekting utgiftsbehov'!G12/$AA$17</f>
        <v>0.14016392314287168</v>
      </c>
      <c r="AC12" s="55">
        <f>IF(Z12=0,0,(Z12/$Z$17)*AB12*'2022 Pensjon tjeneste'!G12/'2022 Lønnsgr pensjon tjeneste'!G12)</f>
        <v>3.2594291759635631E-3</v>
      </c>
      <c r="AD12" s="5">
        <f>IF(Z12=0,0,'2022 Nto driftsutg landet'!$C$8*'2022 Lønnsand og pensjon landet'!$D$9*('2022 Pensjon tjeneste'!G12/'2022 Lønnsgr pensjon tjeneste'!G12-$AC$17)*'2022 Revekting utgiftsbehov'!G12)</f>
        <v>-2.1476266652544342E-2</v>
      </c>
      <c r="AE12" s="5">
        <f t="shared" si="6"/>
        <v>-6.6819967486727307</v>
      </c>
      <c r="AF12" s="55">
        <f>IF('2022 Lønnsgr pensjon tjeneste'!H12&lt;100,0,(C12/$C$17)*'2022 Revekting utgiftsbehov'!H12*'2022 Pensjon tjeneste'!H12/'2022 Lønnsgr pensjon tjeneste'!H12)</f>
        <v>1.1764698589065987E-2</v>
      </c>
      <c r="AG12" s="5">
        <f>IF('2022 Lønnsgr pensjon tjeneste'!H12&lt;100,0,C12)</f>
        <v>311134</v>
      </c>
      <c r="AH12" s="55">
        <f>'2022 Revekting utgiftsbehov'!H12*AG12/$AG$17</f>
        <v>6.0236720807974528E-2</v>
      </c>
      <c r="AI12" s="55">
        <f>'2022 Revekting utgiftsbehov'!H12/$AH$17</f>
        <v>1.0503911799436572</v>
      </c>
      <c r="AJ12" s="55">
        <f>IF(AG12=0,0,(AG12/$AG$17)*AI12*'2022 Pensjon tjeneste'!H12/'2022 Lønnsgr pensjon tjeneste'!H12)</f>
        <v>1.1765128247716328E-2</v>
      </c>
      <c r="AK12" s="5">
        <f>IF(AG12=0,0,'2022 Nto driftsutg landet'!$C$9*'2022 Lønnsand og pensjon landet'!$D$10*('2022 Pensjon tjeneste'!H12/'2022 Lønnsgr pensjon tjeneste'!H12-$AJ$17)*'2022 Revekting utgiftsbehov'!H12)</f>
        <v>0.51984514907232093</v>
      </c>
      <c r="AL12" s="5">
        <f t="shared" si="7"/>
        <v>161.7415006114675</v>
      </c>
      <c r="AM12" s="55">
        <f>IF('2022 Lønnsgr pensjon tjeneste'!K12&lt;100,0,(C12/$C$17)*'2022 Pensjon tjeneste'!K12/'2022 Lønnsgr pensjon tjeneste'!K12)</f>
        <v>3.6345805896803529E-2</v>
      </c>
      <c r="AN12" s="5">
        <f>IF('2022 Lønnsgr pensjon tjeneste'!K12&lt;100,0,C12)</f>
        <v>311134</v>
      </c>
      <c r="AO12" s="55">
        <f t="shared" si="8"/>
        <v>5.7349035163226897E-2</v>
      </c>
      <c r="AP12" s="55">
        <f t="shared" si="9"/>
        <v>1.0000365210079192</v>
      </c>
      <c r="AQ12" s="55">
        <f>IF(AN12=0,0,(AN12/$AN$17)*AP12*'2022 Pensjon tjeneste'!K12/'2022 Lønnsgr pensjon tjeneste'!K12)</f>
        <v>3.6347133282268518E-2</v>
      </c>
      <c r="AR12" s="5">
        <f>IF(AN12=0,0,'2022 Nto driftsutg landet'!$C$23*'2022 Lønnsand og pensjon landet'!$D$13*('2022 Pensjon tjeneste'!K12/'2022 Lønnsgr pensjon tjeneste'!K12-$AQ$17))</f>
        <v>51.8781593309645</v>
      </c>
      <c r="AS12" s="5">
        <f t="shared" si="10"/>
        <v>16141.059225280309</v>
      </c>
      <c r="AT12" s="55">
        <f>IF('2022 Lønnsgr pensjon tjeneste'!L12&lt;100,0,(C12/$C$17)*'2022 Pensjon tjeneste'!L12/'2022 Lønnsgr pensjon tjeneste'!L12)</f>
        <v>1.0268694801614336E-2</v>
      </c>
      <c r="AU12" s="5">
        <f>IF('2022 Lønnsgr pensjon tjeneste'!L12&lt;100,0,C12)</f>
        <v>311134</v>
      </c>
      <c r="AV12" s="55">
        <f t="shared" si="11"/>
        <v>6.5842292458082763E-2</v>
      </c>
      <c r="AW12" s="55">
        <f t="shared" si="12"/>
        <v>1</v>
      </c>
      <c r="AX12" s="55">
        <f>IF(AU12=0,0,(AU12/$AU$17)*AW12*'2022 Pensjon tjeneste'!L12/'2022 Lønnsgr pensjon tjeneste'!L12)</f>
        <v>1.1789464362675459E-2</v>
      </c>
      <c r="AY12" s="5">
        <f>IF(AU12=0,0,'2022 Nto driftsutg landet'!$C$24*'2022 Lønnsand og pensjon landet'!$D$14*('2022 Pensjon tjeneste'!L12/'2022 Lønnsgr pensjon tjeneste'!L12-$AX$17))</f>
        <v>0.83074649648977261</v>
      </c>
      <c r="AZ12" s="5">
        <f t="shared" si="13"/>
        <v>258.47348043884892</v>
      </c>
      <c r="BA12" s="55">
        <f>IF('2022 Lønnsgr pensjon tjeneste'!M12&lt;100,0,(C12/$C$17)*'2022 Pensjon tjeneste'!M12/'2022 Lønnsgr pensjon tjeneste'!M12)</f>
        <v>1.0226851263675578E-2</v>
      </c>
      <c r="BB12" s="5">
        <f>IF('2022 Lønnsgr pensjon tjeneste'!M12&lt;100,0,C12)</f>
        <v>311134</v>
      </c>
      <c r="BC12" s="55">
        <f t="shared" si="14"/>
        <v>5.7349035163226897E-2</v>
      </c>
      <c r="BD12" s="55">
        <f t="shared" si="15"/>
        <v>1</v>
      </c>
      <c r="BE12" s="55">
        <f>IF(BB12=0,0,(BB12/$BB$17)*BD12*'2022 Pensjon tjeneste'!M12/'2022 Lønnsgr pensjon tjeneste'!M12)</f>
        <v>1.0226851263675578E-2</v>
      </c>
      <c r="BF12" s="5">
        <f>IF(BB12=0,0,'2022 Nto driftsutg landet'!$C$25*'2022 Lønnsand og pensjon landet'!$D$15*('2022 Pensjon tjeneste'!M12/'2022 Lønnsgr pensjon tjeneste'!M12-$BE$17))</f>
        <v>1.6333539343726896E-3</v>
      </c>
      <c r="BG12" s="5">
        <f t="shared" si="16"/>
        <v>0.50819194301711246</v>
      </c>
      <c r="BH12" s="55">
        <f>IF('2022 Lønnsgr pensjon tjeneste'!N12&lt;100,0,(C12/$C$17)*'2022 Pensjon tjeneste'!N12/'2022 Lønnsgr pensjon tjeneste'!N12)</f>
        <v>1.03120871143978E-2</v>
      </c>
      <c r="BI12" s="5">
        <f>IF('2022 Lønnsgr pensjon tjeneste'!N12&lt;100,0,C12)</f>
        <v>311134</v>
      </c>
      <c r="BJ12" s="55">
        <f t="shared" si="17"/>
        <v>5.7349035163226897E-2</v>
      </c>
      <c r="BK12" s="55">
        <f t="shared" si="18"/>
        <v>1</v>
      </c>
      <c r="BL12" s="55">
        <f>IF(BI12=0,0,(BI12/$BI$17)*BK12*'2022 Pensjon tjeneste'!N12/'2022 Lønnsgr pensjon tjeneste'!N12)</f>
        <v>1.03120871143978E-2</v>
      </c>
      <c r="BM12" s="5">
        <f>IF(BI12=0,0,'2022 Nto driftsutg landet'!$C$26*'2022 Lønnsand og pensjon landet'!$D$16*('2022 Pensjon tjeneste'!N12/'2022 Lønnsgr pensjon tjeneste'!N12-$BL$17))</f>
        <v>0.13841313956419582</v>
      </c>
      <c r="BN12" s="5">
        <f t="shared" si="19"/>
        <v>43.065033765166504</v>
      </c>
      <c r="BO12" s="55">
        <f>IF('2022 Lønnsgr pensjon tjeneste'!O12&lt;100,0,(C12/$C$17)*'2022 Pensjon tjeneste'!O12/'2022 Lønnsgr pensjon tjeneste'!O12)</f>
        <v>0</v>
      </c>
      <c r="BP12" s="5">
        <f>IF('2022 Lønnsgr pensjon tjeneste'!O12&lt;100,0,C12)</f>
        <v>0</v>
      </c>
      <c r="BQ12" s="55">
        <f t="shared" si="20"/>
        <v>0</v>
      </c>
      <c r="BR12" s="55">
        <f t="shared" si="21"/>
        <v>1</v>
      </c>
      <c r="BS12" s="55">
        <f>IF(BP12=0,0,(BP12/$BP$17)*BR12*'2022 Pensjon tjeneste'!O12/'2022 Lønnsgr pensjon tjeneste'!O12)</f>
        <v>0</v>
      </c>
      <c r="BT12" s="5">
        <f>IF(BP12=0,0,'2022 Nto driftsutg landet'!$C$27*'2022 Lønnsand og pensjon landet'!$D$17*('2022 Pensjon tjeneste'!O12/'2022 Lønnsgr pensjon tjeneste'!O12-$BS$17))</f>
        <v>0</v>
      </c>
      <c r="BU12" s="5">
        <f t="shared" si="22"/>
        <v>0</v>
      </c>
      <c r="BV12" s="55">
        <f>IF('2022 Lønnsgr pensjon tjeneste'!P12&lt;100,0,(C12/$C$17)*'2022 Pensjon tjeneste'!P12/'2022 Lønnsgr pensjon tjeneste'!P12)</f>
        <v>3.7313375070840695E-3</v>
      </c>
      <c r="BW12" s="5">
        <f>IF('2022 Lønnsgr pensjon tjeneste'!P12&lt;100,0,C12)</f>
        <v>311134</v>
      </c>
      <c r="BX12" s="55">
        <f t="shared" si="23"/>
        <v>9.2214600916828912E-2</v>
      </c>
      <c r="BY12" s="55">
        <f t="shared" si="24"/>
        <v>1</v>
      </c>
      <c r="BZ12" s="55">
        <f>IF(BW12=0,0,(BW12/$BW$17)*BY12*'2022 Pensjon tjeneste'!P12/'2022 Lønnsgr pensjon tjeneste'!P12)</f>
        <v>5.9998184472052751E-3</v>
      </c>
      <c r="CA12" s="5">
        <f>IF(BW12=0,0,'2022 Nto driftsutg landet'!$C$28*'2022 Lønnsand og pensjon landet'!$D$18*('2022 Pensjon tjeneste'!P12/'2022 Lønnsgr pensjon tjeneste'!P12-$BZ$17))</f>
        <v>1.0587663053796839E-2</v>
      </c>
      <c r="CB12" s="5">
        <f t="shared" si="25"/>
        <v>3.2941819565800254</v>
      </c>
      <c r="CC12" s="5"/>
      <c r="CD12" s="5"/>
      <c r="CE12" s="5"/>
    </row>
    <row r="13" spans="1:83" x14ac:dyDescent="0.3">
      <c r="A13" s="41">
        <v>4600</v>
      </c>
      <c r="B13" s="42" t="s">
        <v>407</v>
      </c>
      <c r="C13" s="42">
        <f>+'2022 Nto driftsutg'!W13</f>
        <v>641292</v>
      </c>
      <c r="D13" s="55">
        <f>IF('2022 Lønnsgr pensjon tjeneste'!D13&lt;100,0,(C13/$C$17)*'2022 Revekting utgiftsbehov'!D13*'2022 Pensjon tjeneste'!D13/'2022 Lønnsgr pensjon tjeneste'!D13)</f>
        <v>5.286981414521193E-3</v>
      </c>
      <c r="E13" s="5">
        <f>IF('2022 Lønnsgr pensjon tjeneste'!D13&lt;100,0,C13)</f>
        <v>641292</v>
      </c>
      <c r="F13" s="55">
        <f>'2022 Revekting utgiftsbehov'!D13*E13/$E$17</f>
        <v>0.1252971968639349</v>
      </c>
      <c r="G13" s="55">
        <f>'2022 Revekting utgiftsbehov'!D13/$F$17</f>
        <v>1.0599840155539371</v>
      </c>
      <c r="H13" s="55">
        <f>IF(E13=0,0,(E13/$E$17)*G13*'2022 Pensjon tjeneste'!D13/'2022 Lønnsgr pensjon tjeneste'!D13)</f>
        <v>5.2868892195284522E-3</v>
      </c>
      <c r="I13" s="5">
        <f>IF(E13=0,0,'2022 Nto driftsutg landet'!$C$5*'2022 Lønnsand og pensjon landet'!$D$6*('2022 Pensjon tjeneste'!D13/'2022 Lønnsgr pensjon tjeneste'!D13-$H$17)*'2022 Revekting utgiftsbehov'!D13)</f>
        <v>-199.48485609115687</v>
      </c>
      <c r="J13" s="5">
        <f t="shared" si="3"/>
        <v>-127928.04233241017</v>
      </c>
      <c r="K13" s="55">
        <f>IF('2022 Lønnsgr pensjon tjeneste'!E13&lt;100,0,(C13/$C$17)*'2022 Revekting utgiftsbehov'!E13*'2022 Pensjon tjeneste'!E13/'2022 Lønnsgr pensjon tjeneste'!E13)</f>
        <v>6.6037556990597629E-2</v>
      </c>
      <c r="L13" s="5">
        <f>IF('2022 Lønnsgr pensjon tjeneste'!E13&lt;100,0,C13)</f>
        <v>641292</v>
      </c>
      <c r="M13" s="55">
        <f>'2022 Revekting utgiftsbehov'!E13*L13/$L$17</f>
        <v>0.16088779568303754</v>
      </c>
      <c r="N13" s="55">
        <f>'2022 Revekting utgiftsbehov'!E13/$M$17</f>
        <v>1.0690661099511769</v>
      </c>
      <c r="O13" s="55">
        <f>IF(L13=0,0,(L13/$L$17)*N13*'2022 Pensjon tjeneste'!E13/'2022 Lønnsgr pensjon tjeneste'!E13)</f>
        <v>6.8369842650621848E-2</v>
      </c>
      <c r="P13" s="5">
        <f>IF(L13=0,0,'2022 Nto driftsutg landet'!$C$6*'2022 Lønnsand og pensjon landet'!$D$7*('2022 Pensjon tjeneste'!E13/'2022 Lønnsgr pensjon tjeneste'!E13-$O$17)*'2022 Revekting utgiftsbehov'!E13)</f>
        <v>22.376840207688268</v>
      </c>
      <c r="Q13" s="5">
        <f t="shared" si="4"/>
        <v>14350.088610468825</v>
      </c>
      <c r="R13" s="55">
        <f>IF('2022 Lønnsgr pensjon tjeneste'!F13&lt;100,0,(C13/$C$17)*'2022 Revekting utgiftsbehov'!F13*'2022 Pensjon tjeneste'!F13/'2022 Lønnsgr pensjon tjeneste'!F13)</f>
        <v>1.2108105690677058E-2</v>
      </c>
      <c r="S13" s="5">
        <f>IF('2022 Lønnsgr pensjon tjeneste'!F13&lt;100,0,C13)</f>
        <v>641292</v>
      </c>
      <c r="T13" s="55">
        <f>'2022 Revekting utgiftsbehov'!F13*S13/$S$17</f>
        <v>0.11826788703205555</v>
      </c>
      <c r="U13" s="55">
        <f>'2022 Revekting utgiftsbehov'!F13/$T$17</f>
        <v>1.0002380833829485</v>
      </c>
      <c r="V13" s="55">
        <f>IF(S13=0,0,(S13/$S$17)*U13*'2022 Pensjon tjeneste'!F13/'2022 Lønnsgr pensjon tjeneste'!F13)</f>
        <v>1.2104510095637807E-2</v>
      </c>
      <c r="W13" s="5">
        <f>IF(S13=0,0,'2022 Nto driftsutg landet'!$C$7*'2022 Lønnsand og pensjon landet'!$D$8*('2022 Pensjon tjeneste'!F13/'2022 Lønnsgr pensjon tjeneste'!F13-$V$17)*'2022 Revekting utgiftsbehov'!F13)</f>
        <v>-3.3783631109078525</v>
      </c>
      <c r="X13" s="5">
        <f t="shared" si="5"/>
        <v>-2166.5172361203186</v>
      </c>
      <c r="Y13" s="55">
        <f>IF('2022 Lønnsgr pensjon tjeneste'!G13&lt;100,0,(C13/$C$17)*'2022 Revekting utgiftsbehov'!G13*'2022 Pensjon tjeneste'!G13/'2022 Lønnsgr pensjon tjeneste'!G13)</f>
        <v>0</v>
      </c>
      <c r="Z13" s="5">
        <f>IF('2022 Lønnsgr pensjon tjeneste'!G13&lt;100,0,C13)</f>
        <v>0</v>
      </c>
      <c r="AA13" s="55">
        <f>'2022 Revekting utgiftsbehov'!G13*Z13/$Z$17</f>
        <v>0</v>
      </c>
      <c r="AB13" s="55">
        <f>'2022 Revekting utgiftsbehov'!G13/$AA$17</f>
        <v>1.3176957596839727</v>
      </c>
      <c r="AC13" s="55">
        <f>IF(Z13=0,0,(Z13/$Z$17)*AB13*'2022 Pensjon tjeneste'!G13/'2022 Lønnsgr pensjon tjeneste'!G13)</f>
        <v>0</v>
      </c>
      <c r="AD13" s="5">
        <f>IF(Z13=0,0,'2022 Nto driftsutg landet'!$C$8*'2022 Lønnsand og pensjon landet'!$D$9*('2022 Pensjon tjeneste'!G13/'2022 Lønnsgr pensjon tjeneste'!G13-$AC$17)*'2022 Revekting utgiftsbehov'!G13)</f>
        <v>0</v>
      </c>
      <c r="AE13" s="5">
        <f t="shared" si="6"/>
        <v>0</v>
      </c>
      <c r="AF13" s="55">
        <f>IF('2022 Lønnsgr pensjon tjeneste'!H13&lt;100,0,(C13/$C$17)*'2022 Revekting utgiftsbehov'!H13*'2022 Pensjon tjeneste'!H13/'2022 Lønnsgr pensjon tjeneste'!H13)</f>
        <v>1.4384931936824052E-2</v>
      </c>
      <c r="AG13" s="5">
        <f>IF('2022 Lønnsgr pensjon tjeneste'!H13&lt;100,0,C13)</f>
        <v>641292</v>
      </c>
      <c r="AH13" s="55">
        <f>'2022 Revekting utgiftsbehov'!H13*AG13/$AG$17</f>
        <v>0.12192723149994748</v>
      </c>
      <c r="AI13" s="55">
        <f>'2022 Revekting utgiftsbehov'!H13/$AH$17</f>
        <v>1.0315305811607349</v>
      </c>
      <c r="AJ13" s="55">
        <f>IF(AG13=0,0,(AG13/$AG$17)*AI13*'2022 Pensjon tjeneste'!H13/'2022 Lønnsgr pensjon tjeneste'!H13)</f>
        <v>1.4385457289037238E-2</v>
      </c>
      <c r="AK13" s="5">
        <f>IF(AG13=0,0,'2022 Nto driftsutg landet'!$C$9*'2022 Lønnsand og pensjon landet'!$D$10*('2022 Pensjon tjeneste'!H13/'2022 Lønnsgr pensjon tjeneste'!H13-$AJ$17)*'2022 Revekting utgiftsbehov'!H13)</f>
        <v>-21.86840325130763</v>
      </c>
      <c r="AL13" s="5">
        <f t="shared" si="7"/>
        <v>-14024.032057837572</v>
      </c>
      <c r="AM13" s="55">
        <f>IF('2022 Lønnsgr pensjon tjeneste'!K13&lt;100,0,(C13/$C$17)*'2022 Pensjon tjeneste'!K13/'2022 Lønnsgr pensjon tjeneste'!K13)</f>
        <v>6.6319006701042196E-2</v>
      </c>
      <c r="AN13" s="5">
        <f>IF('2022 Lønnsgr pensjon tjeneste'!K13&lt;100,0,C13)</f>
        <v>641292</v>
      </c>
      <c r="AO13" s="55">
        <f t="shared" si="8"/>
        <v>0.11820462391733499</v>
      </c>
      <c r="AP13" s="55">
        <f t="shared" si="9"/>
        <v>1.0000365210079192</v>
      </c>
      <c r="AQ13" s="55">
        <f>IF(AN13=0,0,(AN13/$AN$17)*AP13*'2022 Pensjon tjeneste'!K13/'2022 Lønnsgr pensjon tjeneste'!K13)</f>
        <v>6.6321428738011112E-2</v>
      </c>
      <c r="AR13" s="5">
        <f>IF(AN13=0,0,'2022 Nto driftsutg landet'!$C$23*'2022 Lønnsand og pensjon landet'!$D$13*('2022 Pensjon tjeneste'!K13/'2022 Lønnsgr pensjon tjeneste'!K13-$AQ$17))</f>
        <v>27.845549086105681</v>
      </c>
      <c r="AS13" s="5">
        <f t="shared" si="10"/>
        <v>17857.127864526883</v>
      </c>
      <c r="AT13" s="55">
        <f>IF('2022 Lønnsgr pensjon tjeneste'!L13&lt;100,0,(C13/$C$17)*'2022 Pensjon tjeneste'!L13/'2022 Lønnsgr pensjon tjeneste'!L13)</f>
        <v>1.2692173704537166E-2</v>
      </c>
      <c r="AU13" s="5">
        <f>IF('2022 Lønnsgr pensjon tjeneste'!L13&lt;100,0,C13)</f>
        <v>641292</v>
      </c>
      <c r="AV13" s="55">
        <f t="shared" si="11"/>
        <v>0.13571045085085146</v>
      </c>
      <c r="AW13" s="55">
        <f t="shared" si="12"/>
        <v>1</v>
      </c>
      <c r="AX13" s="55">
        <f>IF(AU13=0,0,(AU13/$AU$17)*AW13*'2022 Pensjon tjeneste'!L13/'2022 Lønnsgr pensjon tjeneste'!L13)</f>
        <v>1.4571854794146145E-2</v>
      </c>
      <c r="AY13" s="5">
        <f>IF(AU13=0,0,'2022 Nto driftsutg landet'!$C$24*'2022 Lønnsand og pensjon landet'!$D$14*('2022 Pensjon tjeneste'!L13/'2022 Lønnsgr pensjon tjeneste'!L13-$AX$17))</f>
        <v>-2.657281244804953</v>
      </c>
      <c r="AZ13" s="5">
        <f t="shared" si="13"/>
        <v>-1704.0932040434579</v>
      </c>
      <c r="BA13" s="55">
        <f>IF('2022 Lønnsgr pensjon tjeneste'!M13&lt;100,0,(C13/$C$17)*'2022 Pensjon tjeneste'!M13/'2022 Lønnsgr pensjon tjeneste'!M13)</f>
        <v>1.3220361349673734E-2</v>
      </c>
      <c r="BB13" s="5">
        <f>IF('2022 Lønnsgr pensjon tjeneste'!M13&lt;100,0,C13)</f>
        <v>641292</v>
      </c>
      <c r="BC13" s="55">
        <f t="shared" si="14"/>
        <v>0.11820462391733499</v>
      </c>
      <c r="BD13" s="55">
        <f t="shared" si="15"/>
        <v>1</v>
      </c>
      <c r="BE13" s="55">
        <f>IF(BB13=0,0,(BB13/$BB$17)*BD13*'2022 Pensjon tjeneste'!M13/'2022 Lønnsgr pensjon tjeneste'!M13)</f>
        <v>1.3220361349673734E-2</v>
      </c>
      <c r="BF13" s="5">
        <f>IF(BB13=0,0,'2022 Nto driftsutg landet'!$C$25*'2022 Lønnsand og pensjon landet'!$D$15*('2022 Pensjon tjeneste'!M13/'2022 Lønnsgr pensjon tjeneste'!M13-$BE$17))</f>
        <v>0.14755744164885165</v>
      </c>
      <c r="BG13" s="5">
        <f t="shared" si="16"/>
        <v>94.627406869875372</v>
      </c>
      <c r="BH13" s="55">
        <f>IF('2022 Lønnsgr pensjon tjeneste'!N13&lt;100,0,(C13/$C$17)*'2022 Pensjon tjeneste'!N13/'2022 Lønnsgr pensjon tjeneste'!N13)</f>
        <v>1.3320817452777706E-2</v>
      </c>
      <c r="BI13" s="5">
        <f>IF('2022 Lønnsgr pensjon tjeneste'!N13&lt;100,0,C13)</f>
        <v>641292</v>
      </c>
      <c r="BJ13" s="55">
        <f t="shared" si="17"/>
        <v>0.11820462391733499</v>
      </c>
      <c r="BK13" s="55">
        <f t="shared" si="18"/>
        <v>1</v>
      </c>
      <c r="BL13" s="55">
        <f>IF(BI13=0,0,(BI13/$BI$17)*BK13*'2022 Pensjon tjeneste'!N13/'2022 Lønnsgr pensjon tjeneste'!N13)</f>
        <v>1.3320817452777706E-2</v>
      </c>
      <c r="BM13" s="5">
        <f>IF(BI13=0,0,'2022 Nto driftsutg landet'!$C$26*'2022 Lønnsand og pensjon landet'!$D$16*('2022 Pensjon tjeneste'!N13/'2022 Lønnsgr pensjon tjeneste'!N13-$BL$17))</f>
        <v>-1.6194691086069433</v>
      </c>
      <c r="BN13" s="5">
        <f t="shared" si="19"/>
        <v>-1038.552583596764</v>
      </c>
      <c r="BO13" s="55">
        <f>IF('2022 Lønnsgr pensjon tjeneste'!O13&lt;100,0,(C13/$C$17)*'2022 Pensjon tjeneste'!O13/'2022 Lønnsgr pensjon tjeneste'!O13)</f>
        <v>0</v>
      </c>
      <c r="BP13" s="5">
        <f>IF('2022 Lønnsgr pensjon tjeneste'!O13&lt;100,0,C13)</f>
        <v>0</v>
      </c>
      <c r="BQ13" s="55">
        <f t="shared" si="20"/>
        <v>0</v>
      </c>
      <c r="BR13" s="55">
        <f t="shared" si="21"/>
        <v>1</v>
      </c>
      <c r="BS13" s="55">
        <f>IF(BP13=0,0,(BP13/$BP$17)*BR13*'2022 Pensjon tjeneste'!O13/'2022 Lønnsgr pensjon tjeneste'!O13)</f>
        <v>0</v>
      </c>
      <c r="BT13" s="5">
        <f>IF(BP13=0,0,'2022 Nto driftsutg landet'!$C$27*'2022 Lønnsand og pensjon landet'!$D$17*('2022 Pensjon tjeneste'!O13/'2022 Lønnsgr pensjon tjeneste'!O13-$BS$17))</f>
        <v>0</v>
      </c>
      <c r="BU13" s="5">
        <f t="shared" si="22"/>
        <v>0</v>
      </c>
      <c r="BV13" s="55">
        <f>IF('2022 Lønnsgr pensjon tjeneste'!P13&lt;100,0,(C13/$C$17)*'2022 Pensjon tjeneste'!P13/'2022 Lønnsgr pensjon tjeneste'!P13)</f>
        <v>1.3807745370256381E-2</v>
      </c>
      <c r="BW13" s="5">
        <f>IF('2022 Lønnsgr pensjon tjeneste'!P13&lt;100,0,C13)</f>
        <v>641292</v>
      </c>
      <c r="BX13" s="55">
        <f t="shared" si="23"/>
        <v>0.19006757812117944</v>
      </c>
      <c r="BY13" s="55">
        <f t="shared" si="24"/>
        <v>1</v>
      </c>
      <c r="BZ13" s="55">
        <f>IF(BW13=0,0,(BW13/$BW$17)*BY13*'2022 Pensjon tjeneste'!P13/'2022 Lønnsgr pensjon tjeneste'!P13)</f>
        <v>2.2202217094941266E-2</v>
      </c>
      <c r="CA13" s="5">
        <f>IF(BW13=0,0,'2022 Nto driftsutg landet'!$C$28*'2022 Lønnsand og pensjon landet'!$D$18*('2022 Pensjon tjeneste'!P13/'2022 Lønnsgr pensjon tjeneste'!P13-$BZ$17))</f>
        <v>9.940332096209255E-4</v>
      </c>
      <c r="CB13" s="5">
        <f t="shared" si="25"/>
        <v>0.63746554506422248</v>
      </c>
      <c r="CC13" s="5"/>
      <c r="CD13" s="5"/>
      <c r="CE13" s="5"/>
    </row>
    <row r="14" spans="1:83" x14ac:dyDescent="0.3">
      <c r="A14" s="41">
        <v>5000</v>
      </c>
      <c r="B14" s="42" t="s">
        <v>388</v>
      </c>
      <c r="C14" s="42">
        <f>+'2022 Nto driftsutg'!W14</f>
        <v>474131</v>
      </c>
      <c r="D14" s="55">
        <f>IF('2022 Lønnsgr pensjon tjeneste'!D14&lt;100,0,(C14/$C$17)*'2022 Revekting utgiftsbehov'!D14*'2022 Pensjon tjeneste'!D14/'2022 Lønnsgr pensjon tjeneste'!D14)</f>
        <v>8.1663972344938954E-3</v>
      </c>
      <c r="E14" s="5">
        <f>IF('2022 Lønnsgr pensjon tjeneste'!D14&lt;100,0,C14)</f>
        <v>474131</v>
      </c>
      <c r="F14" s="55">
        <f>'2022 Revekting utgiftsbehov'!D14*E14/$E$17</f>
        <v>8.9171843037491219E-2</v>
      </c>
      <c r="G14" s="55">
        <f>'2022 Revekting utgiftsbehov'!D14/$F$17</f>
        <v>1.0203359169541177</v>
      </c>
      <c r="H14" s="55">
        <f>IF(E14=0,0,(E14/$E$17)*G14*'2022 Pensjon tjeneste'!D14/'2022 Lønnsgr pensjon tjeneste'!D14)</f>
        <v>8.1662548279154111E-3</v>
      </c>
      <c r="I14" s="5">
        <f>IF(E14=0,0,'2022 Nto driftsutg landet'!$C$5*'2022 Lønnsand og pensjon landet'!$D$6*('2022 Pensjon tjeneste'!D14/'2022 Lønnsgr pensjon tjeneste'!D14-$H$17)*'2022 Revekting utgiftsbehov'!D14)</f>
        <v>-11.892328680976629</v>
      </c>
      <c r="J14" s="5">
        <f t="shared" si="3"/>
        <v>-5638.5216898401295</v>
      </c>
      <c r="K14" s="55">
        <f>IF('2022 Lønnsgr pensjon tjeneste'!E14&lt;100,0,(C14/$C$17)*'2022 Revekting utgiftsbehov'!E14*'2022 Pensjon tjeneste'!E14/'2022 Lønnsgr pensjon tjeneste'!E14)</f>
        <v>3.2848565766384979E-2</v>
      </c>
      <c r="L14" s="5">
        <f>IF('2022 Lønnsgr pensjon tjeneste'!E14&lt;100,0,C14)</f>
        <v>474131</v>
      </c>
      <c r="M14" s="55">
        <f>'2022 Revekting utgiftsbehov'!E14*L14/$L$17</f>
        <v>0.12847013288375717</v>
      </c>
      <c r="N14" s="55">
        <f>'2022 Revekting utgiftsbehov'!E14/$M$17</f>
        <v>1.1546253939528952</v>
      </c>
      <c r="O14" s="55">
        <f>IF(L14=0,0,(L14/$L$17)*N14*'2022 Pensjon tjeneste'!E14/'2022 Lønnsgr pensjon tjeneste'!E14)</f>
        <v>3.4008697097412423E-2</v>
      </c>
      <c r="P14" s="5">
        <f>IF(L14=0,0,'2022 Nto driftsutg landet'!$C$6*'2022 Lønnsand og pensjon landet'!$D$7*('2022 Pensjon tjeneste'!E14/'2022 Lønnsgr pensjon tjeneste'!E14-$O$17)*'2022 Revekting utgiftsbehov'!E14)</f>
        <v>-2.4273087703997498</v>
      </c>
      <c r="Q14" s="5">
        <f t="shared" si="4"/>
        <v>-1150.8623346184038</v>
      </c>
      <c r="R14" s="55">
        <f>IF('2022 Lønnsgr pensjon tjeneste'!F14&lt;100,0,(C14/$C$17)*'2022 Revekting utgiftsbehov'!F14*'2022 Pensjon tjeneste'!F14/'2022 Lønnsgr pensjon tjeneste'!F14)</f>
        <v>1.3126051174318384E-2</v>
      </c>
      <c r="S14" s="5">
        <f>IF('2022 Lønnsgr pensjon tjeneste'!F14&lt;100,0,C14)</f>
        <v>474131</v>
      </c>
      <c r="T14" s="55">
        <f>'2022 Revekting utgiftsbehov'!F14*S14/$S$17</f>
        <v>9.2775329351497723E-2</v>
      </c>
      <c r="U14" s="55">
        <f>'2022 Revekting utgiftsbehov'!F14/$T$17</f>
        <v>1.0612715536411288</v>
      </c>
      <c r="V14" s="55">
        <f>IF(S14=0,0,(S14/$S$17)*U14*'2022 Pensjon tjeneste'!F14/'2022 Lønnsgr pensjon tjeneste'!F14)</f>
        <v>1.3122153292544549E-2</v>
      </c>
      <c r="W14" s="5">
        <f>IF(S14=0,0,'2022 Nto driftsutg landet'!$C$7*'2022 Lønnsand og pensjon landet'!$D$8*('2022 Pensjon tjeneste'!F14/'2022 Lønnsgr pensjon tjeneste'!F14-$V$17)*'2022 Revekting utgiftsbehov'!F14)</f>
        <v>-2.0887494060065532</v>
      </c>
      <c r="X14" s="5">
        <f t="shared" si="5"/>
        <v>-990.34084461929308</v>
      </c>
      <c r="Y14" s="55">
        <f>IF('2022 Lønnsgr pensjon tjeneste'!G14&lt;100,0,(C14/$C$17)*'2022 Revekting utgiftsbehov'!G14*'2022 Pensjon tjeneste'!G14/'2022 Lønnsgr pensjon tjeneste'!G14)</f>
        <v>1.2326481814714537E-2</v>
      </c>
      <c r="Z14" s="5">
        <f>IF('2022 Lønnsgr pensjon tjeneste'!G14&lt;100,0,C14)</f>
        <v>474131</v>
      </c>
      <c r="AA14" s="55">
        <f>'2022 Revekting utgiftsbehov'!G14*Z14/$Z$17</f>
        <v>0.24366239639560702</v>
      </c>
      <c r="AB14" s="55">
        <f>'2022 Revekting utgiftsbehov'!G14/$AA$17</f>
        <v>0.75100521774183482</v>
      </c>
      <c r="AC14" s="55">
        <f>IF(Z14=0,0,(Z14/$Z$17)*AB14*'2022 Pensjon tjeneste'!G14/'2022 Lønnsgr pensjon tjeneste'!G14)</f>
        <v>1.7107444690593006E-2</v>
      </c>
      <c r="AD14" s="5">
        <f>IF(Z14=0,0,'2022 Nto driftsutg landet'!$C$8*'2022 Lønnsand og pensjon landet'!$D$9*('2022 Pensjon tjeneste'!G14/'2022 Lønnsgr pensjon tjeneste'!G14-$AC$17)*'2022 Revekting utgiftsbehov'!G14)</f>
        <v>-0.50503710042929806</v>
      </c>
      <c r="AE14" s="5">
        <f t="shared" si="6"/>
        <v>-239.45374546364351</v>
      </c>
      <c r="AF14" s="55">
        <f>IF('2022 Lønnsgr pensjon tjeneste'!H14&lt;100,0,(C14/$C$17)*'2022 Revekting utgiftsbehov'!H14*'2022 Pensjon tjeneste'!H14/'2022 Lønnsgr pensjon tjeneste'!H14)</f>
        <v>1.2247478592859795E-2</v>
      </c>
      <c r="AG14" s="5">
        <f>IF('2022 Lønnsgr pensjon tjeneste'!H14&lt;100,0,C14)</f>
        <v>474131</v>
      </c>
      <c r="AH14" s="55">
        <f>'2022 Revekting utgiftsbehov'!H14*AG14/$AG$17</f>
        <v>8.7775588430749063E-2</v>
      </c>
      <c r="AI14" s="55">
        <f>'2022 Revekting utgiftsbehov'!H14/$AH$17</f>
        <v>1.0044136708600055</v>
      </c>
      <c r="AJ14" s="55">
        <f>IF(AG14=0,0,(AG14/$AG$17)*AI14*'2022 Pensjon tjeneste'!H14/'2022 Lønnsgr pensjon tjeneste'!H14)</f>
        <v>1.2247925883122476E-2</v>
      </c>
      <c r="AK14" s="5">
        <f>IF(AG14=0,0,'2022 Nto driftsutg landet'!$C$9*'2022 Lønnsand og pensjon landet'!$D$10*('2022 Pensjon tjeneste'!H14/'2022 Lønnsgr pensjon tjeneste'!H14-$AJ$17)*'2022 Revekting utgiftsbehov'!H14)</f>
        <v>-15.220276536311303</v>
      </c>
      <c r="AL14" s="5">
        <f t="shared" si="7"/>
        <v>-7216.4049344378145</v>
      </c>
      <c r="AM14" s="55">
        <f>IF('2022 Lønnsgr pensjon tjeneste'!K14&lt;100,0,(C14/$C$17)*'2022 Pensjon tjeneste'!K14/'2022 Lønnsgr pensjon tjeneste'!K14)</f>
        <v>7.3162085661329965E-2</v>
      </c>
      <c r="AN14" s="5">
        <f>IF('2022 Lønnsgr pensjon tjeneste'!K14&lt;100,0,C14)</f>
        <v>474131</v>
      </c>
      <c r="AO14" s="55">
        <f t="shared" si="8"/>
        <v>8.7393069837998841E-2</v>
      </c>
      <c r="AP14" s="55">
        <f t="shared" si="9"/>
        <v>1.0000365210079192</v>
      </c>
      <c r="AQ14" s="55">
        <f>IF(AN14=0,0,(AN14/$AN$17)*AP14*'2022 Pensjon tjeneste'!K14/'2022 Lønnsgr pensjon tjeneste'!K14)</f>
        <v>7.3164757614439788E-2</v>
      </c>
      <c r="AR14" s="5">
        <f>IF(AN14=0,0,'2022 Nto driftsutg landet'!$C$23*'2022 Lønnsand og pensjon landet'!$D$13*('2022 Pensjon tjeneste'!K14/'2022 Lønnsgr pensjon tjeneste'!K14-$AQ$17))</f>
        <v>119.10392752688222</v>
      </c>
      <c r="AS14" s="5">
        <f t="shared" si="10"/>
        <v>56470.864262248193</v>
      </c>
      <c r="AT14" s="55">
        <f>IF('2022 Lønnsgr pensjon tjeneste'!L14&lt;100,0,(C14/$C$17)*'2022 Pensjon tjeneste'!L14/'2022 Lønnsgr pensjon tjeneste'!L14)</f>
        <v>1.1280831623159675E-2</v>
      </c>
      <c r="AU14" s="5">
        <f>IF('2022 Lønnsgr pensjon tjeneste'!L14&lt;100,0,C14)</f>
        <v>474131</v>
      </c>
      <c r="AV14" s="55">
        <f t="shared" si="11"/>
        <v>0.10033577804239729</v>
      </c>
      <c r="AW14" s="55">
        <f t="shared" si="12"/>
        <v>1</v>
      </c>
      <c r="AX14" s="55">
        <f>IF(AU14=0,0,(AU14/$AU$17)*AW14*'2022 Pensjon tjeneste'!L14/'2022 Lønnsgr pensjon tjeneste'!L14)</f>
        <v>1.2951496268218555E-2</v>
      </c>
      <c r="AY14" s="5">
        <f>IF(AU14=0,0,'2022 Nto driftsutg landet'!$C$24*'2022 Lønnsand og pensjon landet'!$D$14*('2022 Pensjon tjeneste'!L14/'2022 Lønnsgr pensjon tjeneste'!L14-$AX$17))</f>
        <v>-1.6010198870799646</v>
      </c>
      <c r="AZ14" s="5">
        <f t="shared" si="13"/>
        <v>-759.09316008111068</v>
      </c>
      <c r="BA14" s="55">
        <f>IF('2022 Lønnsgr pensjon tjeneste'!M14&lt;100,0,(C14/$C$17)*'2022 Pensjon tjeneste'!M14/'2022 Lønnsgr pensjon tjeneste'!M14)</f>
        <v>9.9119935439263857E-3</v>
      </c>
      <c r="BB14" s="5">
        <f>IF('2022 Lønnsgr pensjon tjeneste'!M14&lt;100,0,C14)</f>
        <v>474131</v>
      </c>
      <c r="BC14" s="55">
        <f t="shared" si="14"/>
        <v>8.7393069837998841E-2</v>
      </c>
      <c r="BD14" s="55">
        <f t="shared" si="15"/>
        <v>1</v>
      </c>
      <c r="BE14" s="55">
        <f>IF(BB14=0,0,(BB14/$BB$17)*BD14*'2022 Pensjon tjeneste'!M14/'2022 Lønnsgr pensjon tjeneste'!M14)</f>
        <v>9.9119935439263857E-3</v>
      </c>
      <c r="BF14" s="5">
        <f>IF(BB14=0,0,'2022 Nto driftsutg landet'!$C$25*'2022 Lønnsand og pensjon landet'!$D$15*('2022 Pensjon tjeneste'!M14/'2022 Lønnsgr pensjon tjeneste'!M14-$BE$17))</f>
        <v>0.14409935065920537</v>
      </c>
      <c r="BG14" s="5">
        <f t="shared" si="16"/>
        <v>68.321969227399705</v>
      </c>
      <c r="BH14" s="55">
        <f>IF('2022 Lønnsgr pensjon tjeneste'!N14&lt;100,0,(C14/$C$17)*'2022 Pensjon tjeneste'!N14/'2022 Lønnsgr pensjon tjeneste'!N14)</f>
        <v>1.0688929043673936E-2</v>
      </c>
      <c r="BI14" s="5">
        <f>IF('2022 Lønnsgr pensjon tjeneste'!N14&lt;100,0,C14)</f>
        <v>474131</v>
      </c>
      <c r="BJ14" s="55">
        <f t="shared" si="17"/>
        <v>8.7393069837998841E-2</v>
      </c>
      <c r="BK14" s="55">
        <f t="shared" si="18"/>
        <v>1</v>
      </c>
      <c r="BL14" s="55">
        <f>IF(BI14=0,0,(BI14/$BI$17)*BK14*'2022 Pensjon tjeneste'!N14/'2022 Lønnsgr pensjon tjeneste'!N14)</f>
        <v>1.0688929043673936E-2</v>
      </c>
      <c r="BM14" s="5">
        <f>IF(BI14=0,0,'2022 Nto driftsutg landet'!$C$26*'2022 Lønnsand og pensjon landet'!$D$16*('2022 Pensjon tjeneste'!N14/'2022 Lønnsgr pensjon tjeneste'!N14-$BL$17))</f>
        <v>-1.3676296273201123</v>
      </c>
      <c r="BN14" s="5">
        <f t="shared" si="19"/>
        <v>-648.4356028309121</v>
      </c>
      <c r="BO14" s="55">
        <f>IF('2022 Lønnsgr pensjon tjeneste'!O14&lt;100,0,(C14/$C$17)*'2022 Pensjon tjeneste'!O14/'2022 Lønnsgr pensjon tjeneste'!O14)</f>
        <v>0</v>
      </c>
      <c r="BP14" s="5">
        <f>IF('2022 Lønnsgr pensjon tjeneste'!O14&lt;100,0,C14)</f>
        <v>0</v>
      </c>
      <c r="BQ14" s="55">
        <f t="shared" si="20"/>
        <v>0</v>
      </c>
      <c r="BR14" s="55">
        <f t="shared" si="21"/>
        <v>1</v>
      </c>
      <c r="BS14" s="55">
        <f>IF(BP14=0,0,(BP14/$BP$17)*BR14*'2022 Pensjon tjeneste'!O14/'2022 Lønnsgr pensjon tjeneste'!O14)</f>
        <v>0</v>
      </c>
      <c r="BT14" s="5">
        <f>IF(BP14=0,0,'2022 Nto driftsutg landet'!$C$27*'2022 Lønnsand og pensjon landet'!$D$17*('2022 Pensjon tjeneste'!O14/'2022 Lønnsgr pensjon tjeneste'!O14-$BS$17))</f>
        <v>0</v>
      </c>
      <c r="BU14" s="5">
        <f t="shared" si="22"/>
        <v>0</v>
      </c>
      <c r="BV14" s="55">
        <f>IF('2022 Lønnsgr pensjon tjeneste'!P14&lt;100,0,(C14/$C$17)*'2022 Pensjon tjeneste'!P14/'2022 Lønnsgr pensjon tjeneste'!P14)</f>
        <v>0</v>
      </c>
      <c r="BW14" s="5">
        <f>IF('2022 Lønnsgr pensjon tjeneste'!P14&lt;100,0,C14)</f>
        <v>0</v>
      </c>
      <c r="BX14" s="55">
        <f t="shared" si="23"/>
        <v>0</v>
      </c>
      <c r="BY14" s="55">
        <f t="shared" si="24"/>
        <v>1</v>
      </c>
      <c r="BZ14" s="55">
        <f>IF(BW14=0,0,(BW14/$BW$17)*BY14*'2022 Pensjon tjeneste'!P14/'2022 Lønnsgr pensjon tjeneste'!P14)</f>
        <v>0</v>
      </c>
      <c r="CA14" s="5">
        <f>IF(BW14=0,0,'2022 Nto driftsutg landet'!$C$28*'2022 Lønnsand og pensjon landet'!$D$18*('2022 Pensjon tjeneste'!P14/'2022 Lønnsgr pensjon tjeneste'!P14-$BZ$17))</f>
        <v>0</v>
      </c>
      <c r="CB14" s="5">
        <f t="shared" si="25"/>
        <v>0</v>
      </c>
      <c r="CC14" s="5"/>
      <c r="CD14" s="5"/>
      <c r="CE14" s="5"/>
    </row>
    <row r="15" spans="1:83" x14ac:dyDescent="0.3">
      <c r="A15" s="41">
        <v>5400</v>
      </c>
      <c r="B15" s="42" t="s">
        <v>408</v>
      </c>
      <c r="C15" s="42">
        <f>+'2022 Nto driftsutg'!W15</f>
        <v>241736</v>
      </c>
      <c r="D15" s="55">
        <f>IF('2022 Lønnsgr pensjon tjeneste'!D15&lt;100,0,(C15/$C$17)*'2022 Revekting utgiftsbehov'!D15*'2022 Pensjon tjeneste'!D15/'2022 Lønnsgr pensjon tjeneste'!D15)</f>
        <v>5.597606782423767E-3</v>
      </c>
      <c r="E15" s="5">
        <f>IF('2022 Lønnsgr pensjon tjeneste'!D15&lt;100,0,C15)</f>
        <v>241736</v>
      </c>
      <c r="F15" s="55">
        <f>'2022 Revekting utgiftsbehov'!D15*E15/$E$17</f>
        <v>4.7419555193337848E-2</v>
      </c>
      <c r="G15" s="55">
        <f>'2022 Revekting utgiftsbehov'!D15/$F$17</f>
        <v>1.0642163517486827</v>
      </c>
      <c r="H15" s="55">
        <f>IF(E15=0,0,(E15/$E$17)*G15*'2022 Pensjon tjeneste'!D15/'2022 Lønnsgr pensjon tjeneste'!D15)</f>
        <v>5.5975091707099727E-3</v>
      </c>
      <c r="I15" s="5">
        <f>IF(E15=0,0,'2022 Nto driftsutg landet'!$C$5*'2022 Lønnsand og pensjon landet'!$D$6*('2022 Pensjon tjeneste'!D15/'2022 Lønnsgr pensjon tjeneste'!D15-$H$17)*'2022 Revekting utgiftsbehov'!D15)</f>
        <v>88.273921034417853</v>
      </c>
      <c r="J15" s="5">
        <f t="shared" si="3"/>
        <v>21338.984575176033</v>
      </c>
      <c r="K15" s="55">
        <f>IF('2022 Lønnsgr pensjon tjeneste'!E15&lt;100,0,(C15/$C$17)*'2022 Revekting utgiftsbehov'!E15*'2022 Pensjon tjeneste'!E15/'2022 Lønnsgr pensjon tjeneste'!E15)</f>
        <v>2.6422358236429813E-2</v>
      </c>
      <c r="L15" s="5">
        <f>IF('2022 Lønnsgr pensjon tjeneste'!E15&lt;100,0,C15)</f>
        <v>241736</v>
      </c>
      <c r="M15" s="55">
        <f>'2022 Revekting utgiftsbehov'!E15*L15/$L$17</f>
        <v>0.105661965854613</v>
      </c>
      <c r="N15" s="55">
        <f>'2022 Revekting utgiftsbehov'!E15/$M$17</f>
        <v>1.8625787252973451</v>
      </c>
      <c r="O15" s="55">
        <f>IF(L15=0,0,(L15/$L$17)*N15*'2022 Pensjon tjeneste'!E15/'2022 Lønnsgr pensjon tjeneste'!E15)</f>
        <v>2.7355531570319537E-2</v>
      </c>
      <c r="P15" s="5">
        <f>IF(L15=0,0,'2022 Nto driftsutg landet'!$C$6*'2022 Lønnsand og pensjon landet'!$D$7*('2022 Pensjon tjeneste'!E15/'2022 Lønnsgr pensjon tjeneste'!E15-$O$17)*'2022 Revekting utgiftsbehov'!E15)</f>
        <v>-5.4749444913775598</v>
      </c>
      <c r="Q15" s="5">
        <f t="shared" si="4"/>
        <v>-1323.4911815676458</v>
      </c>
      <c r="R15" s="55">
        <f>IF('2022 Lønnsgr pensjon tjeneste'!F15&lt;100,0,(C15/$C$17)*'2022 Revekting utgiftsbehov'!F15*'2022 Pensjon tjeneste'!F15/'2022 Lønnsgr pensjon tjeneste'!F15)</f>
        <v>1.1051985254165694E-2</v>
      </c>
      <c r="S15" s="5">
        <f>IF('2022 Lønnsgr pensjon tjeneste'!F15&lt;100,0,C15)</f>
        <v>241736</v>
      </c>
      <c r="T15" s="55">
        <f>'2022 Revekting utgiftsbehov'!F15*S15/$S$17</f>
        <v>4.9975538208774858E-2</v>
      </c>
      <c r="U15" s="55">
        <f>'2022 Revekting utgiftsbehov'!F15/$T$17</f>
        <v>1.1212656526402751</v>
      </c>
      <c r="V15" s="55">
        <f>IF(S15=0,0,(S15/$S$17)*U15*'2022 Pensjon tjeneste'!F15/'2022 Lønnsgr pensjon tjeneste'!F15)</f>
        <v>1.1048703282206664E-2</v>
      </c>
      <c r="W15" s="5">
        <f>IF(S15=0,0,'2022 Nto driftsutg landet'!$C$7*'2022 Lønnsand og pensjon landet'!$D$8*('2022 Pensjon tjeneste'!F15/'2022 Lønnsgr pensjon tjeneste'!F15-$V$17)*'2022 Revekting utgiftsbehov'!F15)</f>
        <v>1.0127551821912988</v>
      </c>
      <c r="X15" s="5">
        <f t="shared" si="5"/>
        <v>244.81938672219582</v>
      </c>
      <c r="Y15" s="55">
        <f>IF('2022 Lønnsgr pensjon tjeneste'!G15&lt;100,0,(C15/$C$17)*'2022 Revekting utgiftsbehov'!G15*'2022 Pensjon tjeneste'!G15/'2022 Lønnsgr pensjon tjeneste'!G15)</f>
        <v>2.9902893763438444E-2</v>
      </c>
      <c r="Z15" s="5">
        <f>IF('2022 Lønnsgr pensjon tjeneste'!G15&lt;100,0,C15)</f>
        <v>241736</v>
      </c>
      <c r="AA15" s="55">
        <f>'2022 Revekting utgiftsbehov'!G15*Z15/$Z$17</f>
        <v>0.32168898481922636</v>
      </c>
      <c r="AB15" s="55">
        <f>'2022 Revekting utgiftsbehov'!G15/$AA$17</f>
        <v>1.9446777866524561</v>
      </c>
      <c r="AC15" s="55">
        <f>IF(Z15=0,0,(Z15/$Z$17)*AB15*'2022 Pensjon tjeneste'!G15/'2022 Lønnsgr pensjon tjeneste'!G15)</f>
        <v>4.1501063226007662E-2</v>
      </c>
      <c r="AD15" s="5">
        <f>IF(Z15=0,0,'2022 Nto driftsutg landet'!$C$8*'2022 Lønnsand og pensjon landet'!$D$9*('2022 Pensjon tjeneste'!G15/'2022 Lønnsgr pensjon tjeneste'!G15-$AC$17)*'2022 Revekting utgiftsbehov'!G15)</f>
        <v>0.21421411498337042</v>
      </c>
      <c r="AE15" s="5">
        <f t="shared" si="6"/>
        <v>51.783263299620032</v>
      </c>
      <c r="AF15" s="55">
        <f>IF('2022 Lønnsgr pensjon tjeneste'!H15&lt;100,0,(C15/$C$17)*'2022 Revekting utgiftsbehov'!H15*'2022 Pensjon tjeneste'!H15/'2022 Lønnsgr pensjon tjeneste'!H15)</f>
        <v>1.0015854588429901E-2</v>
      </c>
      <c r="AG15" s="5">
        <f>IF('2022 Lønnsgr pensjon tjeneste'!H15&lt;100,0,C15)</f>
        <v>241736</v>
      </c>
      <c r="AH15" s="55">
        <f>'2022 Revekting utgiftsbehov'!H15*AG15/$AG$17</f>
        <v>4.3278945683145727E-2</v>
      </c>
      <c r="AI15" s="55">
        <f>'2022 Revekting utgiftsbehov'!H15/$AH$17</f>
        <v>0.97134287312524759</v>
      </c>
      <c r="AJ15" s="55">
        <f>IF(AG15=0,0,(AG15/$AG$17)*AI15*'2022 Pensjon tjeneste'!H15/'2022 Lønnsgr pensjon tjeneste'!H15)</f>
        <v>1.0016220377534643E-2</v>
      </c>
      <c r="AK15" s="5">
        <f>IF(AG15=0,0,'2022 Nto driftsutg landet'!$C$9*'2022 Lønnsand og pensjon landet'!$D$10*('2022 Pensjon tjeneste'!H15/'2022 Lønnsgr pensjon tjeneste'!H15-$AJ$17)*'2022 Revekting utgiftsbehov'!H15)</f>
        <v>10.323408204429892</v>
      </c>
      <c r="AL15" s="5">
        <f t="shared" si="7"/>
        <v>2495.5394057060644</v>
      </c>
      <c r="AM15" s="55">
        <f>IF('2022 Lønnsgr pensjon tjeneste'!K15&lt;100,0,(C15/$C$17)*'2022 Pensjon tjeneste'!K15/'2022 Lønnsgr pensjon tjeneste'!K15)</f>
        <v>9.4187467819499306E-3</v>
      </c>
      <c r="AN15" s="5">
        <f>IF('2022 Lønnsgr pensjon tjeneste'!K15&lt;100,0,C15)</f>
        <v>241736</v>
      </c>
      <c r="AO15" s="55">
        <f t="shared" si="8"/>
        <v>4.45574137324041E-2</v>
      </c>
      <c r="AP15" s="55">
        <f t="shared" si="9"/>
        <v>1.0000365210079192</v>
      </c>
      <c r="AQ15" s="55">
        <f>IF(AN15=0,0,(AN15/$AN$17)*AP15*'2022 Pensjon tjeneste'!K15/'2022 Lønnsgr pensjon tjeneste'!K15)</f>
        <v>9.4190907640757417E-3</v>
      </c>
      <c r="AR15" s="5">
        <f>IF(AN15=0,0,'2022 Nto driftsutg landet'!$C$23*'2022 Lønnsand og pensjon landet'!$D$13*('2022 Pensjon tjeneste'!K15/'2022 Lønnsgr pensjon tjeneste'!K15-$AQ$17))</f>
        <v>-87.725414629999221</v>
      </c>
      <c r="AS15" s="5">
        <f t="shared" si="10"/>
        <v>-21206.390830997494</v>
      </c>
      <c r="AT15" s="55">
        <f>IF('2022 Lønnsgr pensjon tjeneste'!L15&lt;100,0,(C15/$C$17)*'2022 Pensjon tjeneste'!L15/'2022 Lønnsgr pensjon tjeneste'!L15)</f>
        <v>9.9282958054697328E-3</v>
      </c>
      <c r="AU15" s="5">
        <f>IF('2022 Lønnsgr pensjon tjeneste'!L15&lt;100,0,C15)</f>
        <v>241736</v>
      </c>
      <c r="AV15" s="55">
        <f t="shared" si="11"/>
        <v>5.1156261963164092E-2</v>
      </c>
      <c r="AW15" s="55">
        <f t="shared" si="12"/>
        <v>1</v>
      </c>
      <c r="AX15" s="55">
        <f>IF(AU15=0,0,(AU15/$AU$17)*AW15*'2022 Pensjon tjeneste'!L15/'2022 Lønnsgr pensjon tjeneste'!L15)</f>
        <v>1.1398653075392251E-2</v>
      </c>
      <c r="AY15" s="5">
        <f>IF(AU15=0,0,'2022 Nto driftsutg landet'!$C$24*'2022 Lønnsand og pensjon landet'!$D$14*('2022 Pensjon tjeneste'!L15/'2022 Lønnsgr pensjon tjeneste'!L15-$AX$17))</f>
        <v>2.9603151303743092</v>
      </c>
      <c r="AZ15" s="5">
        <f t="shared" si="13"/>
        <v>715.61473835616391</v>
      </c>
      <c r="BA15" s="55">
        <f>IF('2022 Lønnsgr pensjon tjeneste'!M15&lt;100,0,(C15/$C$17)*'2022 Pensjon tjeneste'!M15/'2022 Lønnsgr pensjon tjeneste'!M15)</f>
        <v>9.8746816861489204E-3</v>
      </c>
      <c r="BB15" s="5">
        <f>IF('2022 Lønnsgr pensjon tjeneste'!M15&lt;100,0,C15)</f>
        <v>241736</v>
      </c>
      <c r="BC15" s="55">
        <f t="shared" si="14"/>
        <v>4.45574137324041E-2</v>
      </c>
      <c r="BD15" s="55">
        <f t="shared" si="15"/>
        <v>1</v>
      </c>
      <c r="BE15" s="55">
        <f>IF(BB15=0,0,(BB15/$BB$17)*BD15*'2022 Pensjon tjeneste'!M15/'2022 Lønnsgr pensjon tjeneste'!M15)</f>
        <v>9.8746816861489204E-3</v>
      </c>
      <c r="BF15" s="5">
        <f>IF(BB15=0,0,'2022 Nto driftsutg landet'!$C$25*'2022 Lønnsand og pensjon landet'!$D$15*('2022 Pensjon tjeneste'!M15/'2022 Lønnsgr pensjon tjeneste'!M15-$BE$17))</f>
        <v>-9.3384785351751681E-2</v>
      </c>
      <c r="BG15" s="5">
        <f t="shared" si="16"/>
        <v>-22.574464471791046</v>
      </c>
      <c r="BH15" s="55">
        <f>IF('2022 Lønnsgr pensjon tjeneste'!N15&lt;100,0,(C15/$C$17)*'2022 Pensjon tjeneste'!N15/'2022 Lønnsgr pensjon tjeneste'!N15)</f>
        <v>1.005227408548498E-2</v>
      </c>
      <c r="BI15" s="5">
        <f>IF('2022 Lønnsgr pensjon tjeneste'!N15&lt;100,0,C15)</f>
        <v>241736</v>
      </c>
      <c r="BJ15" s="55">
        <f t="shared" si="17"/>
        <v>4.45574137324041E-2</v>
      </c>
      <c r="BK15" s="55">
        <f t="shared" si="18"/>
        <v>1</v>
      </c>
      <c r="BL15" s="55">
        <f>IF(BI15=0,0,(BI15/$BI$17)*BK15*'2022 Pensjon tjeneste'!N15/'2022 Lønnsgr pensjon tjeneste'!N15)</f>
        <v>1.005227408548498E-2</v>
      </c>
      <c r="BM15" s="5">
        <f>IF(BI15=0,0,'2022 Nto driftsutg landet'!$C$26*'2022 Lønnsand og pensjon landet'!$D$16*('2022 Pensjon tjeneste'!N15/'2022 Lønnsgr pensjon tjeneste'!N15-$BL$17))</f>
        <v>1.3376615866968082</v>
      </c>
      <c r="BN15" s="5">
        <f t="shared" si="19"/>
        <v>323.36096132173964</v>
      </c>
      <c r="BO15" s="55">
        <f>IF('2022 Lønnsgr pensjon tjeneste'!O15&lt;100,0,(C15/$C$17)*'2022 Pensjon tjeneste'!O15/'2022 Lønnsgr pensjon tjeneste'!O15)</f>
        <v>0</v>
      </c>
      <c r="BP15" s="5">
        <f>IF('2022 Lønnsgr pensjon tjeneste'!O15&lt;100,0,C15)</f>
        <v>0</v>
      </c>
      <c r="BQ15" s="55">
        <f t="shared" si="20"/>
        <v>0</v>
      </c>
      <c r="BR15" s="55">
        <f t="shared" si="21"/>
        <v>1</v>
      </c>
      <c r="BS15" s="55">
        <f>IF(BP15=0,0,(BP15/$BP$17)*BR15*'2022 Pensjon tjeneste'!O15/'2022 Lønnsgr pensjon tjeneste'!O15)</f>
        <v>0</v>
      </c>
      <c r="BT15" s="5">
        <f>IF(BP15=0,0,'2022 Nto driftsutg landet'!$C$27*'2022 Lønnsand og pensjon landet'!$D$17*('2022 Pensjon tjeneste'!O15/'2022 Lønnsgr pensjon tjeneste'!O15-$BS$17))</f>
        <v>0</v>
      </c>
      <c r="BU15" s="5">
        <f t="shared" si="22"/>
        <v>0</v>
      </c>
      <c r="BV15" s="55">
        <f>IF('2022 Lønnsgr pensjon tjeneste'!P15&lt;100,0,(C15/$C$17)*'2022 Pensjon tjeneste'!P15/'2022 Lønnsgr pensjon tjeneste'!P15)</f>
        <v>1.0626900667575706E-2</v>
      </c>
      <c r="BW15" s="5">
        <f>IF('2022 Lønnsgr pensjon tjeneste'!P15&lt;100,0,C15)</f>
        <v>241736</v>
      </c>
      <c r="BX15" s="55">
        <f t="shared" si="23"/>
        <v>7.164626420523168E-2</v>
      </c>
      <c r="BY15" s="55">
        <f t="shared" si="24"/>
        <v>1</v>
      </c>
      <c r="BZ15" s="55">
        <f>IF(BW15=0,0,(BW15/$BW$17)*BY15*'2022 Pensjon tjeneste'!P15/'2022 Lønnsgr pensjon tjeneste'!P15)</f>
        <v>1.7087565662685107E-2</v>
      </c>
      <c r="CA15" s="5">
        <f>IF(BW15=0,0,'2022 Nto driftsutg landet'!$C$28*'2022 Lønnsand og pensjon landet'!$D$18*('2022 Pensjon tjeneste'!P15/'2022 Lønnsgr pensjon tjeneste'!P15-$BZ$17))</f>
        <v>-2.1565394434180117E-2</v>
      </c>
      <c r="CB15" s="5">
        <f t="shared" si="25"/>
        <v>-5.213132188940965</v>
      </c>
      <c r="CC15" s="5"/>
      <c r="CD15" s="5"/>
      <c r="CE15" s="5"/>
    </row>
    <row r="16" spans="1:83" x14ac:dyDescent="0.3">
      <c r="B16" s="43"/>
      <c r="C16" s="43"/>
      <c r="D16" s="43"/>
      <c r="E16" s="43"/>
      <c r="F16" s="43"/>
      <c r="G16" s="43"/>
    </row>
    <row r="17" spans="2:83" x14ac:dyDescent="0.3">
      <c r="B17" s="42" t="s">
        <v>3</v>
      </c>
      <c r="C17" s="5">
        <f>SUM(C5:C16)</f>
        <v>5425270</v>
      </c>
      <c r="D17" s="55">
        <f>SUM(D5:D16)</f>
        <v>9.4842516660006038E-2</v>
      </c>
      <c r="E17" s="5">
        <f>SUM(E5:E16)</f>
        <v>5425270</v>
      </c>
      <c r="F17" s="55">
        <f>SUM(F5:F16)</f>
        <v>1.0000174384196288</v>
      </c>
      <c r="G17" s="5"/>
      <c r="H17" s="55">
        <f>SUM(H5:H16)</f>
        <v>9.4840862785242841E-2</v>
      </c>
      <c r="I17" s="5"/>
      <c r="J17" s="5">
        <f>SUM(J5:J16)</f>
        <v>-3.4924596548080444E-10</v>
      </c>
      <c r="K17" s="55">
        <f>SUM(K5:K16)</f>
        <v>0.29920756519445479</v>
      </c>
      <c r="L17" s="5">
        <f>SUM(L5:L16)</f>
        <v>4725443</v>
      </c>
      <c r="M17" s="55">
        <f>SUM(M5:M16)</f>
        <v>1.1089328423797304</v>
      </c>
      <c r="N17" s="5"/>
      <c r="O17" s="55">
        <f>SUM(O5:O16)</f>
        <v>0.30977484759366813</v>
      </c>
      <c r="P17" s="5"/>
      <c r="Q17" s="5">
        <f>SUM(Q5:Q16)</f>
        <v>-2.2282620193436742E-11</v>
      </c>
      <c r="R17" s="55">
        <f>SUM(R5:R16)</f>
        <v>0.19614639887672031</v>
      </c>
      <c r="S17" s="5">
        <f>SUM(S5:S16)</f>
        <v>5425270</v>
      </c>
      <c r="T17" s="55">
        <f>SUM(T5:T16)</f>
        <v>1.0002970458953599</v>
      </c>
      <c r="U17" s="5"/>
      <c r="V17" s="55">
        <f>SUM(V5:V16)</f>
        <v>0.19608815169613025</v>
      </c>
      <c r="W17" s="5"/>
      <c r="X17" s="5">
        <f>SUM(X5:X16)</f>
        <v>-2.3305801732931286E-12</v>
      </c>
      <c r="Y17" s="55">
        <f>SUM(Y5:Y16)</f>
        <v>0.14228021505515828</v>
      </c>
      <c r="Z17" s="5">
        <f>SUM(Z5:Z16)</f>
        <v>2390089</v>
      </c>
      <c r="AA17" s="55">
        <f>SUM(AA5:AA16)</f>
        <v>1.6355404076862745</v>
      </c>
      <c r="AB17" s="5"/>
      <c r="AC17" s="55">
        <f>SUM(AC5:AC16)</f>
        <v>0.19746517669917704</v>
      </c>
      <c r="AD17" s="5"/>
      <c r="AE17" s="5">
        <f>SUM(AE5:AE16)</f>
        <v>-7.1054273576010019E-14</v>
      </c>
      <c r="AF17" s="55">
        <f>SUM(AF5:AF16)</f>
        <v>0.19353666531101471</v>
      </c>
      <c r="AG17" s="5">
        <f>SUM(AG5:AG16)</f>
        <v>5425270</v>
      </c>
      <c r="AH17" s="55">
        <f>SUM(AH5:AH16)</f>
        <v>0.99996348032581606</v>
      </c>
      <c r="AI17" s="5"/>
      <c r="AJ17" s="55">
        <f>SUM(AJ5:AJ16)</f>
        <v>0.19354373346510118</v>
      </c>
      <c r="AK17" s="5"/>
      <c r="AL17" s="5">
        <f>SUM(AL5:AL16)</f>
        <v>2.0463630789890885E-11</v>
      </c>
      <c r="AM17" s="55">
        <f>SUM(AM5:AM16)</f>
        <v>0.47678648456142475</v>
      </c>
      <c r="AN17" s="5">
        <f>SUM(AN5:AN16)</f>
        <v>5425270</v>
      </c>
      <c r="AO17" s="55">
        <f>SUM(AO5:AO16)</f>
        <v>1</v>
      </c>
      <c r="AP17" s="5"/>
      <c r="AQ17" s="55">
        <f>SUM(AQ5:AQ16)</f>
        <v>0.4768038972844032</v>
      </c>
      <c r="AR17" s="5"/>
      <c r="AS17" s="5">
        <f>SUM(AS5:AS16)</f>
        <v>-31.223445395800809</v>
      </c>
      <c r="AT17" s="55">
        <f>SUM(AT5:AT16)</f>
        <v>0.14108874714422445</v>
      </c>
      <c r="AU17" s="5">
        <f>SUM(AU5:AU16)</f>
        <v>4725443</v>
      </c>
      <c r="AV17" s="55">
        <f>SUM(AV5:AV16)</f>
        <v>1</v>
      </c>
      <c r="AW17" s="5"/>
      <c r="AX17" s="55">
        <f>SUM(AX5:AX16)</f>
        <v>0.16198365893296071</v>
      </c>
      <c r="AY17" s="5"/>
      <c r="AZ17" s="5">
        <f>SUM(AZ5:AZ16)</f>
        <v>-3.979039320256561E-12</v>
      </c>
      <c r="BA17" s="55">
        <f>SUM(BA5:BA16)</f>
        <v>0.17907063567582834</v>
      </c>
      <c r="BB17" s="5">
        <f>SUM(BB5:BB16)</f>
        <v>5425270</v>
      </c>
      <c r="BC17" s="55">
        <f>SUM(BC5:BC16)</f>
        <v>1</v>
      </c>
      <c r="BD17" s="5"/>
      <c r="BE17" s="55">
        <f>SUM(BE5:BE16)</f>
        <v>0.17907063567582834</v>
      </c>
      <c r="BF17" s="5"/>
      <c r="BG17" s="5">
        <f>SUM(BG5:BG16)</f>
        <v>2.8421709430404007E-13</v>
      </c>
      <c r="BH17" s="55">
        <f>SUM(BH5:BH16)</f>
        <v>0.17452781609020937</v>
      </c>
      <c r="BI17" s="5">
        <f>SUM(BI5:BI16)</f>
        <v>5425270</v>
      </c>
      <c r="BJ17" s="55">
        <f>SUM(BJ5:BJ16)</f>
        <v>1</v>
      </c>
      <c r="BK17" s="5"/>
      <c r="BL17" s="55">
        <f>SUM(BL5:BL16)</f>
        <v>0.17452781609020937</v>
      </c>
      <c r="BM17" s="5"/>
      <c r="BN17" s="5">
        <f>SUM(BN5:BN16)</f>
        <v>-2.3874235921539366E-12</v>
      </c>
      <c r="BO17" s="55">
        <f>SUM(BO5:BO16)</f>
        <v>4.02005459973898E-2</v>
      </c>
      <c r="BP17" s="5">
        <f>SUM(BP5:BP16)</f>
        <v>1694062</v>
      </c>
      <c r="BQ17" s="55">
        <f>SUM(BQ5:BQ16)</f>
        <v>1</v>
      </c>
      <c r="BR17" s="5"/>
      <c r="BS17" s="55">
        <f>SUM(BS5:BS16)</f>
        <v>0.12874311340627376</v>
      </c>
      <c r="BT17" s="5"/>
      <c r="BU17" s="5">
        <f>SUM(BU5:BU16)</f>
        <v>4.4408920985006262E-15</v>
      </c>
      <c r="BV17" s="55">
        <f>SUM(BV5:BV16)</f>
        <v>7.5981098140488729E-2</v>
      </c>
      <c r="BW17" s="5">
        <f>SUM(BW5:BW16)</f>
        <v>3374021</v>
      </c>
      <c r="BX17" s="55">
        <f>SUM(BX5:BX16)</f>
        <v>0.99999999999999989</v>
      </c>
      <c r="BY17" s="5"/>
      <c r="BZ17" s="55">
        <f>SUM(BZ5:BZ16)</f>
        <v>0.12217409800017523</v>
      </c>
      <c r="CA17" s="55"/>
      <c r="CB17" s="5">
        <f>SUM(CB5:CB16)</f>
        <v>0</v>
      </c>
      <c r="CC17" s="5"/>
      <c r="CD17" s="5"/>
      <c r="CE17" s="5"/>
    </row>
    <row r="18" spans="2:83" x14ac:dyDescent="0.3">
      <c r="CD18" s="5"/>
    </row>
  </sheetData>
  <sheetProtection algorithmName="SHA-512" hashValue="UdbvjlFDClfUiwNyDnf7aNRCXRugXcXzQlcz45Y2oWFpFHBP75YQk8q3tprOwnI6VWIVc68L2c245wSyZow8Ow==" saltValue="kBLTrW5WX9GMG94LuH9Yq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88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4" t="str">
        <f>+Inngang!C5</f>
        <v>TRØNDELAG</v>
      </c>
      <c r="C1" s="100">
        <v>2023</v>
      </c>
    </row>
    <row r="3" spans="2:8" x14ac:dyDescent="0.3">
      <c r="B3" s="6" t="s">
        <v>51</v>
      </c>
    </row>
    <row r="4" spans="2:8" x14ac:dyDescent="0.3">
      <c r="B4" s="6"/>
    </row>
    <row r="5" spans="2:8" ht="43.2" x14ac:dyDescent="0.3">
      <c r="B5" s="36"/>
      <c r="C5" s="16" t="s">
        <v>312</v>
      </c>
      <c r="D5" s="16" t="s">
        <v>130</v>
      </c>
    </row>
    <row r="6" spans="2:8" x14ac:dyDescent="0.3">
      <c r="B6" s="37"/>
      <c r="C6" s="35" t="s">
        <v>39</v>
      </c>
      <c r="D6" s="35" t="s">
        <v>39</v>
      </c>
    </row>
    <row r="7" spans="2:8" x14ac:dyDescent="0.3">
      <c r="B7" s="57" t="s">
        <v>137</v>
      </c>
      <c r="C7" s="59">
        <f>VLOOKUP(Inngang!$B$5,'2023 Inntektsnivå'!A5:D23,4,FALSE)</f>
        <v>-491.80367963447679</v>
      </c>
      <c r="D7" s="96"/>
    </row>
    <row r="8" spans="2:8" x14ac:dyDescent="0.3">
      <c r="B8" s="57" t="s">
        <v>270</v>
      </c>
      <c r="C8" s="60">
        <f>+E33+E34+E35+E36+E39</f>
        <v>-861.66466946276103</v>
      </c>
      <c r="D8" s="69">
        <f>H33+H34+H35+H36+H39</f>
        <v>-446.47285571675798</v>
      </c>
    </row>
    <row r="9" spans="2:8" x14ac:dyDescent="0.3">
      <c r="B9" s="57" t="s">
        <v>269</v>
      </c>
      <c r="C9" s="60">
        <f>+E40</f>
        <v>411.38744651873412</v>
      </c>
      <c r="D9" s="69">
        <f t="shared" ref="D9:D12" si="0">+H40</f>
        <v>454.92100576960229</v>
      </c>
    </row>
    <row r="10" spans="2:8" x14ac:dyDescent="0.3">
      <c r="B10" s="57" t="s">
        <v>26</v>
      </c>
      <c r="C10" s="60">
        <f>+E41</f>
        <v>-15.744837311011338</v>
      </c>
      <c r="D10" s="69">
        <f t="shared" si="0"/>
        <v>-34.179581200125995</v>
      </c>
    </row>
    <row r="11" spans="2:8" x14ac:dyDescent="0.3">
      <c r="B11" s="57" t="s">
        <v>23</v>
      </c>
      <c r="C11" s="60">
        <f t="shared" ref="C11:C12" si="1">+E42</f>
        <v>536.67586536913552</v>
      </c>
      <c r="D11" s="69">
        <f t="shared" si="0"/>
        <v>563.35043577237559</v>
      </c>
    </row>
    <row r="12" spans="2:8" x14ac:dyDescent="0.3">
      <c r="B12" s="58" t="s">
        <v>24</v>
      </c>
      <c r="C12" s="61">
        <f t="shared" si="1"/>
        <v>-562.45748474857373</v>
      </c>
      <c r="D12" s="70">
        <f t="shared" si="0"/>
        <v>-537.61900462509368</v>
      </c>
    </row>
    <row r="13" spans="2:8" x14ac:dyDescent="0.3">
      <c r="B13" s="6"/>
      <c r="C13" s="5"/>
      <c r="D13" s="5"/>
    </row>
    <row r="14" spans="2:8" x14ac:dyDescent="0.3">
      <c r="B14" s="6"/>
    </row>
    <row r="16" spans="2:8" ht="43.2" x14ac:dyDescent="0.3">
      <c r="B16" s="72"/>
      <c r="C16" s="13" t="s">
        <v>49</v>
      </c>
      <c r="D16" s="18" t="s">
        <v>50</v>
      </c>
      <c r="E16" s="16" t="s">
        <v>56</v>
      </c>
      <c r="F16" s="18" t="s">
        <v>55</v>
      </c>
      <c r="G16" s="18"/>
      <c r="H16" s="16" t="s">
        <v>57</v>
      </c>
    </row>
    <row r="17" spans="2:8" x14ac:dyDescent="0.3">
      <c r="B17" s="73"/>
      <c r="C17" s="39" t="s">
        <v>52</v>
      </c>
      <c r="D17" s="33" t="s">
        <v>53</v>
      </c>
      <c r="E17" s="35" t="s">
        <v>54</v>
      </c>
      <c r="F17" s="33" t="s">
        <v>52</v>
      </c>
      <c r="G17" s="33"/>
      <c r="H17" s="35" t="s">
        <v>54</v>
      </c>
    </row>
    <row r="18" spans="2:8" x14ac:dyDescent="0.3">
      <c r="B18" s="57" t="s">
        <v>171</v>
      </c>
      <c r="C18" s="12">
        <f>VLOOKUP(Inngang!$B$5,'2023 Nto driftsutg eks avskriv'!$A$5:$T$22,4,FALSE)*1000/VLOOKUP(Inngang!$B$5,'2023 Nto driftsutg'!$A$5:$W$22,23,FALSE)*100/'2023 Nto driftsutg landet'!C5-100</f>
        <v>2.7051598706722757</v>
      </c>
      <c r="D18" s="5">
        <f>('2023 Nto driftsutg landet'!$C$5+VLOOKUP(Inngang!$B$5,'2023 Korreksjoner'!$A$5:$AS$22,3,FALSE)+VLOOKUP(Inngang!$B$5,'2023 Korreksjoner'!$A$5:$AS$22,5,FALSE)+VLOOKUP(Inngang!$B$5,'2023 Korreksjoner'!$A$5:$AS$22,12,FALSE)+VLOOKUP(Inngang!$B$5,'2023 Korreksjoner'!$A$5:$AS$22,28,FALSE))*100/'2023 Nto driftsutg landet'!C5-100</f>
        <v>1.8525836472600901</v>
      </c>
      <c r="E18" s="14">
        <f>+C18-D18</f>
        <v>0.85257622341218564</v>
      </c>
      <c r="F18" s="5">
        <f>('2023 Nto driftsutg landet'!$C$5*VLOOKUP(Inngang!$B$5,'2023 Inntektsnivå'!$A$5:$C$22,3,FALSE)+VLOOKUP(Inngang!$B$5,'2023 Korreksjoner'!$A$5:$AS$22,5,FALSE)+VLOOKUP(Inngang!$B$5,'2023 Korreksjoner'!$A$5:$AS$22,3,FALSE)+VLOOKUP(Inngang!$B$5,'2023 Korreksjoner'!$A$5:$AS$22,12,FALSE)+VLOOKUP(Inngang!$B$5,'2023 Korreksjoner'!$A$5:$AS$22,28,FALSE))*100/'2023 Nto driftsutg landet'!C5-100</f>
        <v>-1.2498146184810537</v>
      </c>
      <c r="G18" s="5"/>
      <c r="H18" s="14">
        <f>+C18-F18</f>
        <v>3.9549744891533294</v>
      </c>
    </row>
    <row r="19" spans="2:8" x14ac:dyDescent="0.3">
      <c r="B19" s="57" t="s">
        <v>172</v>
      </c>
      <c r="C19" s="12">
        <f>VLOOKUP(Inngang!$B$5,'2023 Nto driftsutg eks avskriv'!$A$5:$T$22,5,FALSE)*1000/VLOOKUP(Inngang!$B$5,'2023 Nto driftsutg'!$A$5:$W$22,23,FALSE)*100/'2023 Nto driftsutg landet'!C6-100</f>
        <v>22.671924491159032</v>
      </c>
      <c r="D19" s="5">
        <f>('2023 Nto driftsutg landet'!$C$6+VLOOKUP(Inngang!$B$5,'2023 Korreksjoner'!$A$5:$AS$22,6,FALSE)+VLOOKUP(Inngang!$B$5,'2023 Korreksjoner'!$A$5:$AS$22,13,FALSE)+VLOOKUP(Inngang!$B$5,'2023 Korreksjoner'!$A$5:$AS$22,29,FALSE))*100/'2023 Nto driftsutg landet'!C6-100</f>
        <v>27.091898799093059</v>
      </c>
      <c r="E19" s="14">
        <f>+C19-D19</f>
        <v>-4.4199743079340266</v>
      </c>
      <c r="F19" s="5">
        <f>('2023 Nto driftsutg landet'!$C$6*VLOOKUP(Inngang!$B$5,'2023 Inntektsnivå'!$A$5:$C$22,3,FALSE)+VLOOKUP(Inngang!$B$5,'2023 Korreksjoner'!$A$5:$AS$22,6,FALSE)+VLOOKUP(Inngang!$B$5,'2023 Korreksjoner'!$A$5:$AS$22,13,FALSE)+VLOOKUP(Inngang!$B$5,'2023 Korreksjoner'!$A$5:$AS$22,29,FALSE))*100/'2023 Nto driftsutg landet'!C6-100</f>
        <v>23.989500533351915</v>
      </c>
      <c r="G19" s="5"/>
      <c r="H19" s="14">
        <f>+C19-F19</f>
        <v>-1.3175760421928828</v>
      </c>
    </row>
    <row r="20" spans="2:8" x14ac:dyDescent="0.3">
      <c r="B20" s="30" t="s">
        <v>456</v>
      </c>
      <c r="C20" s="12">
        <f>VLOOKUP(Inngang!$B$5,'2023 Nto driftsutg eks avskriv'!$A$5:$T$22,6,FALSE)*1000/VLOOKUP(Inngang!$B$5,'2023 Nto driftsutg'!$A$5:$W$22,23,FALSE)*100/'2023 Nto driftsutg landet'!C7-100</f>
        <v>-17.798992632165564</v>
      </c>
      <c r="D20" s="5">
        <f>('2023 Nto driftsutg landet'!$C$7+VLOOKUP(Inngang!$B$5,'2023 Korreksjoner'!$A$5:$AS$22,7,FALSE)+VLOOKUP(Inngang!$B$5,'2023 Korreksjoner'!$A$5:$AS$22,14,FALSE)+VLOOKUP(Inngang!$B$5,'2023 Korreksjoner'!$A$5:$AS$22,30,FALSE))*100/'2023 Nto driftsutg landet'!C7-100</f>
        <v>9.0989217632749302</v>
      </c>
      <c r="E20" s="14">
        <f>+C20-D20</f>
        <v>-26.897914395440495</v>
      </c>
      <c r="F20" s="5">
        <f>('2023 Nto driftsutg landet'!$C$7*VLOOKUP(Inngang!$B$5,'2023 Inntektsnivå'!$A$5:$C$22,3,FALSE)+VLOOKUP(Inngang!$B$5,'2023 Korreksjoner'!$A$5:$AS$22,7,FALSE)+VLOOKUP(Inngang!$B$5,'2023 Korreksjoner'!$A$5:$AS$22,14,FALSE)+VLOOKUP(Inngang!$B$5,'2023 Korreksjoner'!$A$5:$AS$22,30,FALSE))*100/'2023 Nto driftsutg landet'!C7-100</f>
        <v>5.9965234975337864</v>
      </c>
      <c r="G20" s="5"/>
      <c r="H20" s="14">
        <f>+C20-F20</f>
        <v>-23.795516129699351</v>
      </c>
    </row>
    <row r="21" spans="2:8" x14ac:dyDescent="0.3">
      <c r="B21" s="30" t="s">
        <v>417</v>
      </c>
      <c r="C21" s="12">
        <f>VLOOKUP(Inngang!$B$5,'2023 Nto driftsutg eks avskriv'!$A$5:$T$22,7,FALSE)*1000/VLOOKUP(Inngang!$B$5,'2023 Nto driftsutg'!$A$5:$W$22,23,FALSE)*100/'2023 Nto driftsutg landet'!C9-100</f>
        <v>7.2728975737843911</v>
      </c>
      <c r="D21" s="5">
        <f>('2023 Nto driftsutg landet'!$C$8+VLOOKUP(Inngang!$B$5,'2023 Korreksjoner'!$A$5:$AS$22,8,FALSE)+VLOOKUP(Inngang!$B$5,'2023 Korreksjoner'!$A$5:$AS$22,15,FALSE)+VLOOKUP(Inngang!$B$5,'2023 Korreksjoner'!$A$5:$AS$22,31,FALSE))*100/'2023 Nto driftsutg landet'!C8-100</f>
        <v>5.5531534584645499</v>
      </c>
      <c r="E21" s="14">
        <f>+C21-D21</f>
        <v>1.7197441153198412</v>
      </c>
      <c r="F21" s="5">
        <f>('2023 Nto driftsutg landet'!$C$8*VLOOKUP(Inngang!$B$5,'2023 Inntektsnivå'!$A$5:$C$22,3,FALSE)+VLOOKUP(Inngang!$B$5,'2023 Korreksjoner'!$A$5:$AS$22,8,FALSE)+VLOOKUP(Inngang!$B$5,'2023 Korreksjoner'!$A$5:$AS$22,15,FALSE)+VLOOKUP(Inngang!$B$5,'2023 Korreksjoner'!$A$5:$AS$22,31,FALSE))*100/'2023 Nto driftsutg landet'!C8-100</f>
        <v>2.4507551927234204</v>
      </c>
      <c r="G21" s="5"/>
      <c r="H21" s="14">
        <f>+C21-F21</f>
        <v>4.8221423810609707</v>
      </c>
    </row>
    <row r="22" spans="2:8" x14ac:dyDescent="0.3">
      <c r="B22" s="57" t="s">
        <v>275</v>
      </c>
      <c r="C22" s="12"/>
      <c r="D22" s="5"/>
      <c r="E22" s="14"/>
      <c r="F22" s="5"/>
      <c r="G22" s="5"/>
      <c r="H22" s="14"/>
    </row>
    <row r="23" spans="2:8" x14ac:dyDescent="0.3">
      <c r="B23" s="57" t="s">
        <v>471</v>
      </c>
      <c r="C23" s="12"/>
      <c r="D23" s="5"/>
      <c r="E23" s="14"/>
      <c r="F23" s="5"/>
      <c r="G23" s="5"/>
      <c r="H23" s="14"/>
    </row>
    <row r="24" spans="2:8" x14ac:dyDescent="0.3">
      <c r="B24" s="58" t="s">
        <v>173</v>
      </c>
      <c r="C24" s="24">
        <f>VLOOKUP(Inngang!$B$5,'2023 Nto driftsutg eks avskriv'!$A$5:$T$22,8,FALSE)*1000/VLOOKUP(Inngang!$B$5,'2023 Nto driftsutg'!$A$5:$W$22,23,FALSE)*100/'2023 Nto driftsutg landet'!C9-100</f>
        <v>13.860758395101811</v>
      </c>
      <c r="D24" s="20">
        <f>('2023 Nto driftsutg landet'!$C$9+VLOOKUP(Inngang!$B$5,'2023 Korreksjoner'!$A$5:$AS$22,9,FALSE)+VLOOKUP(Inngang!$B$5,'2023 Korreksjoner'!$A$5:$AS$22,16,FALSE)+VLOOKUP(Inngang!$B$5,'2023 Korreksjoner'!$A$5:$AS$22,32,FALSE))*100/'2023 Nto driftsutg landet'!C9-100</f>
        <v>0.80651198755728615</v>
      </c>
      <c r="E24" s="25">
        <f t="shared" ref="E24" si="2">+C24-D24</f>
        <v>13.054246407544525</v>
      </c>
      <c r="F24" s="20">
        <f>('2023 Nto driftsutg landet'!$C$9*VLOOKUP(Inngang!$B$5,'2023 Inntektsnivå'!$A$5:$C$22,3,FALSE)+VLOOKUP(Inngang!$B$5,'2023 Korreksjoner'!$A$5:$AS$22,9,FALSE)+VLOOKUP(Inngang!$B$5,'2023 Korreksjoner'!$A$5:$AS$22,16,FALSE)+VLOOKUP(Inngang!$B$5,'2023 Korreksjoner'!$A$5:$AS$22,32,FALSE))*100/'2023 Nto driftsutg landet'!C9-100</f>
        <v>-2.2958862781838434</v>
      </c>
      <c r="G24" s="20"/>
      <c r="H24" s="25">
        <f t="shared" ref="H24" si="3">+C24-F24</f>
        <v>16.156644673285655</v>
      </c>
    </row>
    <row r="28" spans="2:8" x14ac:dyDescent="0.3">
      <c r="B28" s="6" t="s">
        <v>34</v>
      </c>
    </row>
    <row r="30" spans="2:8" ht="43.2" x14ac:dyDescent="0.3">
      <c r="B30" s="36"/>
      <c r="C30" s="18" t="s">
        <v>133</v>
      </c>
      <c r="D30" s="18" t="s">
        <v>267</v>
      </c>
      <c r="E30" s="17" t="s">
        <v>48</v>
      </c>
      <c r="F30" s="13" t="s">
        <v>42</v>
      </c>
      <c r="G30" s="18"/>
      <c r="H30" s="16" t="s">
        <v>43</v>
      </c>
    </row>
    <row r="31" spans="2:8" x14ac:dyDescent="0.3">
      <c r="B31" s="37"/>
      <c r="C31" s="33" t="s">
        <v>39</v>
      </c>
      <c r="D31" s="33" t="s">
        <v>41</v>
      </c>
      <c r="E31" s="34" t="s">
        <v>39</v>
      </c>
      <c r="F31" s="39" t="s">
        <v>39</v>
      </c>
      <c r="G31" s="33"/>
      <c r="H31" s="35" t="s">
        <v>39</v>
      </c>
    </row>
    <row r="32" spans="2:8" x14ac:dyDescent="0.3">
      <c r="B32" s="78" t="s">
        <v>138</v>
      </c>
      <c r="C32" s="79">
        <f>SUM(C33:C39)</f>
        <v>13510.247961751489</v>
      </c>
      <c r="D32" s="79">
        <f>SUM(D33:D39)</f>
        <v>14371.912631214249</v>
      </c>
      <c r="E32" s="80">
        <f>SUM(E33:E39)</f>
        <v>-861.66466946276103</v>
      </c>
      <c r="F32" s="82">
        <f>SUM(F33:F39)</f>
        <v>13956.720817468249</v>
      </c>
      <c r="G32" s="79"/>
      <c r="H32" s="81">
        <f>SUM(H33:H39)</f>
        <v>-446.47285571675798</v>
      </c>
    </row>
    <row r="33" spans="2:9" x14ac:dyDescent="0.3">
      <c r="B33" s="30" t="s">
        <v>171</v>
      </c>
      <c r="C33" s="5">
        <f>VLOOKUP(Inngang!$B$5,'2023 Nto driftsutg eks avskriv'!$A$5:$T$22,4,FALSE)*1000/VLOOKUP(Inngang!$B$5,'2023 Nto driftsutg'!$A$5:$W$22,23,FALSE)</f>
        <v>7265.6623032780572</v>
      </c>
      <c r="D33" s="5">
        <f>+'2023 Nto driftsutg landet'!$C$5+VLOOKUP(Inngang!$B$5,'2023 Korreksjoner'!$A$5:$AS$22,5,FALSE)+VLOOKUP(Inngang!$B$5,'2023 Korreksjoner'!$A$5:$I$22,3,FALSE)+VLOOKUP(Inngang!$B$5,'2023 Korreksjoner'!$A$5:$AS$22,12,FALSE)+VLOOKUP(Inngang!$B$5,'2023 Korreksjoner'!$A$5:$AS$22,28,FALSE)</f>
        <v>7205.348576733867</v>
      </c>
      <c r="E33" s="15">
        <f>+C33-D33</f>
        <v>60.313726544190104</v>
      </c>
      <c r="F33" s="12">
        <f>+'2023 Nto driftsutg landet'!$C$5*VLOOKUP(Inngang!$B$5,'2023 Inntektsnivå'!$A$5:$C$22,3,FALSE)+VLOOKUP(Inngang!$B$5,'2023 Korreksjoner'!$A$5:$AS$22,5,FALSE)+VLOOKUP(Inngang!$B$5,'2023 Korreksjoner'!$A$5:$AS$22,3,FALSE)+VLOOKUP(Inngang!$B$5,'2023 Korreksjoner'!$A$5:$AS$22,12,FALSE)+VLOOKUP(Inngang!$B$5,'2023 Korreksjoner'!$A$5:$AS$22,28,FALSE)</f>
        <v>6985.8758826887524</v>
      </c>
      <c r="G33" s="5"/>
      <c r="H33" s="14">
        <f>IF(F36=G36,C33-F33,(C33-F33)-(G36-F36)*C33/C32)</f>
        <v>279.78642058930473</v>
      </c>
      <c r="I33" s="99"/>
    </row>
    <row r="34" spans="2:9" x14ac:dyDescent="0.3">
      <c r="B34" s="30" t="s">
        <v>172</v>
      </c>
      <c r="C34" s="5">
        <f>VLOOKUP(Inngang!$B$5,'2023 Nto driftsutg eks avskriv'!$A$5:$T$22,5,FALSE)*1000/VLOOKUP(Inngang!$B$5,'2023 Nto driftsutg'!$A$5:$W$22,23,FALSE)</f>
        <v>2468.9543061837453</v>
      </c>
      <c r="D34" s="5">
        <f>+'2023 Nto driftsutg landet'!$C$6+VLOOKUP(Inngang!$B$5,'2023 Korreksjoner'!$A$5:$AS$22,6,FALSE)+VLOOKUP(Inngang!$B$5,'2023 Korreksjoner'!$A$5:$AS$22,13,FALSE)+VLOOKUP(Inngang!$B$5,'2023 Korreksjoner'!$A$5:$AS$22,29,FALSE)</f>
        <v>2557.912840469899</v>
      </c>
      <c r="E34" s="15">
        <f>+C34-D34</f>
        <v>-88.958534286153736</v>
      </c>
      <c r="F34" s="12">
        <f>+'2023 Nto driftsutg landet'!$C$6*VLOOKUP(Inngang!$B$5,'2023 Inntektsnivå'!$A$5:$C$22,3,FALSE)+VLOOKUP(Inngang!$B$5,'2023 Korreksjoner'!$A$5:$AS$22,6,FALSE)+VLOOKUP(Inngang!$B$5,'2023 Korreksjoner'!$A$5:$AS$22,13,FALSE)+VLOOKUP(Inngang!$B$5,'2023 Korreksjoner'!$A$5:$AS$22,29,FALSE)</f>
        <v>2495.4724769599043</v>
      </c>
      <c r="G34" s="5"/>
      <c r="H34" s="14">
        <f>IF(F36=G36,C34-F34,(C34-F34)-(G36-F36)*C34/C32)</f>
        <v>-26.518170776158968</v>
      </c>
      <c r="I34" s="99"/>
    </row>
    <row r="35" spans="2:9" x14ac:dyDescent="0.3">
      <c r="B35" s="30" t="s">
        <v>456</v>
      </c>
      <c r="C35" s="5">
        <f>VLOOKUP(Inngang!$B$5,'2023 Nto driftsutg eks avskriv'!$A$5:$T$22,6,FALSE)*1000/VLOOKUP(Inngang!$B$5,'2023 Nto driftsutg'!$A$5:$W$22,23,FALSE)</f>
        <v>2401.5510878637574</v>
      </c>
      <c r="D35" s="5">
        <f>+'2023 Nto driftsutg landet'!$C$7+VLOOKUP(Inngang!$B$5,'2023 Korreksjoner'!$A$5:$AS$22,7,FALSE)+VLOOKUP(Inngang!$B$5,'2023 Korreksjoner'!$A$5:$AS$22,14,FALSE)+VLOOKUP(Inngang!$B$5,'2023 Korreksjoner'!$A$5:$AS$22,30,FALSE)</f>
        <v>3187.3895787301508</v>
      </c>
      <c r="E35" s="15">
        <f>+C35-D35</f>
        <v>-785.83849086639339</v>
      </c>
      <c r="F35" s="12">
        <f>+'2023 Nto driftsutg landet'!$C$7*VLOOKUP(Inngang!$B$5,'2023 Inntektsnivå'!$A$5:$C$22,3,FALSE)+VLOOKUP(Inngang!$B$5,'2023 Korreksjoner'!$A$5:$AS$22,7,FALSE)+VLOOKUP(Inngang!$B$5,'2023 Korreksjoner'!$A$5:$AS$22,14,FALSE)+VLOOKUP(Inngang!$B$5,'2023 Korreksjoner'!$A$5:$AS$22,30,FALSE)</f>
        <v>3096.7511769799466</v>
      </c>
      <c r="G35" s="5"/>
      <c r="H35" s="14">
        <f>IF(F36=G36,C35-F35,(C35-F35)-(G36-F36)*(C35+C36)/C32)</f>
        <v>-695.20008911618925</v>
      </c>
      <c r="I35" s="99"/>
    </row>
    <row r="36" spans="2:9" x14ac:dyDescent="0.3">
      <c r="B36" s="30" t="s">
        <v>417</v>
      </c>
      <c r="C36" s="5">
        <f>VLOOKUP(Inngang!$B$5,'2023 Nto driftsutg eks avskriv'!$A$5:$T$22,7,FALSE)*1000/VLOOKUP(Inngang!$B$5,'2023 Nto driftsutg'!$A$5:$W$22,23,FALSE)</f>
        <v>666.5723081278087</v>
      </c>
      <c r="D36" s="5">
        <f>+'2023 Nto driftsutg landet'!$C$8+VLOOKUP(Inngang!$B$5,'2023 Korreksjoner'!$A$5:$AS$22,8,FALSE)+VLOOKUP(Inngang!$B$5,'2023 Korreksjoner'!$A$5:$AS$22,15,FALSE)+VLOOKUP(Inngang!$B$5,'2023 Korreksjoner'!$A$5:$AS$22,31,FALSE)</f>
        <v>794.87015253286859</v>
      </c>
      <c r="E36" s="15">
        <f>+C36-D36</f>
        <v>-128.29784440505989</v>
      </c>
      <c r="F36" s="12">
        <f>IF(AND(C36&gt;=0.5,D36&gt;0),IF(G36&lt;10,C36,G36),0)</f>
        <v>771.5074797759836</v>
      </c>
      <c r="G36" s="5">
        <f>+'2023 Nto driftsutg landet'!$C$8*VLOOKUP(Inngang!$B$5,'2023 Inntektsnivå'!$A$5:$C$22,3,FALSE)+VLOOKUP(Inngang!$B$5,'2023 Korreksjoner'!$A$5:$AS$22,8,FALSE)+VLOOKUP(Inngang!$B$5,'2023 Korreksjoner'!$A$5:$AS$22,15,FALSE)+VLOOKUP(Inngang!$B$5,'2023 Korreksjoner'!$A$5:$AS$22,31,FALSE)</f>
        <v>771.5074797759836</v>
      </c>
      <c r="H36" s="14">
        <f>+C36-F36</f>
        <v>-104.9351716481749</v>
      </c>
      <c r="I36" s="99"/>
    </row>
    <row r="37" spans="2:9" x14ac:dyDescent="0.3">
      <c r="B37" s="30" t="s">
        <v>275</v>
      </c>
      <c r="C37" s="5"/>
      <c r="D37" s="5"/>
      <c r="E37" s="15"/>
      <c r="F37" s="12"/>
      <c r="G37" s="5"/>
      <c r="H37" s="14"/>
      <c r="I37" s="99"/>
    </row>
    <row r="38" spans="2:9" x14ac:dyDescent="0.3">
      <c r="B38" s="30" t="s">
        <v>471</v>
      </c>
      <c r="C38" s="5"/>
      <c r="D38" s="5"/>
      <c r="E38" s="15"/>
      <c r="F38" s="12"/>
      <c r="G38" s="5"/>
      <c r="H38" s="14"/>
      <c r="I38" s="99"/>
    </row>
    <row r="39" spans="2:9" x14ac:dyDescent="0.3">
      <c r="B39" s="31" t="s">
        <v>173</v>
      </c>
      <c r="C39" s="20">
        <f>VLOOKUP(Inngang!$B$5,'2023 Nto driftsutg eks avskriv'!$A$5:$T$22,8,FALSE)*1000/VLOOKUP(Inngang!$B$5,'2023 Nto driftsutg'!$A$5:$W$22,23,FALSE)</f>
        <v>707.50795629812023</v>
      </c>
      <c r="D39" s="20">
        <f>+'2023 Nto driftsutg landet'!$C$9+VLOOKUP(Inngang!$B$5,'2023 Korreksjoner'!$A$5:$AS$22,9,FALSE)+VLOOKUP(Inngang!$B$5,'2023 Korreksjoner'!$A$5:$AS$22,16,FALSE)+VLOOKUP(Inngang!$B$5,'2023 Korreksjoner'!$A$5:$AS$22,32,FALSE)</f>
        <v>626.39148274746435</v>
      </c>
      <c r="E39" s="38">
        <f t="shared" ref="E39:E43" si="4">+C39-D39</f>
        <v>81.116473550655883</v>
      </c>
      <c r="F39" s="24">
        <f>+'2023 Nto driftsutg landet'!$C$9*VLOOKUP(Inngang!$B$5,'2023 Inntektsnivå'!$A$5:$C$22,3,FALSE)+VLOOKUP(Inngang!$B$5,'2023 Korreksjoner'!$A$5:$AS$22,9,FALSE)+VLOOKUP(Inngang!$B$5,'2023 Korreksjoner'!$A$5:$AS$22,16,FALSE)+VLOOKUP(Inngang!$B$5,'2023 Korreksjoner'!$A$5:$AS$22,32,FALSE)</f>
        <v>607.11380106365982</v>
      </c>
      <c r="G39" s="20"/>
      <c r="H39" s="25">
        <f>IF(F36=G36,C39-F39,(C39-F39)-(G36-F36)*C39/C32)</f>
        <v>100.39415523446041</v>
      </c>
      <c r="I39" s="99"/>
    </row>
    <row r="40" spans="2:9" x14ac:dyDescent="0.3">
      <c r="B40" s="30" t="s">
        <v>269</v>
      </c>
      <c r="C40" s="5">
        <f>VLOOKUP(Inngang!$B$5,'2023 Nto driftsutg eks avskriv'!$A$5:$T$22,9,FALSE)*1000/VLOOKUP(Inngang!$B$5,'2023 Nto driftsutg'!$A$5:$W$22,23,FALSE)</f>
        <v>1743.3503248084555</v>
      </c>
      <c r="D40" s="5">
        <f>'2023 Nto driftsutg landet'!$C$13+VLOOKUP(Inngang!$B$5,'2023 Korreksjoner'!$A$5:$AS$22,17,FALSE)+VLOOKUP(Inngang!$B$5,'2023 Korreksjoner'!$A$5:$AS$22,33,FALSE)+VLOOKUP(Inngang!$B$5,'2023 Korreksjoner'!$A$5:$AW$22,46,FALSE)</f>
        <v>1331.9628782897214</v>
      </c>
      <c r="E40" s="15">
        <f t="shared" si="4"/>
        <v>411.38744651873412</v>
      </c>
      <c r="F40" s="12">
        <f>+'2023 Nto driftsutg landet'!$C$13*VLOOKUP(Inngang!$B$5,'2023 Inntektsnivå'!$A$5:$C$22,3,FALSE)+VLOOKUP(Inngang!$B$5,'2023 Korreksjoner'!$A$5:$AS$22,17,FALSE)+VLOOKUP(Inngang!$B$5,'2023 Korreksjoner'!$A$5:$AS$22,33,FALSE)+VLOOKUP(Inngang!$B$5,'2023 Korreksjoner'!$A$5:$AV$22,46,FALSE)</f>
        <v>1288.4293190388532</v>
      </c>
      <c r="G40" s="5"/>
      <c r="H40" s="14">
        <f t="shared" ref="H40:H43" si="5">+C40-F40</f>
        <v>454.92100576960229</v>
      </c>
    </row>
    <row r="41" spans="2:9" x14ac:dyDescent="0.3">
      <c r="B41" s="30" t="s">
        <v>26</v>
      </c>
      <c r="C41" s="5">
        <f>VLOOKUP(Inngang!$B$5,'2023 Nto driftsutg eks avskriv'!$A$5:$T$22,18,FALSE)*1000/VLOOKUP(Inngang!$B$5,'2023 Nto driftsutg'!$A$5:$W$22,23,FALSE)</f>
        <v>-274.20868917256581</v>
      </c>
      <c r="D41" s="5">
        <f>'2023 Nto driftsutg landet'!$C$14+VLOOKUP(Inngang!$B$5,'2023 Korreksjoner'!$A$5:$AX$22,44,FALSE)</f>
        <v>-258.46385186155447</v>
      </c>
      <c r="E41" s="15">
        <f t="shared" si="4"/>
        <v>-15.744837311011338</v>
      </c>
      <c r="F41" s="12">
        <f>+'2023 Nto driftsutg landet'!$C$14*VLOOKUP(Inngang!$B$5,'2023 Inntektsnivå'!$A$5:$C$22,3,FALSE)+VLOOKUP(Inngang!$B$5,'2023 Korreksjoner'!$A$5:$AX$22,44,FALSE)</f>
        <v>-240.02910797243982</v>
      </c>
      <c r="G41" s="5"/>
      <c r="H41" s="14">
        <f t="shared" si="5"/>
        <v>-34.179581200125995</v>
      </c>
    </row>
    <row r="42" spans="2:9" x14ac:dyDescent="0.3">
      <c r="B42" s="30" t="s">
        <v>23</v>
      </c>
      <c r="C42" s="5">
        <f>VLOOKUP(Inngang!$B$5,'2023 Nto driftsutg eks avskriv'!$A$5:$T$22,19,FALSE)*1000/VLOOKUP(Inngang!$B$5,'2023 Nto driftsutg'!$A$5:$W$22,23,FALSE)</f>
        <v>1396.4807040257099</v>
      </c>
      <c r="D42" s="88">
        <f>'2023 Nto driftsutg landet'!$C$15</f>
        <v>859.80483865657436</v>
      </c>
      <c r="E42" s="89">
        <f t="shared" si="4"/>
        <v>536.67586536913552</v>
      </c>
      <c r="F42" s="90">
        <f>+'2023 Nto driftsutg landet'!$C$15*VLOOKUP(Inngang!$B$5,'2023 Inntektsnivå'!$A$5:$C$22,3,FALSE)</f>
        <v>833.13026825333429</v>
      </c>
      <c r="G42" s="88"/>
      <c r="H42" s="91">
        <f t="shared" si="5"/>
        <v>563.35043577237559</v>
      </c>
      <c r="I42" s="5"/>
    </row>
    <row r="43" spans="2:9" x14ac:dyDescent="0.3">
      <c r="B43" s="31" t="s">
        <v>24</v>
      </c>
      <c r="C43" s="20">
        <f>VLOOKUP(Inngang!$B$5,'2023 Nto driftsutg eks avskriv'!$A$5:$T$22,20,FALSE)*1000/VLOOKUP(Inngang!$B$5,'2023 Nto driftsutg'!$A$5:$W$22,23,FALSE)</f>
        <v>238.16442114158568</v>
      </c>
      <c r="D43" s="92">
        <f>'2023 Nto driftsutg landet'!$C$16</f>
        <v>800.62190589015938</v>
      </c>
      <c r="E43" s="93">
        <f t="shared" si="4"/>
        <v>-562.45748474857373</v>
      </c>
      <c r="F43" s="94">
        <f>+'2023 Nto driftsutg landet'!$C$16*VLOOKUP(Inngang!$B$5,'2023 Inntektsnivå'!$A$5:$C$22,3,FALSE)</f>
        <v>775.78342576667933</v>
      </c>
      <c r="G43" s="88"/>
      <c r="H43" s="91">
        <f t="shared" si="5"/>
        <v>-537.61900462509368</v>
      </c>
    </row>
    <row r="44" spans="2:9" x14ac:dyDescent="0.3">
      <c r="B44" s="26" t="s">
        <v>17</v>
      </c>
      <c r="C44" s="27">
        <f>SUM(C33:C43)</f>
        <v>16614.034722554672</v>
      </c>
      <c r="D44" s="28">
        <f>SUM(D33:D43)</f>
        <v>17105.838402189151</v>
      </c>
      <c r="E44" s="29">
        <f>SUM(E33:E43)</f>
        <v>-491.80367963447645</v>
      </c>
      <c r="F44" s="27">
        <f>SUM(F33:F43)</f>
        <v>16614.034722554676</v>
      </c>
      <c r="G44" s="28"/>
      <c r="H44" s="32">
        <f>SUM(H33:H43)</f>
        <v>0</v>
      </c>
    </row>
    <row r="45" spans="2:9" x14ac:dyDescent="0.3">
      <c r="C45" s="5"/>
    </row>
    <row r="46" spans="2:9" x14ac:dyDescent="0.3">
      <c r="I46" s="5"/>
    </row>
    <row r="47" spans="2:9" x14ac:dyDescent="0.3">
      <c r="B47" s="6" t="s">
        <v>35</v>
      </c>
      <c r="I47" s="5"/>
    </row>
    <row r="49" spans="2:11" ht="43.2" x14ac:dyDescent="0.3">
      <c r="B49" s="36"/>
      <c r="C49" s="18" t="s">
        <v>40</v>
      </c>
      <c r="D49" s="18" t="s">
        <v>44</v>
      </c>
      <c r="E49" s="17" t="s">
        <v>45</v>
      </c>
      <c r="F49" s="13" t="s">
        <v>46</v>
      </c>
      <c r="G49" s="18"/>
      <c r="H49" s="16" t="s">
        <v>47</v>
      </c>
    </row>
    <row r="50" spans="2:11" x14ac:dyDescent="0.3">
      <c r="B50" s="37"/>
      <c r="C50" s="33" t="s">
        <v>39</v>
      </c>
      <c r="D50" s="33" t="s">
        <v>41</v>
      </c>
      <c r="E50" s="34" t="s">
        <v>39</v>
      </c>
      <c r="F50" s="39" t="s">
        <v>39</v>
      </c>
      <c r="G50" s="33"/>
      <c r="H50" s="35" t="s">
        <v>39</v>
      </c>
    </row>
    <row r="51" spans="2:11" x14ac:dyDescent="0.3">
      <c r="B51" s="78" t="s">
        <v>135</v>
      </c>
      <c r="C51" s="79">
        <f>SUM(C52:C57)</f>
        <v>1743.3503248084558</v>
      </c>
      <c r="D51" s="79">
        <f>SUM(D52:D57)</f>
        <v>1331.9628782897212</v>
      </c>
      <c r="E51" s="83">
        <f>SUM(E52:E57)</f>
        <v>411.38744651873441</v>
      </c>
      <c r="F51" s="84">
        <f>SUM(F52:F57)</f>
        <v>1288.429319038853</v>
      </c>
      <c r="G51" s="79"/>
      <c r="H51" s="85">
        <f>SUM(H52:H57)</f>
        <v>454.92100576960263</v>
      </c>
    </row>
    <row r="52" spans="2:11" x14ac:dyDescent="0.3">
      <c r="B52" s="30" t="s">
        <v>4</v>
      </c>
      <c r="C52" s="5">
        <f>VLOOKUP(Inngang!$B$5,'2023 Nto driftsutg eks avskriv'!$A$5:$T$22,11,FALSE)*1000/VLOOKUP(Inngang!$B$5,'2023 Nto driftsutg'!$A$5:$W$22,23,FALSE)</f>
        <v>850.96068787374827</v>
      </c>
      <c r="D52" s="5">
        <f>'2023 Nto driftsutg eks avskriv'!K$17*1000/'2023 Nto driftsutg'!$W$17+VLOOKUP(Inngang!$B$5,'2023 Korreksjoner'!$A$5:$AS$22,19,FALSE)+VLOOKUP(Inngang!$B$5,'2023 Korreksjoner'!$A$5:$AS$22,35,FALSE)</f>
        <v>820.7770455585237</v>
      </c>
      <c r="E52" s="15">
        <f t="shared" ref="E52:E57" si="6">+C52-D52</f>
        <v>30.183642315224574</v>
      </c>
      <c r="F52" s="12">
        <f>+'2023 Nto driftsutg landet'!$C$23*VLOOKUP(Inngang!$B$5,'2023 Inntektsnivå'!$A$5:$C$22,3,FALSE)+VLOOKUP(Inngang!$B$5,'2023 Korreksjoner'!$A$5:$AS$22,19,FALSE)+VLOOKUP(Inngang!$B$5,'2023 Korreksjoner'!$A$5:$AS$22,35,FALSE)</f>
        <v>793.17235043327071</v>
      </c>
      <c r="G52" s="5"/>
      <c r="H52" s="14">
        <f t="shared" ref="H52:H57" si="7">+C52-F52</f>
        <v>57.788337440477562</v>
      </c>
      <c r="K52" s="5"/>
    </row>
    <row r="53" spans="2:11" x14ac:dyDescent="0.3">
      <c r="B53" s="30" t="s">
        <v>268</v>
      </c>
      <c r="C53" s="5">
        <f>VLOOKUP(Inngang!$B$5,'2023 Nto driftsutg eks avskriv'!$A$5:$T$22,12,FALSE)*1000/VLOOKUP(Inngang!$B$5,'2023 Nto driftsutg'!$A$5:$W$22,23,FALSE)</f>
        <v>186.84239556903404</v>
      </c>
      <c r="D53" s="5">
        <f>'2023 Nto driftsutg eks avskriv'!L$17*1000/'2023 Nto driftsutg'!$W$17+VLOOKUP(Inngang!$B$5,'2023 Korreksjoner'!$A$5:$AS$22,20,FALSE)+VLOOKUP(Inngang!$B$5,'2023 Korreksjoner'!$A$5:$AS$22,36,FALSE)</f>
        <v>231.45297545475461</v>
      </c>
      <c r="E53" s="15">
        <f t="shared" si="6"/>
        <v>-44.610579885720568</v>
      </c>
      <c r="F53" s="12">
        <f>+'2023 Nto driftsutg landet'!$C$24*VLOOKUP(Inngang!$B$5,'2023 Inntektsnivå'!$A$5:$C$22,3,FALSE)+VLOOKUP(Inngang!$B$5,'2023 Korreksjoner'!$A$5:$AS$22,20,FALSE)+VLOOKUP(Inngang!$B$5,'2023 Korreksjoner'!$A$5:$AS$22,36,FALSE)</f>
        <v>224.23959015044585</v>
      </c>
      <c r="G53" s="5"/>
      <c r="H53" s="14">
        <f t="shared" si="7"/>
        <v>-37.39719458141181</v>
      </c>
    </row>
    <row r="54" spans="2:11" x14ac:dyDescent="0.3">
      <c r="B54" s="30" t="s">
        <v>36</v>
      </c>
      <c r="C54" s="5">
        <f>VLOOKUP(Inngang!$B$5,'2023 Nto driftsutg eks avskriv'!$A$5:$T$22,13,FALSE)*1000/VLOOKUP(Inngang!$B$5,'2023 Nto driftsutg'!$A$5:$W$22,23,FALSE)</f>
        <v>190.09776515963591</v>
      </c>
      <c r="D54" s="5">
        <f>'2023 Nto driftsutg eks avskriv'!M$17*1000/'2023 Nto driftsutg'!$W$17+VLOOKUP(Inngang!$B$5,'2023 Korreksjoner'!$A$5:$AS$22,21,FALSE)+VLOOKUP(Inngang!$B$5,'2023 Korreksjoner'!$A$5:$AS$22,37,FALSE)</f>
        <v>-47.458527846966419</v>
      </c>
      <c r="E54" s="15">
        <f t="shared" si="6"/>
        <v>237.55629300660235</v>
      </c>
      <c r="F54" s="12">
        <f>+'2023 Nto driftsutg landet'!$C$25*VLOOKUP(Inngang!$B$5,'2023 Inntektsnivå'!$A$5:$C$22,3,FALSE)+VLOOKUP(Inngang!$B$5,'2023 Korreksjoner'!$A$5:$AS$22,21,FALSE)+VLOOKUP(Inngang!$B$5,'2023 Korreksjoner'!$A$5:$AS$22,37,FALSE)</f>
        <v>-45.980897679016003</v>
      </c>
      <c r="G54" s="5"/>
      <c r="H54" s="14">
        <f t="shared" si="7"/>
        <v>236.07866283865192</v>
      </c>
    </row>
    <row r="55" spans="2:11" x14ac:dyDescent="0.3">
      <c r="B55" s="30" t="s">
        <v>175</v>
      </c>
      <c r="C55" s="5">
        <f>VLOOKUP(Inngang!$B$5,'2023 Nto driftsutg eks avskriv'!$A$5:$T$22,14,FALSE)*1000/VLOOKUP(Inngang!$B$5,'2023 Nto driftsutg'!$A$5:$W$22,23,FALSE)</f>
        <v>515.44531332932308</v>
      </c>
      <c r="D55" s="5">
        <f>'2023 Nto driftsutg eks avskriv'!N$17*1000/'2023 Nto driftsutg'!$W$17+VLOOKUP(Inngang!$B$5,'2023 Korreksjoner'!$A$5:$AS$22,22,FALSE)+VLOOKUP(Inngang!$B$5,'2023 Korreksjoner'!$A$5:$AS$22,38,FALSE)</f>
        <v>375.68291295700408</v>
      </c>
      <c r="E55" s="15">
        <f t="shared" si="6"/>
        <v>139.76240037231901</v>
      </c>
      <c r="F55" s="12">
        <f>+'2023 Nto driftsutg landet'!$C$26*VLOOKUP(Inngang!$B$5,'2023 Inntektsnivå'!$A$5:$C$22,3,FALSE)+VLOOKUP(Inngang!$B$5,'2023 Korreksjoner'!$A$5:$AS$22,22,FALSE)+VLOOKUP(Inngang!$B$5,'2023 Korreksjoner'!$A$5:$AS$22,38,FALSE)</f>
        <v>363.98540364920638</v>
      </c>
      <c r="G55" s="5"/>
      <c r="H55" s="14">
        <f t="shared" si="7"/>
        <v>151.45990968011671</v>
      </c>
    </row>
    <row r="56" spans="2:11" x14ac:dyDescent="0.3">
      <c r="B56" s="30" t="s">
        <v>136</v>
      </c>
      <c r="C56" s="5">
        <f>VLOOKUP(Inngang!$B$5,'2023 Nto driftsutg eks avskriv'!$A$5:$T$22,15,FALSE)*1000/VLOOKUP(Inngang!$B$5,'2023 Nto driftsutg'!$A$5:$W$22,23,FALSE)</f>
        <v>0</v>
      </c>
      <c r="D56" s="5">
        <f>'2023 Nto driftsutg eks avskriv'!O17*1000/'2023 Nto driftsutg'!$W$17+VLOOKUP(Inngang!$B$5,'2023 Korreksjoner'!$A$5:$AS$22,23,FALSE)+VLOOKUP(Inngang!$B$5,'2023 Korreksjoner'!$A$5:$AS$22,39,FALSE)</f>
        <v>0.86995852055184064</v>
      </c>
      <c r="E56" s="15">
        <f t="shared" si="6"/>
        <v>-0.86995852055184064</v>
      </c>
      <c r="F56" s="12">
        <f>'2023 Nto driftsutg landet'!$C$27*VLOOKUP(Inngang!$B$5,'2023 Inntektsnivå'!$A$5:$C$22,3,FALSE)+VLOOKUP(Inngang!$B$5,'2023 Korreksjoner'!$A$5:$AS$22,23,FALSE)+VLOOKUP(Inngang!$B$5,'2023 Korreksjoner'!$A$5:$AS$22,39,FALSE)</f>
        <v>0.84296894249757304</v>
      </c>
      <c r="G56" s="5"/>
      <c r="H56" s="14">
        <f t="shared" si="7"/>
        <v>-0.84296894249757304</v>
      </c>
    </row>
    <row r="57" spans="2:11" x14ac:dyDescent="0.3">
      <c r="B57" s="56" t="s">
        <v>128</v>
      </c>
      <c r="C57" s="20">
        <f>VLOOKUP(Inngang!$B$5,'2023 Nto driftsutg eks avskriv'!$A$5:$T$22,16,FALSE)*1000/VLOOKUP(Inngang!$B$5,'2023 Nto driftsutg'!$A$5:$W$22,23,FALSE)</f>
        <v>4.1628767143246665E-3</v>
      </c>
      <c r="D57" s="20">
        <f>'2023 Nto driftsutg eks avskriv'!P17*1000/'2023 Nto driftsutg'!$W$17+VLOOKUP(Inngang!$B$5,'2023 Korreksjoner'!$A$5:$AS$22,24,FALSE)+VLOOKUP(Inngang!$B$5,'2023 Korreksjoner'!$A$5:$AS$22,40,FALSE)</f>
        <v>-49.361486354146564</v>
      </c>
      <c r="E57" s="38">
        <f t="shared" si="6"/>
        <v>49.365649230860889</v>
      </c>
      <c r="F57" s="24">
        <f>'2023 Nto driftsutg landet'!$C$28*VLOOKUP(Inngang!$B$5,'2023 Inntektsnivå'!$A$5:$C$22,3,FALSE)+VLOOKUP(Inngang!$B$5,'2023 Korreksjoner'!$A$5:$AS$22,24,FALSE)+VLOOKUP(Inngang!$B$5,'2023 Korreksjoner'!$A$5:$AS$22,40,FALSE)</f>
        <v>-47.83009645755147</v>
      </c>
      <c r="G57" s="20"/>
      <c r="H57" s="25">
        <f t="shared" si="7"/>
        <v>47.834259334265795</v>
      </c>
    </row>
    <row r="58" spans="2:11" x14ac:dyDescent="0.3">
      <c r="B58" s="26" t="s">
        <v>135</v>
      </c>
      <c r="C58" s="28">
        <f>SUM(C52:C57)</f>
        <v>1743.3503248084558</v>
      </c>
      <c r="D58" s="28">
        <f>SUM(D52:D57)</f>
        <v>1331.9628782897212</v>
      </c>
      <c r="E58" s="29">
        <f>SUM(E52:E57)</f>
        <v>411.38744651873441</v>
      </c>
      <c r="F58" s="27">
        <f>SUM(F52:F57)</f>
        <v>1288.429319038853</v>
      </c>
      <c r="G58" s="28"/>
      <c r="H58" s="32">
        <f>SUM(H52:H57)</f>
        <v>454.92100576960263</v>
      </c>
      <c r="I58" s="5"/>
    </row>
    <row r="59" spans="2:11" x14ac:dyDescent="0.3">
      <c r="I59" s="5"/>
    </row>
    <row r="60" spans="2:11" x14ac:dyDescent="0.3">
      <c r="I60" s="5"/>
    </row>
    <row r="61" spans="2:11" x14ac:dyDescent="0.3">
      <c r="I61" s="5"/>
    </row>
    <row r="62" spans="2:11" x14ac:dyDescent="0.3">
      <c r="B62" s="36" t="s">
        <v>127</v>
      </c>
      <c r="C62" s="18" t="s">
        <v>271</v>
      </c>
      <c r="D62" s="62" t="s">
        <v>3</v>
      </c>
      <c r="I62" s="5"/>
    </row>
    <row r="63" spans="2:11" x14ac:dyDescent="0.3">
      <c r="B63" s="57" t="s">
        <v>171</v>
      </c>
      <c r="C63" s="65">
        <f>VLOOKUP(Inngang!$B$5,'2023 Revekting utgiftsbehov'!$A$5:$I$22,4,FALSE)</f>
        <v>1.0195042229505571</v>
      </c>
      <c r="D63" s="63">
        <v>1</v>
      </c>
      <c r="I63" s="5"/>
    </row>
    <row r="64" spans="2:11" x14ac:dyDescent="0.3">
      <c r="B64" s="57" t="s">
        <v>172</v>
      </c>
      <c r="C64" s="65">
        <f>VLOOKUP(Inngang!$B$5,'2023 Revekting utgiftsbehov'!$A$5:$I$22,5,FALSE)</f>
        <v>1.2666523308794941</v>
      </c>
      <c r="D64" s="63">
        <v>1</v>
      </c>
      <c r="I64" s="5"/>
    </row>
    <row r="65" spans="2:9" x14ac:dyDescent="0.3">
      <c r="B65" s="30" t="s">
        <v>456</v>
      </c>
      <c r="C65" s="65">
        <f>VLOOKUP(Inngang!$B$5,'2023 Revekting utgiftsbehov'!$A$5:$I$22,6,FALSE)</f>
        <v>1.0917317827078288</v>
      </c>
      <c r="D65" s="63">
        <v>1</v>
      </c>
      <c r="I65" s="5"/>
    </row>
    <row r="66" spans="2:9" x14ac:dyDescent="0.3">
      <c r="B66" s="30" t="s">
        <v>417</v>
      </c>
      <c r="C66" s="65">
        <f>VLOOKUP(Inngang!$B$5,'2023 Revekting utgiftsbehov'!$A$5:$I$22,7,FALSE)</f>
        <v>1.0558842371923283</v>
      </c>
      <c r="D66" s="63">
        <v>1</v>
      </c>
      <c r="I66" s="5"/>
    </row>
    <row r="67" spans="2:9" x14ac:dyDescent="0.3">
      <c r="B67" s="57" t="s">
        <v>275</v>
      </c>
      <c r="C67" s="65"/>
      <c r="D67" s="63">
        <v>1</v>
      </c>
      <c r="I67" s="5"/>
    </row>
    <row r="68" spans="2:9" x14ac:dyDescent="0.3">
      <c r="B68" s="57" t="s">
        <v>471</v>
      </c>
      <c r="C68" s="65"/>
      <c r="D68" s="63">
        <v>1</v>
      </c>
      <c r="I68" s="5"/>
    </row>
    <row r="69" spans="2:9" x14ac:dyDescent="0.3">
      <c r="B69" s="58" t="s">
        <v>173</v>
      </c>
      <c r="C69" s="66">
        <f>VLOOKUP(Inngang!$B$5,'2023 Revekting utgiftsbehov'!$A$5:$I$22,8,FALSE)</f>
        <v>1.0416844885673895</v>
      </c>
      <c r="D69" s="64">
        <v>1</v>
      </c>
      <c r="I69" s="5"/>
    </row>
    <row r="70" spans="2:9" x14ac:dyDescent="0.3">
      <c r="B70" s="75" t="s">
        <v>132</v>
      </c>
      <c r="C70" s="76">
        <f>+VLOOKUP(Inngang!$B$5,'2023 Revekting utgiftsbehov'!$A$5:$I$22,9,FALSE)</f>
        <v>1.0865235188462492</v>
      </c>
      <c r="D70" s="77">
        <v>1</v>
      </c>
      <c r="I70" s="5"/>
    </row>
    <row r="71" spans="2:9" x14ac:dyDescent="0.3">
      <c r="I71" s="5"/>
    </row>
    <row r="72" spans="2:9" x14ac:dyDescent="0.3">
      <c r="I72" s="5"/>
    </row>
    <row r="73" spans="2:9" x14ac:dyDescent="0.3">
      <c r="I73" s="5"/>
    </row>
    <row r="74" spans="2:9" ht="28.8" x14ac:dyDescent="0.3">
      <c r="B74" s="68" t="s">
        <v>129</v>
      </c>
      <c r="C74" s="71" t="s">
        <v>272</v>
      </c>
      <c r="D74" s="71" t="s">
        <v>273</v>
      </c>
    </row>
    <row r="75" spans="2:9" x14ac:dyDescent="0.3">
      <c r="B75" s="30" t="s">
        <v>137</v>
      </c>
      <c r="C75" s="69">
        <f>SUM(C76:C86)</f>
        <v>761.66383048328225</v>
      </c>
    </row>
    <row r="76" spans="2:9" x14ac:dyDescent="0.3">
      <c r="B76" s="30" t="s">
        <v>171</v>
      </c>
      <c r="C76" s="69">
        <f>+C33-'2023 Nto driftsutg landet'!$C5</f>
        <v>191.37089238197586</v>
      </c>
    </row>
    <row r="77" spans="2:9" x14ac:dyDescent="0.3">
      <c r="B77" s="30" t="s">
        <v>172</v>
      </c>
      <c r="C77" s="69">
        <f>+C34-'2023 Nto driftsutg landet'!$C6</f>
        <v>456.30608498323522</v>
      </c>
    </row>
    <row r="78" spans="2:9" x14ac:dyDescent="0.3">
      <c r="B78" s="30" t="s">
        <v>456</v>
      </c>
      <c r="C78" s="69">
        <f>+C35-'2023 Nto driftsutg landet'!$C7</f>
        <v>-520.00810558658122</v>
      </c>
    </row>
    <row r="79" spans="2:9" x14ac:dyDescent="0.3">
      <c r="B79" s="30" t="s">
        <v>417</v>
      </c>
      <c r="C79" s="69">
        <f>+C36-'2023 Nto driftsutg landet'!$C8</f>
        <v>-86.479710204975731</v>
      </c>
    </row>
    <row r="80" spans="2:9" x14ac:dyDescent="0.3">
      <c r="B80" s="30" t="s">
        <v>275</v>
      </c>
      <c r="C80" s="69"/>
    </row>
    <row r="81" spans="2:5" x14ac:dyDescent="0.3">
      <c r="B81" s="30" t="s">
        <v>471</v>
      </c>
      <c r="C81" s="69"/>
    </row>
    <row r="82" spans="2:5" x14ac:dyDescent="0.3">
      <c r="B82" s="30" t="s">
        <v>173</v>
      </c>
      <c r="C82" s="69">
        <f>+C39-'2023 Nto driftsutg landet'!$C9</f>
        <v>86.12797756740008</v>
      </c>
    </row>
    <row r="83" spans="2:5" x14ac:dyDescent="0.3">
      <c r="B83" s="30" t="s">
        <v>126</v>
      </c>
      <c r="C83" s="69">
        <f>+C40-'2023 Nto driftsutg landet'!$C13</f>
        <v>340.1275428853121</v>
      </c>
    </row>
    <row r="84" spans="2:5" x14ac:dyDescent="0.3">
      <c r="B84" s="30" t="s">
        <v>26</v>
      </c>
      <c r="C84" s="69">
        <f>+C41-'2023 Nto driftsutg landet'!$C14</f>
        <v>320.0007678363541</v>
      </c>
    </row>
    <row r="85" spans="2:5" x14ac:dyDescent="0.3">
      <c r="B85" s="30" t="s">
        <v>23</v>
      </c>
      <c r="C85" s="69">
        <f>+C42-'2023 Nto driftsutg landet'!$C15</f>
        <v>536.67586536913552</v>
      </c>
    </row>
    <row r="86" spans="2:5" x14ac:dyDescent="0.3">
      <c r="B86" s="31" t="s">
        <v>24</v>
      </c>
      <c r="C86" s="70">
        <f>+C43-'2023 Nto driftsutg landet'!$C16</f>
        <v>-562.45748474857373</v>
      </c>
    </row>
    <row r="88" spans="2:5" x14ac:dyDescent="0.3">
      <c r="E88" s="5"/>
    </row>
  </sheetData>
  <sheetProtection algorithmName="SHA-512" hashValue="Gupf7z1lhX5Djlw7jEDwtALjhB4U2ZcMDcPhq2ytPkanER0YsrCDMzcz7O8Y+Xi8/mVh/0MvUW8mXoVDlMljaw==" saltValue="6dww8IctSgJ4bQK+ThsTwQ==" spinCount="100000" sheet="1" selectLockedCells="1" selectUnlockedCells="1"/>
  <pageMargins left="0.7" right="0.7" top="0.75" bottom="0.75" header="0.3" footer="0.3"/>
  <pageSetup paperSize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D9D97-CE85-4DEB-BA07-D79D4675262A}">
  <dimension ref="A1:CE18"/>
  <sheetViews>
    <sheetView zoomScale="80" zoomScaleNormal="8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4"/>
      <c r="CB1" s="5"/>
    </row>
    <row r="2" spans="1:83" ht="79.8" x14ac:dyDescent="0.3">
      <c r="A2" s="22" t="s">
        <v>2</v>
      </c>
      <c r="B2" s="22" t="s">
        <v>1</v>
      </c>
      <c r="C2" s="22" t="s">
        <v>411</v>
      </c>
      <c r="D2" s="22" t="s">
        <v>319</v>
      </c>
      <c r="E2" s="22" t="s">
        <v>320</v>
      </c>
      <c r="F2" s="22" t="s">
        <v>322</v>
      </c>
      <c r="G2" s="22" t="s">
        <v>321</v>
      </c>
      <c r="H2" s="22" t="s">
        <v>323</v>
      </c>
      <c r="I2" s="22" t="s">
        <v>228</v>
      </c>
      <c r="J2" s="22" t="s">
        <v>227</v>
      </c>
      <c r="K2" s="101" t="s">
        <v>324</v>
      </c>
      <c r="L2" s="101" t="s">
        <v>325</v>
      </c>
      <c r="M2" s="101" t="s">
        <v>326</v>
      </c>
      <c r="N2" s="101" t="s">
        <v>327</v>
      </c>
      <c r="O2" s="101" t="s">
        <v>328</v>
      </c>
      <c r="P2" s="101" t="s">
        <v>230</v>
      </c>
      <c r="Q2" s="101" t="s">
        <v>229</v>
      </c>
      <c r="R2" s="22" t="s">
        <v>329</v>
      </c>
      <c r="S2" s="22" t="s">
        <v>330</v>
      </c>
      <c r="T2" s="22" t="s">
        <v>331</v>
      </c>
      <c r="U2" s="22" t="s">
        <v>332</v>
      </c>
      <c r="V2" s="22" t="s">
        <v>333</v>
      </c>
      <c r="W2" s="22" t="s">
        <v>309</v>
      </c>
      <c r="X2" s="22" t="s">
        <v>308</v>
      </c>
      <c r="Y2" s="101" t="s">
        <v>334</v>
      </c>
      <c r="Z2" s="101" t="s">
        <v>335</v>
      </c>
      <c r="AA2" s="101" t="s">
        <v>336</v>
      </c>
      <c r="AB2" s="101" t="s">
        <v>337</v>
      </c>
      <c r="AC2" s="101" t="s">
        <v>338</v>
      </c>
      <c r="AD2" s="101" t="s">
        <v>311</v>
      </c>
      <c r="AE2" s="101" t="s">
        <v>310</v>
      </c>
      <c r="AF2" s="22" t="s">
        <v>339</v>
      </c>
      <c r="AG2" s="22" t="s">
        <v>340</v>
      </c>
      <c r="AH2" s="22" t="s">
        <v>341</v>
      </c>
      <c r="AI2" s="22" t="s">
        <v>342</v>
      </c>
      <c r="AJ2" s="22" t="s">
        <v>343</v>
      </c>
      <c r="AK2" s="22" t="s">
        <v>344</v>
      </c>
      <c r="AL2" s="22" t="s">
        <v>345</v>
      </c>
      <c r="AM2" s="101" t="s">
        <v>346</v>
      </c>
      <c r="AN2" s="101" t="s">
        <v>347</v>
      </c>
      <c r="AO2" s="101" t="s">
        <v>348</v>
      </c>
      <c r="AP2" s="101" t="s">
        <v>349</v>
      </c>
      <c r="AQ2" s="101" t="s">
        <v>350</v>
      </c>
      <c r="AR2" s="101" t="s">
        <v>232</v>
      </c>
      <c r="AS2" s="101" t="s">
        <v>231</v>
      </c>
      <c r="AT2" s="22" t="s">
        <v>351</v>
      </c>
      <c r="AU2" s="22" t="s">
        <v>352</v>
      </c>
      <c r="AV2" s="22" t="s">
        <v>353</v>
      </c>
      <c r="AW2" s="22" t="s">
        <v>354</v>
      </c>
      <c r="AX2" s="22" t="s">
        <v>355</v>
      </c>
      <c r="AY2" s="22" t="s">
        <v>356</v>
      </c>
      <c r="AZ2" s="22" t="s">
        <v>357</v>
      </c>
      <c r="BA2" s="101" t="s">
        <v>358</v>
      </c>
      <c r="BB2" s="101" t="s">
        <v>359</v>
      </c>
      <c r="BC2" s="101" t="s">
        <v>360</v>
      </c>
      <c r="BD2" s="101" t="s">
        <v>361</v>
      </c>
      <c r="BE2" s="101" t="s">
        <v>362</v>
      </c>
      <c r="BF2" s="101" t="s">
        <v>234</v>
      </c>
      <c r="BG2" s="101" t="s">
        <v>233</v>
      </c>
      <c r="BH2" s="22" t="s">
        <v>363</v>
      </c>
      <c r="BI2" s="22" t="s">
        <v>364</v>
      </c>
      <c r="BJ2" s="22" t="s">
        <v>365</v>
      </c>
      <c r="BK2" s="22" t="s">
        <v>366</v>
      </c>
      <c r="BL2" s="22" t="s">
        <v>367</v>
      </c>
      <c r="BM2" s="22" t="s">
        <v>236</v>
      </c>
      <c r="BN2" s="22" t="s">
        <v>235</v>
      </c>
      <c r="BO2" s="101" t="s">
        <v>368</v>
      </c>
      <c r="BP2" s="101" t="s">
        <v>369</v>
      </c>
      <c r="BQ2" s="101" t="s">
        <v>370</v>
      </c>
      <c r="BR2" s="101" t="s">
        <v>371</v>
      </c>
      <c r="BS2" s="101" t="s">
        <v>372</v>
      </c>
      <c r="BT2" s="101" t="s">
        <v>373</v>
      </c>
      <c r="BU2" s="101" t="s">
        <v>374</v>
      </c>
      <c r="BV2" s="22" t="s">
        <v>375</v>
      </c>
      <c r="BW2" s="22" t="s">
        <v>376</v>
      </c>
      <c r="BX2" s="22" t="s">
        <v>377</v>
      </c>
      <c r="BY2" s="22" t="s">
        <v>378</v>
      </c>
      <c r="BZ2" s="22" t="s">
        <v>379</v>
      </c>
      <c r="CA2" s="22" t="s">
        <v>380</v>
      </c>
      <c r="CB2" s="22" t="s">
        <v>381</v>
      </c>
      <c r="CC2" s="101"/>
      <c r="CD2" s="101"/>
      <c r="CE2" s="101"/>
    </row>
    <row r="3" spans="1:83" x14ac:dyDescent="0.3">
      <c r="A3" s="107">
        <v>1</v>
      </c>
      <c r="B3" s="107">
        <f t="shared" ref="B3:AG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2">
        <f t="shared" si="0"/>
        <v>11</v>
      </c>
      <c r="L3" s="102">
        <f t="shared" si="0"/>
        <v>12</v>
      </c>
      <c r="M3" s="102">
        <f t="shared" si="0"/>
        <v>13</v>
      </c>
      <c r="N3" s="102">
        <f t="shared" si="0"/>
        <v>14</v>
      </c>
      <c r="O3" s="102">
        <f t="shared" si="0"/>
        <v>15</v>
      </c>
      <c r="P3" s="102">
        <f t="shared" si="0"/>
        <v>16</v>
      </c>
      <c r="Q3" s="102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2">
        <f t="shared" si="0"/>
        <v>25</v>
      </c>
      <c r="Z3" s="102">
        <f t="shared" si="0"/>
        <v>26</v>
      </c>
      <c r="AA3" s="102">
        <f t="shared" si="0"/>
        <v>27</v>
      </c>
      <c r="AB3" s="102">
        <f t="shared" si="0"/>
        <v>28</v>
      </c>
      <c r="AC3" s="102">
        <f t="shared" si="0"/>
        <v>29</v>
      </c>
      <c r="AD3" s="102">
        <f t="shared" si="0"/>
        <v>30</v>
      </c>
      <c r="AE3" s="102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ref="AH3:BR3" si="1">+AG3+1</f>
        <v>34</v>
      </c>
      <c r="AI3" s="107">
        <f t="shared" si="1"/>
        <v>35</v>
      </c>
      <c r="AJ3" s="107">
        <f t="shared" si="1"/>
        <v>36</v>
      </c>
      <c r="AK3" s="107">
        <f t="shared" si="1"/>
        <v>37</v>
      </c>
      <c r="AL3" s="107">
        <f t="shared" si="1"/>
        <v>38</v>
      </c>
      <c r="AM3" s="102">
        <f t="shared" si="1"/>
        <v>39</v>
      </c>
      <c r="AN3" s="102">
        <f t="shared" si="1"/>
        <v>40</v>
      </c>
      <c r="AO3" s="102">
        <f t="shared" si="1"/>
        <v>41</v>
      </c>
      <c r="AP3" s="102">
        <f t="shared" si="1"/>
        <v>42</v>
      </c>
      <c r="AQ3" s="102">
        <f t="shared" si="1"/>
        <v>43</v>
      </c>
      <c r="AR3" s="102">
        <f t="shared" si="1"/>
        <v>44</v>
      </c>
      <c r="AS3" s="102">
        <f t="shared" si="1"/>
        <v>45</v>
      </c>
      <c r="AT3" s="107">
        <f t="shared" si="1"/>
        <v>46</v>
      </c>
      <c r="AU3" s="107">
        <f t="shared" si="1"/>
        <v>47</v>
      </c>
      <c r="AV3" s="107">
        <f t="shared" si="1"/>
        <v>48</v>
      </c>
      <c r="AW3" s="107">
        <f t="shared" si="1"/>
        <v>49</v>
      </c>
      <c r="AX3" s="107">
        <f t="shared" si="1"/>
        <v>50</v>
      </c>
      <c r="AY3" s="107">
        <f t="shared" si="1"/>
        <v>51</v>
      </c>
      <c r="AZ3" s="107">
        <f t="shared" si="1"/>
        <v>52</v>
      </c>
      <c r="BA3" s="102">
        <f t="shared" si="1"/>
        <v>53</v>
      </c>
      <c r="BB3" s="102">
        <f t="shared" si="1"/>
        <v>54</v>
      </c>
      <c r="BC3" s="102">
        <f t="shared" si="1"/>
        <v>55</v>
      </c>
      <c r="BD3" s="102">
        <f t="shared" si="1"/>
        <v>56</v>
      </c>
      <c r="BE3" s="102">
        <f t="shared" si="1"/>
        <v>57</v>
      </c>
      <c r="BF3" s="102">
        <f t="shared" si="1"/>
        <v>58</v>
      </c>
      <c r="BG3" s="102">
        <f t="shared" si="1"/>
        <v>59</v>
      </c>
      <c r="BH3" s="107">
        <f t="shared" si="1"/>
        <v>60</v>
      </c>
      <c r="BI3" s="107">
        <f t="shared" si="1"/>
        <v>61</v>
      </c>
      <c r="BJ3" s="107">
        <f t="shared" si="1"/>
        <v>62</v>
      </c>
      <c r="BK3" s="107">
        <f t="shared" si="1"/>
        <v>63</v>
      </c>
      <c r="BL3" s="107">
        <f t="shared" si="1"/>
        <v>64</v>
      </c>
      <c r="BM3" s="107">
        <f t="shared" si="1"/>
        <v>65</v>
      </c>
      <c r="BN3" s="107">
        <f t="shared" si="1"/>
        <v>66</v>
      </c>
      <c r="BO3" s="102">
        <f t="shared" si="1"/>
        <v>67</v>
      </c>
      <c r="BP3" s="102">
        <f t="shared" si="1"/>
        <v>68</v>
      </c>
      <c r="BQ3" s="102">
        <f t="shared" si="1"/>
        <v>69</v>
      </c>
      <c r="BR3" s="102">
        <f t="shared" si="1"/>
        <v>70</v>
      </c>
      <c r="BS3" s="102">
        <f>+BN3+1</f>
        <v>67</v>
      </c>
      <c r="BT3" s="102">
        <f t="shared" ref="BT3:CE3" si="2">+BS3+1</f>
        <v>68</v>
      </c>
      <c r="BU3" s="102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2">
        <f t="shared" si="2"/>
        <v>77</v>
      </c>
      <c r="CD3" s="102">
        <f t="shared" si="2"/>
        <v>78</v>
      </c>
      <c r="CE3" s="102">
        <f t="shared" si="2"/>
        <v>79</v>
      </c>
    </row>
    <row r="5" spans="1:83" x14ac:dyDescent="0.3">
      <c r="A5" s="41">
        <v>300</v>
      </c>
      <c r="B5" s="42" t="s">
        <v>0</v>
      </c>
      <c r="C5" s="42">
        <f>+'2022 Nto driftsutg'!W5</f>
        <v>699827</v>
      </c>
      <c r="D5" s="55">
        <f>IF('2022 Lønnsgr arbavg tjeneste'!D5&lt;100,0,(C5/$C$17)*'2022 Revekting utgiftsbehov'!D5*'2022 Arbavg tjeneste'!D5/'2022 Lønnsgr arbavg tjeneste'!D5)</f>
        <v>1.3085412084785114E-2</v>
      </c>
      <c r="E5" s="5">
        <f>IF('2022 Lønnsgr arbavg tjeneste'!D5&lt;100,0,C5)</f>
        <v>699827</v>
      </c>
      <c r="F5" s="55">
        <f>'2022 Revekting utgiftsbehov'!D5*E5/$E$17</f>
        <v>9.1616837548125704E-2</v>
      </c>
      <c r="G5" s="55">
        <f>'2022 Revekting utgiftsbehov'!D5/$F$17</f>
        <v>0.71022897472910607</v>
      </c>
      <c r="H5" s="55">
        <f>IF(E5=0,0,(E5/$E$17)*G5*'2022 Arbavg tjeneste'!D5/'2022 Lønnsgr arbavg tjeneste'!D5)</f>
        <v>1.3085183899857349E-2</v>
      </c>
      <c r="I5" s="5">
        <f>IF(E5=0,0,'2022 Nto driftsutg landet'!$C$5*'2022 Lønnsand og arbavg landet'!$D$6*('2022 Arbavg tjeneste'!D5/'2022 Lønnsgr arbavg tjeneste'!D5-$H$17)*'2022 Revekting utgiftsbehov'!D5)</f>
        <v>40.035394696705019</v>
      </c>
      <c r="J5" s="5">
        <f t="shared" ref="J5:J15" si="3">I5*C5/1000</f>
        <v>28017.850164410982</v>
      </c>
      <c r="K5" s="55">
        <f>IF('2022 Lønnsgr arbavg tjeneste'!E5&lt;100,0,(C5/$C$17)*'2022 Revekting utgiftsbehov'!E5*'2022 Arbavg tjeneste'!E5/'2022 Lønnsgr arbavg tjeneste'!E5)</f>
        <v>0</v>
      </c>
      <c r="L5" s="5">
        <f>IF('2022 Lønnsgr arbavg tjeneste'!E5&lt;100,0,C5)</f>
        <v>0</v>
      </c>
      <c r="M5" s="55">
        <f>'2022 Revekting utgiftsbehov'!E5*L5/$L$17</f>
        <v>0</v>
      </c>
      <c r="N5" s="55">
        <f>'2022 Revekting utgiftsbehov'!E5/$M$17</f>
        <v>0.24507051249090814</v>
      </c>
      <c r="O5" s="55">
        <f>IF(L5=0,0,(L5/$L$17)*N5*'2022 Arbavg tjeneste'!E5/'2022 Lønnsgr arbavg tjeneste'!E5)</f>
        <v>0</v>
      </c>
      <c r="P5" s="5">
        <f>IF(L5=0,0,'2022 Nto driftsutg landet'!$C$6*'2022 Lønnsand og arbavg landet'!$D$7*('2022 Arbavg tjeneste'!E5/'2022 Lønnsgr arbavg tjeneste'!E5-$O$17)*'2022 Revekting utgiftsbehov'!E5)</f>
        <v>0</v>
      </c>
      <c r="Q5" s="5">
        <f t="shared" ref="Q5:Q15" si="4">P5*C5/1000</f>
        <v>0</v>
      </c>
      <c r="R5" s="55">
        <f>IF('2022 Lønnsgr arbavg tjeneste'!F5&lt;100,0,(C5/$C$17)*'2022 Revekting utgiftsbehov'!F5*'2022 Arbavg tjeneste'!F5/'2022 Lønnsgr arbavg tjeneste'!F5)</f>
        <v>3.1731460091218286E-2</v>
      </c>
      <c r="S5" s="5">
        <f>IF('2022 Lønnsgr arbavg tjeneste'!F5&lt;100,0,C5)</f>
        <v>699827</v>
      </c>
      <c r="T5" s="55">
        <f>'2022 Revekting utgiftsbehov'!F5*S5/$S$17</f>
        <v>0.2262947652718777</v>
      </c>
      <c r="U5" s="55">
        <f>'2022 Revekting utgiftsbehov'!F5/$T$17</f>
        <v>1.7537843255647443</v>
      </c>
      <c r="V5" s="55">
        <f>IF(S5=0,0,(S5/$S$17)*U5*'2022 Arbavg tjeneste'!F5/'2022 Lønnsgr arbavg tjeneste'!F5)</f>
        <v>3.1722037190278454E-2</v>
      </c>
      <c r="W5" s="5">
        <f>IF(S5=0,0,'2022 Nto driftsutg landet'!$C$7*'2022 Lønnsand og arbavg landet'!$D$8*('2022 Arbavg tjeneste'!F5/'2022 Lønnsgr arbavg tjeneste'!F5-$V$17)*'2022 Revekting utgiftsbehov'!F5)</f>
        <v>0.36668194843930335</v>
      </c>
      <c r="X5" s="5">
        <f t="shared" ref="X5:X15" si="5">W5*C5/1000</f>
        <v>256.61392793043234</v>
      </c>
      <c r="Y5" s="55">
        <f>IF('2022 Lønnsgr arbavg tjeneste'!G5&lt;100,0,(C5/$C$17)*'2022 Revekting utgiftsbehov'!G5*'2022 Arbavg tjeneste'!G5/'2022 Lønnsgr arbavg tjeneste'!G5)</f>
        <v>0</v>
      </c>
      <c r="Z5" s="5">
        <f>IF('2022 Lønnsgr arbavg tjeneste'!G5&lt;100,0,C5)</f>
        <v>0</v>
      </c>
      <c r="AA5" s="55">
        <f>'2022 Revekting utgiftsbehov'!G5*Z5/$Z$17</f>
        <v>0</v>
      </c>
      <c r="AB5" s="55">
        <f>'2022 Revekting utgiftsbehov'!G5/$AA$17</f>
        <v>7.3095106325818024E-4</v>
      </c>
      <c r="AC5" s="55">
        <f>IF(Z5=0,0,(Z5/$Z$17)*AB5*'2022 Arbavg tjeneste'!G5/'2022 Lønnsgr arbavg tjeneste'!G5)</f>
        <v>0</v>
      </c>
      <c r="AD5" s="5">
        <f>IF(Z5=0,0,'2022 Nto driftsutg landet'!$C$8*'2022 Lønnsand og arbavg landet'!$D$9*('2022 Arbavg tjeneste'!G5/'2022 Lønnsgr arbavg tjeneste'!G5-$AC$17)*'2022 Revekting utgiftsbehov'!G5)</f>
        <v>0</v>
      </c>
      <c r="AE5" s="5">
        <f t="shared" ref="AE5:AE15" si="6">+AD5*$C5/1000</f>
        <v>0</v>
      </c>
      <c r="AF5" s="55">
        <f>IF('2022 Lønnsgr arbavg tjeneste'!H5&lt;100,0,(C5/$C$17)*'2022 Revekting utgiftsbehov'!H5*'2022 Arbavg tjeneste'!H5/'2022 Lønnsgr arbavg tjeneste'!H5)</f>
        <v>1.5438991320469671E-2</v>
      </c>
      <c r="AG5" s="5">
        <f>IF('2022 Lønnsgr arbavg tjeneste'!H5&lt;100,0,C5)</f>
        <v>699827</v>
      </c>
      <c r="AH5" s="55">
        <f>'2022 Revekting utgiftsbehov'!H5*AG5/$AG$17</f>
        <v>0.11283410019251762</v>
      </c>
      <c r="AI5" s="55">
        <f>'2022 Revekting utgiftsbehov'!H5/$AH$17</f>
        <v>0.87475592580140082</v>
      </c>
      <c r="AJ5" s="55">
        <f>IF(AG5=0,0,(AG5/$AG$17)*AI5*'2022 Arbavg tjeneste'!H5/'2022 Lønnsgr arbavg tjeneste'!H5)</f>
        <v>1.5439555167993948E-2</v>
      </c>
      <c r="AK5" s="5">
        <f>IF(AG5=0,0,'2022 Nto driftsutg landet'!$C$9*'2022 Lønnsand og arbavg landet'!$D$10*('2022 Arbavg tjeneste'!H5/'2022 Lønnsgr arbavg tjeneste'!H5-$AJ$17)*'2022 Revekting utgiftsbehov'!H5)</f>
        <v>2.9807491008090752</v>
      </c>
      <c r="AL5" s="5">
        <f t="shared" ref="AL5:AL15" si="7">+AK5*$C5/1000</f>
        <v>2086.0087009719127</v>
      </c>
      <c r="AM5" s="55">
        <f>IF('2022 Lønnsgr arbavg tjeneste'!K5&lt;100,0,(C5/$C$17)*'2022 Arbavg tjeneste'!K5/'2022 Lønnsgr arbavg tjeneste'!K5)</f>
        <v>2.285116266226259E-2</v>
      </c>
      <c r="AN5" s="5">
        <f>IF('2022 Lønnsgr arbavg tjeneste'!K5&lt;100,0,C5)</f>
        <v>699827</v>
      </c>
      <c r="AO5" s="55">
        <f t="shared" ref="AO5:AO15" si="8">AN5/$AN$17</f>
        <v>0.12899394868826805</v>
      </c>
      <c r="AP5" s="55">
        <f t="shared" ref="AP5:AP15" si="9">1/$AH$17</f>
        <v>1.0000365210079192</v>
      </c>
      <c r="AQ5" s="55">
        <f>IF(AN5=0,0,(AN5/$AN$17)*AP5*'2022 Arbavg tjeneste'!K5/'2022 Lønnsgr arbavg tjeneste'!K5)</f>
        <v>2.2851997209755143E-2</v>
      </c>
      <c r="AR5" s="5">
        <f>IF(AN5=0,0,'2022 Nto driftsutg landet'!$C$23*'2022 Lønnsand og arbavg landet'!$D$13*('2022 Arbavg tjeneste'!K5/'2022 Lønnsgr arbavg tjeneste'!K5-$AQ$17))</f>
        <v>25.360387487953385</v>
      </c>
      <c r="AS5" s="5">
        <f t="shared" ref="AS5:AS15" si="10">+AR5*$C5/1000</f>
        <v>17747.883894531955</v>
      </c>
      <c r="AT5" s="55">
        <f>IF('2022 Lønnsgr arbavg tjeneste'!L5&lt;100,0,(C5/$C$17)*'2022 Arbavg tjeneste'!L5/'2022 Lønnsgr arbavg tjeneste'!L5)</f>
        <v>0</v>
      </c>
      <c r="AU5" s="5">
        <f>IF('2022 Lønnsgr arbavg tjeneste'!L5&lt;100,0,C5)</f>
        <v>0</v>
      </c>
      <c r="AV5" s="55">
        <f t="shared" ref="AV5:AV15" si="11">AU5/$AU$17</f>
        <v>0</v>
      </c>
      <c r="AW5" s="55">
        <f t="shared" ref="AW5:AW15" si="12">1/$AV$17</f>
        <v>1</v>
      </c>
      <c r="AX5" s="55">
        <f>IF(AU5=0,0,(AU5/$AU$17)*AW5*'2022 Arbavg tjeneste'!L5/'2022 Lønnsgr arbavg tjeneste'!L5)</f>
        <v>0</v>
      </c>
      <c r="AY5" s="5">
        <f>IF(AU5=0,0,'2022 Nto driftsutg landet'!$C$24*'2022 Lønnsand og arbavg landet'!$D$14*('2022 Arbavg tjeneste'!L5/'2022 Lønnsgr arbavg tjeneste'!L5-$AX$17))</f>
        <v>0</v>
      </c>
      <c r="AZ5" s="5">
        <f t="shared" ref="AZ5:AZ15" si="13">+AY5*$C5/1000</f>
        <v>0</v>
      </c>
      <c r="BA5" s="55">
        <f>IF('2022 Lønnsgr arbavg tjeneste'!M5&lt;100,0,(C5/$C$17)*'2022 Arbavg tjeneste'!M5/'2022 Lønnsgr arbavg tjeneste'!M5)</f>
        <v>1.7709532370842825E-2</v>
      </c>
      <c r="BB5" s="5">
        <f>IF('2022 Lønnsgr arbavg tjeneste'!M5&lt;100,0,C5)</f>
        <v>699827</v>
      </c>
      <c r="BC5" s="55">
        <f t="shared" ref="BC5:BC15" si="14">BB5/$BB$17</f>
        <v>0.12899394868826805</v>
      </c>
      <c r="BD5" s="55">
        <f t="shared" ref="BD5:BD15" si="15">1/$BC$17</f>
        <v>1</v>
      </c>
      <c r="BE5" s="55">
        <f>IF(BB5=0,0,(BB5/$BB$17)*BD5*'2022 Arbavg tjeneste'!M5/'2022 Lønnsgr arbavg tjeneste'!M5)</f>
        <v>1.7709532370842825E-2</v>
      </c>
      <c r="BF5" s="5">
        <f>IF(BB5=0,0,'2022 Nto driftsutg landet'!$C$25*'2022 Lønnsand og arbavg landet'!$D$15*('2022 Arbavg tjeneste'!M5/'2022 Lønnsgr arbavg tjeneste'!M5-$BE$17))</f>
        <v>-2.5737700242690887E-2</v>
      </c>
      <c r="BG5" s="5">
        <f t="shared" ref="BG5:BG15" si="16">+BF5*$C5/1000</f>
        <v>-18.011937547741635</v>
      </c>
      <c r="BH5" s="55">
        <f>IF('2022 Lønnsgr arbavg tjeneste'!N5&lt;100,0,(C5/$C$17)*'2022 Arbavg tjeneste'!N5/'2022 Lønnsgr arbavg tjeneste'!N5)</f>
        <v>1.7481477688585916E-2</v>
      </c>
      <c r="BI5" s="5">
        <f>IF('2022 Lønnsgr arbavg tjeneste'!N5&lt;100,0,C5)</f>
        <v>699827</v>
      </c>
      <c r="BJ5" s="55">
        <f t="shared" ref="BJ5:BJ15" si="17">BI5/$BI$17</f>
        <v>0.12899394868826805</v>
      </c>
      <c r="BK5" s="55">
        <f t="shared" ref="BK5:BK15" si="18">1/$BJ$17</f>
        <v>1</v>
      </c>
      <c r="BL5" s="55">
        <f>IF(BI5=0,0,(BI5/$BI$17)*BK5*'2022 Arbavg tjeneste'!N5/'2022 Lønnsgr arbavg tjeneste'!N5)</f>
        <v>1.7481477688585916E-2</v>
      </c>
      <c r="BM5" s="5">
        <f>IF(BI5=0,0,'2022 Nto driftsutg landet'!$C$26*'2022 Lønnsand og arbavg landet'!$D$16*('2022 Arbavg tjeneste'!N5/'2022 Lønnsgr arbavg tjeneste'!N5-$BL$17))</f>
        <v>0.16628224968420138</v>
      </c>
      <c r="BN5" s="5">
        <f t="shared" ref="BN5:BN15" si="19">+BM5*$C5/1000</f>
        <v>116.3688079497456</v>
      </c>
      <c r="BO5" s="55">
        <f>IF('2022 Lønnsgr arbavg tjeneste'!O5&lt;100,0,(C5/$C$17)*'2022 Arbavg tjeneste'!O5/'2022 Lønnsgr arbavg tjeneste'!O5)</f>
        <v>0</v>
      </c>
      <c r="BP5" s="5">
        <f>IF('2022 Lønnsgr arbavg tjeneste'!O5&lt;100,0,C5)</f>
        <v>0</v>
      </c>
      <c r="BQ5" s="55">
        <f t="shared" ref="BQ5:BQ15" si="20">BP5/$BP$17</f>
        <v>0</v>
      </c>
      <c r="BR5" s="55">
        <f t="shared" ref="BR5:BR15" si="21">1/$BQ$17</f>
        <v>1</v>
      </c>
      <c r="BS5" s="55">
        <f>IF(BP5=0,0,(BP5/$BP$17)*BR5*'2022 Arbavg tjeneste'!O5/'2022 Lønnsgr arbavg tjeneste'!O5)</f>
        <v>0</v>
      </c>
      <c r="BT5" s="5">
        <f>IF(BP5=0,0,'2022 Nto driftsutg landet'!$C$27*'2022 Lønnsand og arbavg landet'!$D$17*('2022 Arbavg tjeneste'!O5/'2022 Lønnsgr arbavg tjeneste'!O5-$BS$17))</f>
        <v>0</v>
      </c>
      <c r="BU5" s="5">
        <f t="shared" ref="BU5:BU15" si="22">+BT5*$C5/1000</f>
        <v>0</v>
      </c>
      <c r="BV5" s="55">
        <f>IF('2022 Lønnsgr arbavg tjeneste'!P5&lt;100,0,(C5/$C$17)*'2022 Arbavg tjeneste'!P5/'2022 Lønnsgr arbavg tjeneste'!P5)</f>
        <v>0</v>
      </c>
      <c r="BW5" s="5">
        <f>IF('2022 Lønnsgr arbavg tjeneste'!P5&lt;100,0,C5)</f>
        <v>0</v>
      </c>
      <c r="BX5" s="55">
        <f t="shared" ref="BX5:BX15" si="23">BW5/$BW$17</f>
        <v>0</v>
      </c>
      <c r="BY5" s="55">
        <f t="shared" ref="BY5:BY15" si="24">1/$BX$17</f>
        <v>1</v>
      </c>
      <c r="BZ5" s="55">
        <f>IF(BW5=0,0,(BW5/$BW$17)*BY5*'2022 Arbavg tjeneste'!P5/'2022 Lønnsgr arbavg tjeneste'!P5)</f>
        <v>0</v>
      </c>
      <c r="CA5" s="5">
        <f>IF(BW5=0,0,'2022 Nto driftsutg landet'!$C$28*'2022 Lønnsand og arbavg landet'!$D$18*('2022 Arbavg tjeneste'!P5/'2022 Lønnsgr arbavg tjeneste'!P5-$BZ$17))</f>
        <v>0</v>
      </c>
      <c r="CB5" s="5">
        <f t="shared" ref="CB5:CB15" si="25">+CA5*$C5/1000</f>
        <v>0</v>
      </c>
      <c r="CC5" s="5"/>
      <c r="CD5" s="5"/>
      <c r="CE5" s="5"/>
    </row>
    <row r="6" spans="1:83" x14ac:dyDescent="0.3">
      <c r="A6" s="41">
        <v>1100</v>
      </c>
      <c r="B6" s="42" t="s">
        <v>139</v>
      </c>
      <c r="C6" s="42">
        <f>+'2022 Nto driftsutg'!W6</f>
        <v>485797</v>
      </c>
      <c r="D6" s="55">
        <f>IF('2022 Lønnsgr arbavg tjeneste'!D6&lt;100,0,(C6/$C$17)*'2022 Revekting utgiftsbehov'!D6*'2022 Arbavg tjeneste'!D6/'2022 Lønnsgr arbavg tjeneste'!D6)</f>
        <v>1.3412634339897417E-2</v>
      </c>
      <c r="E6" s="5">
        <f>IF('2022 Lønnsgr arbavg tjeneste'!D6&lt;100,0,C6)</f>
        <v>485797</v>
      </c>
      <c r="F6" s="55">
        <f>'2022 Revekting utgiftsbehov'!D6*E6/$E$17</f>
        <v>9.5856192846394739E-2</v>
      </c>
      <c r="G6" s="55">
        <f>'2022 Revekting utgiftsbehov'!D6/$F$17</f>
        <v>1.0704814124959241</v>
      </c>
      <c r="H6" s="55">
        <f>IF(E6=0,0,(E6/$E$17)*G6*'2022 Arbavg tjeneste'!D6/'2022 Lønnsgr arbavg tjeneste'!D6)</f>
        <v>1.3412400448830162E-2</v>
      </c>
      <c r="I6" s="5">
        <f>IF(E6=0,0,'2022 Nto driftsutg landet'!$C$5*'2022 Lønnsand og arbavg landet'!$D$6*('2022 Arbavg tjeneste'!D6/'2022 Lønnsgr arbavg tjeneste'!D6-$H$17)*'2022 Revekting utgiftsbehov'!D6)</f>
        <v>48.167278581730507</v>
      </c>
      <c r="J6" s="5">
        <f t="shared" si="3"/>
        <v>23399.519433168938</v>
      </c>
      <c r="K6" s="55">
        <f>IF('2022 Lønnsgr arbavg tjeneste'!E6&lt;100,0,(C6/$C$17)*'2022 Revekting utgiftsbehov'!E6*'2022 Arbavg tjeneste'!E6/'2022 Lønnsgr arbavg tjeneste'!E6)</f>
        <v>1.0191021076683548E-2</v>
      </c>
      <c r="L6" s="5">
        <f>IF('2022 Lønnsgr arbavg tjeneste'!E6&lt;100,0,C6)</f>
        <v>485797</v>
      </c>
      <c r="M6" s="55">
        <f>'2022 Revekting utgiftsbehov'!E6*L6/$L$17</f>
        <v>8.3006101416091563E-2</v>
      </c>
      <c r="N6" s="55">
        <f>'2022 Revekting utgiftsbehov'!E6/$M$17</f>
        <v>0.72810241445037605</v>
      </c>
      <c r="O6" s="55">
        <f>IF(L6=0,0,(L6/$L$17)*N6*'2022 Arbavg tjeneste'!E6/'2022 Lønnsgr arbavg tjeneste'!E6)</f>
        <v>1.0550943118038558E-2</v>
      </c>
      <c r="P6" s="5">
        <f>IF(L6=0,0,'2022 Nto driftsutg landet'!$C$6*'2022 Lønnsand og arbavg landet'!$D$7*('2022 Arbavg tjeneste'!E6/'2022 Lønnsgr arbavg tjeneste'!E6-$O$17)*'2022 Revekting utgiftsbehov'!E6)</f>
        <v>-9.7444895979307091</v>
      </c>
      <c r="Q6" s="5">
        <f t="shared" si="4"/>
        <v>-4733.8438132059446</v>
      </c>
      <c r="R6" s="55">
        <f>IF('2022 Lønnsgr arbavg tjeneste'!F6&lt;100,0,(C6/$C$17)*'2022 Revekting utgiftsbehov'!F6*'2022 Arbavg tjeneste'!F6/'2022 Lønnsgr arbavg tjeneste'!F6)</f>
        <v>1.2869478775421666E-2</v>
      </c>
      <c r="S6" s="5">
        <f>IF('2022 Lønnsgr arbavg tjeneste'!F6&lt;100,0,C6)</f>
        <v>485797</v>
      </c>
      <c r="T6" s="55">
        <f>'2022 Revekting utgiftsbehov'!F6*S6/$S$17</f>
        <v>9.1437083894176693E-2</v>
      </c>
      <c r="U6" s="55">
        <f>'2022 Revekting utgiftsbehov'!F6/$T$17</f>
        <v>1.020845242111033</v>
      </c>
      <c r="V6" s="55">
        <f>IF(S6=0,0,(S6/$S$17)*U6*'2022 Arbavg tjeneste'!F6/'2022 Lønnsgr arbavg tjeneste'!F6)</f>
        <v>1.2865657084793519E-2</v>
      </c>
      <c r="W6" s="5">
        <f>IF(S6=0,0,'2022 Nto driftsutg landet'!$C$7*'2022 Lønnsand og arbavg landet'!$D$8*('2022 Arbavg tjeneste'!F6/'2022 Lønnsgr arbavg tjeneste'!F6-$V$17)*'2022 Revekting utgiftsbehov'!F6)</f>
        <v>0.23632731856414171</v>
      </c>
      <c r="X6" s="5">
        <f t="shared" si="5"/>
        <v>114.80710237650435</v>
      </c>
      <c r="Y6" s="55">
        <f>IF('2022 Lønnsgr arbavg tjeneste'!G6&lt;100,0,(C6/$C$17)*'2022 Revekting utgiftsbehov'!G6*'2022 Arbavg tjeneste'!G6/'2022 Lønnsgr arbavg tjeneste'!G6)</f>
        <v>9.5111210183963513E-3</v>
      </c>
      <c r="Z6" s="5">
        <f>IF('2022 Lønnsgr arbavg tjeneste'!G6&lt;100,0,C6)</f>
        <v>485797</v>
      </c>
      <c r="AA6" s="55">
        <f>'2022 Revekting utgiftsbehov'!G6*Z6/$Z$17</f>
        <v>0.15220471566903995</v>
      </c>
      <c r="AB6" s="55">
        <f>'2022 Revekting utgiftsbehov'!G6/$AA$17</f>
        <v>0.45785301083410479</v>
      </c>
      <c r="AC6" s="55">
        <f>IF(Z6=0,0,(Z6/$Z$17)*AB6*'2022 Arbavg tjeneste'!G6/'2022 Lønnsgr arbavg tjeneste'!G6)</f>
        <v>1.3200114940624714E-2</v>
      </c>
      <c r="AD6" s="5">
        <f>IF(Z6=0,0,'2022 Nto driftsutg landet'!$C$8*'2022 Lønnsand og arbavg landet'!$D$9*('2022 Arbavg tjeneste'!G6/'2022 Lønnsgr arbavg tjeneste'!G6-$AC$17)*'2022 Revekting utgiftsbehov'!G6)</f>
        <v>0.22632913498877458</v>
      </c>
      <c r="AE6" s="5">
        <f t="shared" si="6"/>
        <v>109.95001479014172</v>
      </c>
      <c r="AF6" s="55">
        <f>IF('2022 Lønnsgr arbavg tjeneste'!H6&lt;100,0,(C6/$C$17)*'2022 Revekting utgiftsbehov'!H6*'2022 Arbavg tjeneste'!H6/'2022 Lønnsgr arbavg tjeneste'!H6)</f>
        <v>1.3521825044953554E-2</v>
      </c>
      <c r="AG6" s="5">
        <f>IF('2022 Lønnsgr arbavg tjeneste'!H6&lt;100,0,C6)</f>
        <v>485797</v>
      </c>
      <c r="AH6" s="55">
        <f>'2022 Revekting utgiftsbehov'!H6*AG6/$AG$17</f>
        <v>9.6355736545718454E-2</v>
      </c>
      <c r="AI6" s="55">
        <f>'2022 Revekting utgiftsbehov'!H6/$AH$17</f>
        <v>1.0761181694849329</v>
      </c>
      <c r="AJ6" s="55">
        <f>IF(AG6=0,0,(AG6/$AG$17)*AI6*'2022 Arbavg tjeneste'!H6/'2022 Lønnsgr arbavg tjeneste'!H6)</f>
        <v>1.3522318875633104E-2</v>
      </c>
      <c r="AK6" s="5">
        <f>IF(AG6=0,0,'2022 Nto driftsutg landet'!$C$9*'2022 Lønnsand og arbavg landet'!$D$10*('2022 Arbavg tjeneste'!H6/'2022 Lønnsgr arbavg tjeneste'!H6-$AJ$17)*'2022 Revekting utgiftsbehov'!H6)</f>
        <v>4.9276367175813158</v>
      </c>
      <c r="AL6" s="5">
        <f t="shared" si="7"/>
        <v>2393.8311344908502</v>
      </c>
      <c r="AM6" s="55">
        <f>IF('2022 Lønnsgr arbavg tjeneste'!K6&lt;100,0,(C6/$C$17)*'2022 Arbavg tjeneste'!K6/'2022 Lønnsgr arbavg tjeneste'!K6)</f>
        <v>1.2625915438632696E-2</v>
      </c>
      <c r="AN6" s="5">
        <f>IF('2022 Lønnsgr arbavg tjeneste'!K6&lt;100,0,C6)</f>
        <v>485797</v>
      </c>
      <c r="AO6" s="55">
        <f t="shared" si="8"/>
        <v>8.9543377564618901E-2</v>
      </c>
      <c r="AP6" s="55">
        <f t="shared" si="9"/>
        <v>1.0000365210079192</v>
      </c>
      <c r="AQ6" s="55">
        <f>IF(AN6=0,0,(AN6/$AN$17)*AP6*'2022 Arbavg tjeneste'!K6/'2022 Lønnsgr arbavg tjeneste'!K6)</f>
        <v>1.2626376549790418E-2</v>
      </c>
      <c r="AR6" s="5">
        <f>IF(AN6=0,0,'2022 Nto driftsutg landet'!$C$23*'2022 Lønnsand og arbavg landet'!$D$13*('2022 Arbavg tjeneste'!K6/'2022 Lønnsgr arbavg tjeneste'!K6-$AQ$17))</f>
        <v>8.1071528697258426</v>
      </c>
      <c r="AS6" s="5">
        <f t="shared" si="10"/>
        <v>3938.4305426542051</v>
      </c>
      <c r="AT6" s="55">
        <f>IF('2022 Lønnsgr arbavg tjeneste'!L6&lt;100,0,(C6/$C$17)*'2022 Arbavg tjeneste'!L6/'2022 Lønnsgr arbavg tjeneste'!L6)</f>
        <v>1.2635488892217059E-2</v>
      </c>
      <c r="AU6" s="5">
        <f>IF('2022 Lønnsgr arbavg tjeneste'!L6&lt;100,0,C6)</f>
        <v>485797</v>
      </c>
      <c r="AV6" s="55">
        <f t="shared" si="11"/>
        <v>0.10280454128850988</v>
      </c>
      <c r="AW6" s="55">
        <f t="shared" si="12"/>
        <v>1</v>
      </c>
      <c r="AX6" s="55">
        <f>IF(AU6=0,0,(AU6/$AU$17)*AW6*'2022 Arbavg tjeneste'!L6/'2022 Lønnsgr arbavg tjeneste'!L6)</f>
        <v>1.4506775094372834E-2</v>
      </c>
      <c r="AY6" s="5">
        <f>IF(AU6=0,0,'2022 Nto driftsutg landet'!$C$24*'2022 Lønnsand og arbavg landet'!$D$14*('2022 Arbavg tjeneste'!L6/'2022 Lønnsgr arbavg tjeneste'!L6-$AX$17))</f>
        <v>0.58350560740191337</v>
      </c>
      <c r="AZ6" s="5">
        <f t="shared" si="13"/>
        <v>283.46527355902731</v>
      </c>
      <c r="BA6" s="55">
        <f>IF('2022 Lønnsgr arbavg tjeneste'!M6&lt;100,0,(C6/$C$17)*'2022 Arbavg tjeneste'!M6/'2022 Lønnsgr arbavg tjeneste'!M6)</f>
        <v>1.2666183703854313E-2</v>
      </c>
      <c r="BB6" s="5">
        <f>IF('2022 Lønnsgr arbavg tjeneste'!M6&lt;100,0,C6)</f>
        <v>485797</v>
      </c>
      <c r="BC6" s="55">
        <f t="shared" si="14"/>
        <v>8.9543377564618901E-2</v>
      </c>
      <c r="BD6" s="55">
        <f t="shared" si="15"/>
        <v>1</v>
      </c>
      <c r="BE6" s="55">
        <f>IF(BB6=0,0,(BB6/$BB$17)*BD6*'2022 Arbavg tjeneste'!M6/'2022 Lønnsgr arbavg tjeneste'!M6)</f>
        <v>1.2666183703854313E-2</v>
      </c>
      <c r="BF6" s="5">
        <f>IF(BB6=0,0,'2022 Nto driftsutg landet'!$C$25*'2022 Lønnsand og arbavg landet'!$D$15*('2022 Arbavg tjeneste'!M6/'2022 Lønnsgr arbavg tjeneste'!M6-$BE$17))</f>
        <v>-3.6395769442737598E-2</v>
      </c>
      <c r="BG6" s="5">
        <f t="shared" si="16"/>
        <v>-17.680955607973594</v>
      </c>
      <c r="BH6" s="55">
        <f>IF('2022 Lønnsgr arbavg tjeneste'!N6&lt;100,0,(C6/$C$17)*'2022 Arbavg tjeneste'!N6/'2022 Lønnsgr arbavg tjeneste'!N6)</f>
        <v>1.2724646422289716E-2</v>
      </c>
      <c r="BI6" s="5">
        <f>IF('2022 Lønnsgr arbavg tjeneste'!N6&lt;100,0,C6)</f>
        <v>485797</v>
      </c>
      <c r="BJ6" s="55">
        <f t="shared" si="17"/>
        <v>8.9543377564618901E-2</v>
      </c>
      <c r="BK6" s="55">
        <f t="shared" si="18"/>
        <v>1</v>
      </c>
      <c r="BL6" s="55">
        <f>IF(BI6=0,0,(BI6/$BI$17)*BK6*'2022 Arbavg tjeneste'!N6/'2022 Lønnsgr arbavg tjeneste'!N6)</f>
        <v>1.2724646422289716E-2</v>
      </c>
      <c r="BM6" s="5">
        <f>IF(BI6=0,0,'2022 Nto driftsutg landet'!$C$26*'2022 Lønnsand og arbavg landet'!$D$16*('2022 Arbavg tjeneste'!N6/'2022 Lønnsgr arbavg tjeneste'!N6-$BL$17))</f>
        <v>0.36650425504895967</v>
      </c>
      <c r="BN6" s="5">
        <f t="shared" si="19"/>
        <v>178.04666759001947</v>
      </c>
      <c r="BO6" s="55">
        <f>IF('2022 Lønnsgr arbavg tjeneste'!O6&lt;100,0,(C6/$C$17)*'2022 Arbavg tjeneste'!O6/'2022 Lønnsgr arbavg tjeneste'!O6)</f>
        <v>0</v>
      </c>
      <c r="BP6" s="5">
        <f>IF('2022 Lønnsgr arbavg tjeneste'!O6&lt;100,0,C6)</f>
        <v>0</v>
      </c>
      <c r="BQ6" s="55">
        <f t="shared" si="20"/>
        <v>0</v>
      </c>
      <c r="BR6" s="55">
        <f t="shared" si="21"/>
        <v>1</v>
      </c>
      <c r="BS6" s="55">
        <f>IF(BP6=0,0,(BP6/$BP$17)*BR6*'2022 Arbavg tjeneste'!O6/'2022 Lønnsgr arbavg tjeneste'!O6)</f>
        <v>0</v>
      </c>
      <c r="BT6" s="5">
        <f>IF(BP6=0,0,'2022 Nto driftsutg landet'!$C$27*'2022 Lønnsand og arbavg landet'!$D$17*('2022 Arbavg tjeneste'!O6/'2022 Lønnsgr arbavg tjeneste'!O6-$BS$17))</f>
        <v>0</v>
      </c>
      <c r="BU6" s="5">
        <f t="shared" si="22"/>
        <v>0</v>
      </c>
      <c r="BV6" s="55">
        <f>IF('2022 Lønnsgr arbavg tjeneste'!P6&lt;100,0,(C6/$C$17)*'2022 Arbavg tjeneste'!P6/'2022 Lønnsgr arbavg tjeneste'!P6)</f>
        <v>7.8491882183787109E-3</v>
      </c>
      <c r="BW6" s="5">
        <f>IF('2022 Lønnsgr arbavg tjeneste'!P6&lt;100,0,C6)</f>
        <v>485797</v>
      </c>
      <c r="BX6" s="55">
        <f t="shared" si="23"/>
        <v>0.1439816171861408</v>
      </c>
      <c r="BY6" s="55">
        <f t="shared" si="24"/>
        <v>1</v>
      </c>
      <c r="BZ6" s="55">
        <f>IF(BW6=0,0,(BW6/$BW$17)*BY6*'2022 Arbavg tjeneste'!P6/'2022 Lønnsgr arbavg tjeneste'!P6)</f>
        <v>1.2621132282675024E-2</v>
      </c>
      <c r="CA6" s="5">
        <f>IF(BW6=0,0,'2022 Nto driftsutg landet'!$C$28*'2022 Lønnsand og arbavg landet'!$D$18*('2022 Arbavg tjeneste'!P6/'2022 Lønnsgr arbavg tjeneste'!P6-$BZ$17))</f>
        <v>9.9737599695560123E-3</v>
      </c>
      <c r="CB6" s="5">
        <f t="shared" si="25"/>
        <v>4.8452226719304017</v>
      </c>
      <c r="CC6" s="5"/>
      <c r="CD6" s="5"/>
      <c r="CE6" s="5"/>
    </row>
    <row r="7" spans="1:83" x14ac:dyDescent="0.3">
      <c r="A7" s="41">
        <v>1500</v>
      </c>
      <c r="B7" s="42" t="s">
        <v>140</v>
      </c>
      <c r="C7" s="42">
        <f>+'2022 Nto driftsutg'!W7</f>
        <v>265848</v>
      </c>
      <c r="D7" s="55">
        <f>IF('2022 Lønnsgr arbavg tjeneste'!D7&lt;100,0,(C7/$C$17)*'2022 Revekting utgiftsbehov'!D7*'2022 Arbavg tjeneste'!D7/'2022 Lønnsgr arbavg tjeneste'!D7)</f>
        <v>7.3351059337319006E-3</v>
      </c>
      <c r="E7" s="5">
        <f>IF('2022 Lønnsgr arbavg tjeneste'!D7&lt;100,0,C7)</f>
        <v>265848</v>
      </c>
      <c r="F7" s="55">
        <f>'2022 Revekting utgiftsbehov'!D7*E7/$E$17</f>
        <v>5.458473231657042E-2</v>
      </c>
      <c r="G7" s="55">
        <f>'2022 Revekting utgiftsbehov'!D7/$F$17</f>
        <v>1.1139137651043338</v>
      </c>
      <c r="H7" s="55">
        <f>IF(E7=0,0,(E7/$E$17)*G7*'2022 Arbavg tjeneste'!D7/'2022 Lønnsgr arbavg tjeneste'!D7)</f>
        <v>7.3349780233071624E-3</v>
      </c>
      <c r="I7" s="5">
        <f>IF(E7=0,0,'2022 Nto driftsutg landet'!$C$5*'2022 Lønnsand og arbavg landet'!$D$6*('2022 Arbavg tjeneste'!D7/'2022 Lønnsgr arbavg tjeneste'!D7-$H$17)*'2022 Revekting utgiftsbehov'!D7)</f>
        <v>25.924872759678721</v>
      </c>
      <c r="J7" s="5">
        <f t="shared" si="3"/>
        <v>6892.0755734150689</v>
      </c>
      <c r="K7" s="55">
        <f>IF('2022 Lønnsgr arbavg tjeneste'!E7&lt;100,0,(C7/$C$17)*'2022 Revekting utgiftsbehov'!E7*'2022 Arbavg tjeneste'!E7/'2022 Lønnsgr arbavg tjeneste'!E7)</f>
        <v>2.3891698442437867E-2</v>
      </c>
      <c r="L7" s="5">
        <f>IF('2022 Lønnsgr arbavg tjeneste'!E7&lt;100,0,C7)</f>
        <v>265848</v>
      </c>
      <c r="M7" s="55">
        <f>'2022 Revekting utgiftsbehov'!E7*L7/$L$17</f>
        <v>8.7049336860158935E-2</v>
      </c>
      <c r="N7" s="55">
        <f>'2022 Revekting utgiftsbehov'!E7/$M$17</f>
        <v>1.3953056496005194</v>
      </c>
      <c r="O7" s="55">
        <f>IF(L7=0,0,(L7/$L$17)*N7*'2022 Arbavg tjeneste'!E7/'2022 Lønnsgr arbavg tjeneste'!E7)</f>
        <v>2.4735495036531354E-2</v>
      </c>
      <c r="P7" s="5">
        <f>IF(L7=0,0,'2022 Nto driftsutg landet'!$C$6*'2022 Lønnsand og arbavg landet'!$D$7*('2022 Arbavg tjeneste'!E7/'2022 Lønnsgr arbavg tjeneste'!E7-$O$17)*'2022 Revekting utgiftsbehov'!E7)</f>
        <v>21.580466946048265</v>
      </c>
      <c r="Q7" s="5">
        <f t="shared" si="4"/>
        <v>5737.1239766730396</v>
      </c>
      <c r="R7" s="55">
        <f>IF('2022 Lønnsgr arbavg tjeneste'!F7&lt;100,0,(C7/$C$17)*'2022 Revekting utgiftsbehov'!F7*'2022 Arbavg tjeneste'!F7/'2022 Lønnsgr arbavg tjeneste'!F7)</f>
        <v>8.1014775190691446E-3</v>
      </c>
      <c r="S7" s="5">
        <f>IF('2022 Lønnsgr arbavg tjeneste'!F7&lt;100,0,C7)</f>
        <v>265848</v>
      </c>
      <c r="T7" s="55">
        <f>'2022 Revekting utgiftsbehov'!F7*S7/$S$17</f>
        <v>4.8776376867628694E-2</v>
      </c>
      <c r="U7" s="55">
        <f>'2022 Revekting utgiftsbehov'!F7/$T$17</f>
        <v>0.99510408841508025</v>
      </c>
      <c r="V7" s="55">
        <f>IF(S7=0,0,(S7/$S$17)*U7*'2022 Arbavg tjeneste'!F7/'2022 Lønnsgr arbavg tjeneste'!F7)</f>
        <v>8.0990717230575836E-3</v>
      </c>
      <c r="W7" s="5">
        <f>IF(S7=0,0,'2022 Nto driftsutg landet'!$C$7*'2022 Lønnsand og arbavg landet'!$D$8*('2022 Arbavg tjeneste'!F7/'2022 Lønnsgr arbavg tjeneste'!F7-$V$17)*'2022 Revekting utgiftsbehov'!F7)</f>
        <v>1.307550037037533</v>
      </c>
      <c r="X7" s="5">
        <f t="shared" si="5"/>
        <v>347.60956224635407</v>
      </c>
      <c r="Y7" s="55">
        <f>IF('2022 Lønnsgr arbavg tjeneste'!G7&lt;100,0,(C7/$C$17)*'2022 Revekting utgiftsbehov'!G7*'2022 Arbavg tjeneste'!G7/'2022 Lønnsgr arbavg tjeneste'!G7)</f>
        <v>2.0815877434986391E-2</v>
      </c>
      <c r="Z7" s="5">
        <f>IF('2022 Lønnsgr arbavg tjeneste'!G7&lt;100,0,C7)</f>
        <v>265848</v>
      </c>
      <c r="AA7" s="55">
        <f>'2022 Revekting utgiftsbehov'!G7*Z7/$Z$17</f>
        <v>0.34297415324440217</v>
      </c>
      <c r="AB7" s="55">
        <f>'2022 Revekting utgiftsbehov'!G7/$AA$17</f>
        <v>1.8853013997753012</v>
      </c>
      <c r="AC7" s="55">
        <f>IF(Z7=0,0,(Z7/$Z$17)*AB7*'2022 Arbavg tjeneste'!G7/'2022 Lønnsgr arbavg tjeneste'!G7)</f>
        <v>2.8889546689639892E-2</v>
      </c>
      <c r="AD7" s="5">
        <f>IF(Z7=0,0,'2022 Nto driftsutg landet'!$C$8*'2022 Lønnsand og arbavg landet'!$D$9*('2022 Arbavg tjeneste'!G7/'2022 Lønnsgr arbavg tjeneste'!G7-$AC$17)*'2022 Revekting utgiftsbehov'!G7)</f>
        <v>0.85855146406511118</v>
      </c>
      <c r="AE7" s="5">
        <f t="shared" si="6"/>
        <v>228.24418961878166</v>
      </c>
      <c r="AF7" s="55">
        <f>IF('2022 Lønnsgr arbavg tjeneste'!H7&lt;100,0,(C7/$C$17)*'2022 Revekting utgiftsbehov'!H7*'2022 Arbavg tjeneste'!H7/'2022 Lønnsgr arbavg tjeneste'!H7)</f>
        <v>6.4057384277414562E-3</v>
      </c>
      <c r="AG7" s="5">
        <f>IF('2022 Lønnsgr arbavg tjeneste'!H7&lt;100,0,C7)</f>
        <v>265848</v>
      </c>
      <c r="AH7" s="55">
        <f>'2022 Revekting utgiftsbehov'!H7*AG7/$AG$17</f>
        <v>5.0474067778318865E-2</v>
      </c>
      <c r="AI7" s="55">
        <f>'2022 Revekting utgiftsbehov'!H7/$AH$17</f>
        <v>1.0300827782874455</v>
      </c>
      <c r="AJ7" s="55">
        <f>IF(AG7=0,0,(AG7/$AG$17)*AI7*'2022 Arbavg tjeneste'!H7/'2022 Lønnsgr arbavg tjeneste'!H7)</f>
        <v>6.4059723717653054E-3</v>
      </c>
      <c r="AK7" s="5">
        <f>IF(AG7=0,0,'2022 Nto driftsutg landet'!$C$9*'2022 Lønnsand og arbavg landet'!$D$10*('2022 Arbavg tjeneste'!H7/'2022 Lønnsgr arbavg tjeneste'!H7-$AJ$17)*'2022 Revekting utgiftsbehov'!H7)</f>
        <v>9.3527441869347236E-2</v>
      </c>
      <c r="AL7" s="5">
        <f t="shared" si="7"/>
        <v>24.864083366082223</v>
      </c>
      <c r="AM7" s="55">
        <f>IF('2022 Lønnsgr arbavg tjeneste'!K7&lt;100,0,(C7/$C$17)*'2022 Arbavg tjeneste'!K7/'2022 Lønnsgr arbavg tjeneste'!K7)</f>
        <v>7.0693089497398578E-3</v>
      </c>
      <c r="AN7" s="5">
        <f>IF('2022 Lønnsgr arbavg tjeneste'!K7&lt;100,0,C7)</f>
        <v>265848</v>
      </c>
      <c r="AO7" s="55">
        <f t="shared" si="8"/>
        <v>4.9001800832032323E-2</v>
      </c>
      <c r="AP7" s="55">
        <f t="shared" si="9"/>
        <v>1.0000365210079192</v>
      </c>
      <c r="AQ7" s="55">
        <f>IF(AN7=0,0,(AN7/$AN$17)*AP7*'2022 Arbavg tjeneste'!K7/'2022 Lønnsgr arbavg tjeneste'!K7)</f>
        <v>7.0695671280279933E-3</v>
      </c>
      <c r="AR7" s="5">
        <f>IF(AN7=0,0,'2022 Nto driftsutg landet'!$C$23*'2022 Lønnsand og arbavg landet'!$D$13*('2022 Arbavg tjeneste'!K7/'2022 Lønnsgr arbavg tjeneste'!K7-$AQ$17))</f>
        <v>9.6646451371245483</v>
      </c>
      <c r="AS7" s="5">
        <f t="shared" si="10"/>
        <v>2569.326580414287</v>
      </c>
      <c r="AT7" s="55">
        <f>IF('2022 Lønnsgr arbavg tjeneste'!L7&lt;100,0,(C7/$C$17)*'2022 Arbavg tjeneste'!L7/'2022 Lønnsgr arbavg tjeneste'!L7)</f>
        <v>6.7310779310482231E-3</v>
      </c>
      <c r="AU7" s="5">
        <f>IF('2022 Lønnsgr arbavg tjeneste'!L7&lt;100,0,C7)</f>
        <v>265848</v>
      </c>
      <c r="AV7" s="55">
        <f t="shared" si="11"/>
        <v>5.6258852344637317E-2</v>
      </c>
      <c r="AW7" s="55">
        <f t="shared" si="12"/>
        <v>1</v>
      </c>
      <c r="AX7" s="55">
        <f>IF(AU7=0,0,(AU7/$AU$17)*AW7*'2022 Arbavg tjeneste'!L7/'2022 Lønnsgr arbavg tjeneste'!L7)</f>
        <v>7.7279347496050617E-3</v>
      </c>
      <c r="AY7" s="5">
        <f>IF(AU7=0,0,'2022 Nto driftsutg landet'!$C$24*'2022 Lønnsand og arbavg landet'!$D$14*('2022 Arbavg tjeneste'!L7/'2022 Lønnsgr arbavg tjeneste'!L7-$AX$17))</f>
        <v>0.36946776711311435</v>
      </c>
      <c r="AZ7" s="5">
        <f t="shared" si="13"/>
        <v>98.222266951487228</v>
      </c>
      <c r="BA7" s="55">
        <f>IF('2022 Lønnsgr arbavg tjeneste'!M7&lt;100,0,(C7/$C$17)*'2022 Arbavg tjeneste'!M7/'2022 Lønnsgr arbavg tjeneste'!M7)</f>
        <v>6.732717423226172E-3</v>
      </c>
      <c r="BB7" s="5">
        <f>IF('2022 Lønnsgr arbavg tjeneste'!M7&lt;100,0,C7)</f>
        <v>265848</v>
      </c>
      <c r="BC7" s="55">
        <f t="shared" si="14"/>
        <v>4.9001800832032323E-2</v>
      </c>
      <c r="BD7" s="55">
        <f t="shared" si="15"/>
        <v>1</v>
      </c>
      <c r="BE7" s="55">
        <f>IF(BB7=0,0,(BB7/$BB$17)*BD7*'2022 Arbavg tjeneste'!M7/'2022 Lønnsgr arbavg tjeneste'!M7)</f>
        <v>6.732717423226172E-3</v>
      </c>
      <c r="BF7" s="5">
        <f>IF(BB7=0,0,'2022 Nto driftsutg landet'!$C$25*'2022 Lønnsand og arbavg landet'!$D$15*('2022 Arbavg tjeneste'!M7/'2022 Lønnsgr arbavg tjeneste'!M7-$BE$17))</f>
        <v>-2.6013430920969575E-2</v>
      </c>
      <c r="BG7" s="5">
        <f t="shared" si="16"/>
        <v>-6.9156185834779196</v>
      </c>
      <c r="BH7" s="55">
        <f>IF('2022 Lønnsgr arbavg tjeneste'!N7&lt;100,0,(C7/$C$17)*'2022 Arbavg tjeneste'!N7/'2022 Lønnsgr arbavg tjeneste'!N7)</f>
        <v>6.7065255645129595E-3</v>
      </c>
      <c r="BI7" s="5">
        <f>IF('2022 Lønnsgr arbavg tjeneste'!N7&lt;100,0,C7)</f>
        <v>265848</v>
      </c>
      <c r="BJ7" s="55">
        <f t="shared" si="17"/>
        <v>4.9001800832032323E-2</v>
      </c>
      <c r="BK7" s="55">
        <f t="shared" si="18"/>
        <v>1</v>
      </c>
      <c r="BL7" s="55">
        <f>IF(BI7=0,0,(BI7/$BI$17)*BK7*'2022 Arbavg tjeneste'!N7/'2022 Lønnsgr arbavg tjeneste'!N7)</f>
        <v>6.7065255645129595E-3</v>
      </c>
      <c r="BM7" s="5">
        <f>IF(BI7=0,0,'2022 Nto driftsutg landet'!$C$26*'2022 Lønnsand og arbavg landet'!$D$16*('2022 Arbavg tjeneste'!N7/'2022 Lønnsgr arbavg tjeneste'!N7-$BL$17))</f>
        <v>0.20706556065987702</v>
      </c>
      <c r="BN7" s="5">
        <f t="shared" si="19"/>
        <v>55.047965170306988</v>
      </c>
      <c r="BO7" s="55">
        <f>IF('2022 Lønnsgr arbavg tjeneste'!O7&lt;100,0,(C7/$C$17)*'2022 Arbavg tjeneste'!O7/'2022 Lønnsgr arbavg tjeneste'!O7)</f>
        <v>0</v>
      </c>
      <c r="BP7" s="5">
        <f>IF('2022 Lønnsgr arbavg tjeneste'!O7&lt;100,0,C7)</f>
        <v>0</v>
      </c>
      <c r="BQ7" s="55">
        <f t="shared" si="20"/>
        <v>0</v>
      </c>
      <c r="BR7" s="55">
        <f t="shared" si="21"/>
        <v>1</v>
      </c>
      <c r="BS7" s="55">
        <f>IF(BP7=0,0,(BP7/$BP$17)*BR7*'2022 Arbavg tjeneste'!O7/'2022 Lønnsgr arbavg tjeneste'!O7)</f>
        <v>0</v>
      </c>
      <c r="BT7" s="5">
        <f>IF(BP7=0,0,'2022 Nto driftsutg landet'!$C$27*'2022 Lønnsand og arbavg landet'!$D$17*('2022 Arbavg tjeneste'!O7/'2022 Lønnsgr arbavg tjeneste'!O7-$BS$17))</f>
        <v>0</v>
      </c>
      <c r="BU7" s="5">
        <f t="shared" si="22"/>
        <v>0</v>
      </c>
      <c r="BV7" s="55">
        <f>IF('2022 Lønnsgr arbavg tjeneste'!P7&lt;100,0,(C7/$C$17)*'2022 Arbavg tjeneste'!P7/'2022 Lønnsgr arbavg tjeneste'!P7)</f>
        <v>0</v>
      </c>
      <c r="BW7" s="5">
        <f>IF('2022 Lønnsgr arbavg tjeneste'!P7&lt;100,0,C7)</f>
        <v>0</v>
      </c>
      <c r="BX7" s="55">
        <f t="shared" si="23"/>
        <v>0</v>
      </c>
      <c r="BY7" s="55">
        <f t="shared" si="24"/>
        <v>1</v>
      </c>
      <c r="BZ7" s="55">
        <f>IF(BW7=0,0,(BW7/$BW$17)*BY7*'2022 Arbavg tjeneste'!P7/'2022 Lønnsgr arbavg tjeneste'!P7)</f>
        <v>0</v>
      </c>
      <c r="CA7" s="5">
        <f>IF(BW7=0,0,'2022 Nto driftsutg landet'!$C$28*'2022 Lønnsand og arbavg landet'!$D$18*('2022 Arbavg tjeneste'!P7/'2022 Lønnsgr arbavg tjeneste'!P7-$BZ$17))</f>
        <v>0</v>
      </c>
      <c r="CB7" s="5">
        <f t="shared" si="25"/>
        <v>0</v>
      </c>
      <c r="CC7" s="5"/>
      <c r="CD7" s="5"/>
      <c r="CE7" s="5"/>
    </row>
    <row r="8" spans="1:83" x14ac:dyDescent="0.3">
      <c r="A8" s="41">
        <v>1800</v>
      </c>
      <c r="B8" s="42" t="s">
        <v>141</v>
      </c>
      <c r="C8" s="42">
        <f>+'2022 Nto driftsutg'!W8</f>
        <v>240190</v>
      </c>
      <c r="D8" s="55">
        <f>IF('2022 Lønnsgr arbavg tjeneste'!D8&lt;100,0,(C8/$C$17)*'2022 Revekting utgiftsbehov'!D8*'2022 Arbavg tjeneste'!D8/'2022 Lønnsgr arbavg tjeneste'!D8)</f>
        <v>2.6888792012073432E-3</v>
      </c>
      <c r="E8" s="5">
        <f>IF('2022 Lønnsgr arbavg tjeneste'!D8&lt;100,0,C8)</f>
        <v>240190</v>
      </c>
      <c r="F8" s="55">
        <f>'2022 Revekting utgiftsbehov'!D8*E8/$E$17</f>
        <v>4.7546162732417005E-2</v>
      </c>
      <c r="G8" s="55">
        <f>'2022 Revekting utgiftsbehov'!D8/$F$17</f>
        <v>1.0739259424287657</v>
      </c>
      <c r="H8" s="55">
        <f>IF(E8=0,0,(E8/$E$17)*G8*'2022 Arbavg tjeneste'!D8/'2022 Lønnsgr arbavg tjeneste'!D8)</f>
        <v>2.6888323122211712E-3</v>
      </c>
      <c r="I8" s="5">
        <f>IF(E8=0,0,'2022 Nto driftsutg landet'!$C$5*'2022 Lønnsand og arbavg landet'!$D$6*('2022 Arbavg tjeneste'!D8/'2022 Lønnsgr arbavg tjeneste'!D8-$H$17)*'2022 Revekting utgiftsbehov'!D8)</f>
        <v>-302.46521280612546</v>
      </c>
      <c r="J8" s="5">
        <f t="shared" si="3"/>
        <v>-72649.119463903276</v>
      </c>
      <c r="K8" s="55">
        <f>IF('2022 Lønnsgr arbavg tjeneste'!E8&lt;100,0,(C8/$C$17)*'2022 Revekting utgiftsbehov'!E8*'2022 Arbavg tjeneste'!E8/'2022 Lønnsgr arbavg tjeneste'!E8)</f>
        <v>7.2821346661260328E-3</v>
      </c>
      <c r="L8" s="5">
        <f>IF('2022 Lønnsgr arbavg tjeneste'!E8&lt;100,0,C8)</f>
        <v>240190</v>
      </c>
      <c r="M8" s="55">
        <f>'2022 Revekting utgiftsbehov'!E8*L8/$L$17</f>
        <v>8.9132068324006872E-2</v>
      </c>
      <c r="N8" s="55">
        <f>'2022 Revekting utgiftsbehov'!E8/$M$17</f>
        <v>1.5813075535186731</v>
      </c>
      <c r="O8" s="55">
        <f>IF(L8=0,0,(L8/$L$17)*N8*'2022 Arbavg tjeneste'!E8/'2022 Lønnsgr arbavg tjeneste'!E8)</f>
        <v>7.5393219248641044E-3</v>
      </c>
      <c r="P8" s="5">
        <f>IF(L8=0,0,'2022 Nto driftsutg landet'!$C$6*'2022 Lønnsand og arbavg landet'!$D$7*('2022 Arbavg tjeneste'!E8/'2022 Lønnsgr arbavg tjeneste'!E8-$O$17)*'2022 Revekting utgiftsbehov'!E8)</f>
        <v>-33.516408331879767</v>
      </c>
      <c r="Q8" s="5">
        <f t="shared" si="4"/>
        <v>-8050.3061172342013</v>
      </c>
      <c r="R8" s="55">
        <f>IF('2022 Lønnsgr arbavg tjeneste'!F8&lt;100,0,(C8/$C$17)*'2022 Revekting utgiftsbehov'!F8*'2022 Arbavg tjeneste'!F8/'2022 Lønnsgr arbavg tjeneste'!F8)</f>
        <v>3.4047026854614618E-3</v>
      </c>
      <c r="S8" s="5">
        <f>IF('2022 Lønnsgr arbavg tjeneste'!F8&lt;100,0,C8)</f>
        <v>240190</v>
      </c>
      <c r="T8" s="55">
        <f>'2022 Revekting utgiftsbehov'!F8*S8/$S$17</f>
        <v>4.5178268844721092E-2</v>
      </c>
      <c r="U8" s="55">
        <f>'2022 Revekting utgiftsbehov'!F8/$T$17</f>
        <v>1.0201570465367038</v>
      </c>
      <c r="V8" s="55">
        <f>IF(S8=0,0,(S8/$S$17)*U8*'2022 Arbavg tjeneste'!F8/'2022 Lønnsgr arbavg tjeneste'!F8)</f>
        <v>3.4036916328328581E-3</v>
      </c>
      <c r="W8" s="5">
        <f>IF(S8=0,0,'2022 Nto driftsutg landet'!$C$7*'2022 Lønnsand og arbavg landet'!$D$8*('2022 Arbavg tjeneste'!F8/'2022 Lønnsgr arbavg tjeneste'!F8-$V$17)*'2022 Revekting utgiftsbehov'!F8)</f>
        <v>-2.6124430245731354</v>
      </c>
      <c r="X8" s="5">
        <f t="shared" si="5"/>
        <v>-627.48269007222132</v>
      </c>
      <c r="Y8" s="55">
        <f>IF('2022 Lønnsgr arbavg tjeneste'!G8&lt;100,0,(C8/$C$17)*'2022 Revekting utgiftsbehov'!G8*'2022 Arbavg tjeneste'!G8/'2022 Lønnsgr arbavg tjeneste'!G8)</f>
        <v>1.6814779045169932E-2</v>
      </c>
      <c r="Z8" s="5">
        <f>IF('2022 Lønnsgr arbavg tjeneste'!G8&lt;100,0,C8)</f>
        <v>240190</v>
      </c>
      <c r="AA8" s="55">
        <f>'2022 Revekting utgiftsbehov'!G8*Z8/$Z$17</f>
        <v>0.53934835043623908</v>
      </c>
      <c r="AB8" s="55">
        <f>'2022 Revekting utgiftsbehov'!G8/$AA$17</f>
        <v>3.2814608521916004</v>
      </c>
      <c r="AC8" s="55">
        <f>IF(Z8=0,0,(Z8/$Z$17)*AB8*'2022 Arbavg tjeneste'!G8/'2022 Lønnsgr arbavg tjeneste'!G8)</f>
        <v>2.3336577851143205E-2</v>
      </c>
      <c r="AD8" s="5">
        <f>IF(Z8=0,0,'2022 Nto driftsutg landet'!$C$8*'2022 Lønnsand og arbavg landet'!$D$9*('2022 Arbavg tjeneste'!G8/'2022 Lønnsgr arbavg tjeneste'!G8-$AC$17)*'2022 Revekting utgiftsbehov'!G8)</f>
        <v>-0.60449589512648194</v>
      </c>
      <c r="AE8" s="5">
        <f t="shared" si="6"/>
        <v>-145.1938690504297</v>
      </c>
      <c r="AF8" s="55">
        <f>IF('2022 Lønnsgr arbavg tjeneste'!H8&lt;100,0,(C8/$C$17)*'2022 Revekting utgiftsbehov'!H8*'2022 Arbavg tjeneste'!H8/'2022 Lønnsgr arbavg tjeneste'!H8)</f>
        <v>2.3061951223958999E-3</v>
      </c>
      <c r="AG8" s="5">
        <f>IF('2022 Lønnsgr arbavg tjeneste'!H8&lt;100,0,C8)</f>
        <v>240190</v>
      </c>
      <c r="AH8" s="55">
        <f>'2022 Revekting utgiftsbehov'!H8*AG8/$AG$17</f>
        <v>4.3489173014098839E-2</v>
      </c>
      <c r="AI8" s="55">
        <f>'2022 Revekting utgiftsbehov'!H8/$AH$17</f>
        <v>0.98234365487021258</v>
      </c>
      <c r="AJ8" s="55">
        <f>IF(AG8=0,0,(AG8/$AG$17)*AI8*'2022 Arbavg tjeneste'!H8/'2022 Lønnsgr arbavg tjeneste'!H8)</f>
        <v>2.3062793469662279E-3</v>
      </c>
      <c r="AK8" s="5">
        <f>IF(AG8=0,0,'2022 Nto driftsutg landet'!$C$9*'2022 Lønnsand og arbavg landet'!$D$10*('2022 Arbavg tjeneste'!H8/'2022 Lønnsgr arbavg tjeneste'!H8-$AJ$17)*'2022 Revekting utgiftsbehov'!H8)</f>
        <v>-24.182746927325486</v>
      </c>
      <c r="AL8" s="5">
        <f t="shared" si="7"/>
        <v>-5808.4539844743085</v>
      </c>
      <c r="AM8" s="55">
        <f>IF('2022 Lønnsgr arbavg tjeneste'!K8&lt;100,0,(C8/$C$17)*'2022 Arbavg tjeneste'!K8/'2022 Lønnsgr arbavg tjeneste'!K8)</f>
        <v>3.2959457179482649E-3</v>
      </c>
      <c r="AN8" s="5">
        <f>IF('2022 Lønnsgr arbavg tjeneste'!K8&lt;100,0,C8)</f>
        <v>240190</v>
      </c>
      <c r="AO8" s="55">
        <f t="shared" si="8"/>
        <v>4.4272450956357935E-2</v>
      </c>
      <c r="AP8" s="55">
        <f t="shared" si="9"/>
        <v>1.0000365210079192</v>
      </c>
      <c r="AQ8" s="55">
        <f>IF(AN8=0,0,(AN8/$AN$17)*AP8*'2022 Arbavg tjeneste'!K8/'2022 Lønnsgr arbavg tjeneste'!K8)</f>
        <v>3.2960660892079312E-3</v>
      </c>
      <c r="AR8" s="5">
        <f>IF(AN8=0,0,'2022 Nto driftsutg landet'!$C$23*'2022 Lønnsand og arbavg landet'!$D$13*('2022 Arbavg tjeneste'!K8/'2022 Lønnsgr arbavg tjeneste'!K8-$AQ$17))</f>
        <v>-23.661833435596954</v>
      </c>
      <c r="AS8" s="5">
        <f t="shared" si="10"/>
        <v>-5683.3357728960327</v>
      </c>
      <c r="AT8" s="55">
        <f>IF('2022 Lønnsgr arbavg tjeneste'!L8&lt;100,0,(C8/$C$17)*'2022 Arbavg tjeneste'!L8/'2022 Lønnsgr arbavg tjeneste'!L8)</f>
        <v>3.1526236544361257E-3</v>
      </c>
      <c r="AU8" s="5">
        <f>IF('2022 Lønnsgr arbavg tjeneste'!L8&lt;100,0,C8)</f>
        <v>240190</v>
      </c>
      <c r="AV8" s="55">
        <f t="shared" si="11"/>
        <v>5.0829096869859612E-2</v>
      </c>
      <c r="AW8" s="55">
        <f t="shared" si="12"/>
        <v>1</v>
      </c>
      <c r="AX8" s="55">
        <f>IF(AU8=0,0,(AU8/$AU$17)*AW8*'2022 Arbavg tjeneste'!L8/'2022 Lønnsgr arbavg tjeneste'!L8)</f>
        <v>3.6195198066514989E-3</v>
      </c>
      <c r="AY8" s="5">
        <f>IF(AU8=0,0,'2022 Nto driftsutg landet'!$C$24*'2022 Lønnsand og arbavg landet'!$D$14*('2022 Arbavg tjeneste'!L8/'2022 Lønnsgr arbavg tjeneste'!L8-$AX$17))</f>
        <v>-3.4100664376535703</v>
      </c>
      <c r="AZ8" s="5">
        <f t="shared" si="13"/>
        <v>-819.06385766001108</v>
      </c>
      <c r="BA8" s="55">
        <f>IF('2022 Lønnsgr arbavg tjeneste'!M8&lt;100,0,(C8/$C$17)*'2022 Arbavg tjeneste'!M8/'2022 Lønnsgr arbavg tjeneste'!M8)</f>
        <v>3.0560544540907471E-3</v>
      </c>
      <c r="BB8" s="5">
        <f>IF('2022 Lønnsgr arbavg tjeneste'!M8&lt;100,0,C8)</f>
        <v>240190</v>
      </c>
      <c r="BC8" s="55">
        <f t="shared" si="14"/>
        <v>4.4272450956357935E-2</v>
      </c>
      <c r="BD8" s="55">
        <f t="shared" si="15"/>
        <v>1</v>
      </c>
      <c r="BE8" s="55">
        <f>IF(BB8=0,0,(BB8/$BB$17)*BD8*'2022 Arbavg tjeneste'!M8/'2022 Lønnsgr arbavg tjeneste'!M8)</f>
        <v>3.0560544540907471E-3</v>
      </c>
      <c r="BF8" s="5">
        <f>IF(BB8=0,0,'2022 Nto driftsutg landet'!$C$25*'2022 Lønnsand og arbavg landet'!$D$15*('2022 Arbavg tjeneste'!M8/'2022 Lønnsgr arbavg tjeneste'!M8-$BE$17))</f>
        <v>0.14900685494373869</v>
      </c>
      <c r="BG8" s="5">
        <f t="shared" si="16"/>
        <v>35.789956488936596</v>
      </c>
      <c r="BH8" s="55">
        <f>IF('2022 Lønnsgr arbavg tjeneste'!N8&lt;100,0,(C8/$C$17)*'2022 Arbavg tjeneste'!N8/'2022 Lønnsgr arbavg tjeneste'!N8)</f>
        <v>2.6055862837875729E-3</v>
      </c>
      <c r="BI8" s="5">
        <f>IF('2022 Lønnsgr arbavg tjeneste'!N8&lt;100,0,C8)</f>
        <v>240190</v>
      </c>
      <c r="BJ8" s="55">
        <f t="shared" si="17"/>
        <v>4.4272450956357935E-2</v>
      </c>
      <c r="BK8" s="55">
        <f t="shared" si="18"/>
        <v>1</v>
      </c>
      <c r="BL8" s="55">
        <f>IF(BI8=0,0,(BI8/$BI$17)*BK8*'2022 Arbavg tjeneste'!N8/'2022 Lønnsgr arbavg tjeneste'!N8)</f>
        <v>2.6055862837875729E-3</v>
      </c>
      <c r="BM8" s="5">
        <f>IF(BI8=0,0,'2022 Nto driftsutg landet'!$C$26*'2022 Lønnsand og arbavg landet'!$D$16*('2022 Arbavg tjeneste'!N8/'2022 Lønnsgr arbavg tjeneste'!N8-$BL$17))</f>
        <v>-2.1651373973704655</v>
      </c>
      <c r="BN8" s="5">
        <f t="shared" si="19"/>
        <v>-520.04435147441211</v>
      </c>
      <c r="BO8" s="55">
        <f>IF('2022 Lønnsgr arbavg tjeneste'!O8&lt;100,0,(C8/$C$17)*'2022 Arbavg tjeneste'!O8/'2022 Lønnsgr arbavg tjeneste'!O8)</f>
        <v>0</v>
      </c>
      <c r="BP8" s="5">
        <f>IF('2022 Lønnsgr arbavg tjeneste'!O8&lt;100,0,C8)</f>
        <v>0</v>
      </c>
      <c r="BQ8" s="55">
        <f t="shared" si="20"/>
        <v>0</v>
      </c>
      <c r="BR8" s="55">
        <f t="shared" si="21"/>
        <v>1</v>
      </c>
      <c r="BS8" s="55">
        <f>IF(BP8=0,0,(BP8/$BP$17)*BR8*'2022 Arbavg tjeneste'!O8/'2022 Lønnsgr arbavg tjeneste'!O8)</f>
        <v>0</v>
      </c>
      <c r="BT8" s="5">
        <f>IF(BP8=0,0,'2022 Nto driftsutg landet'!$C$27*'2022 Lønnsand og arbavg landet'!$D$17*('2022 Arbavg tjeneste'!O8/'2022 Lønnsgr arbavg tjeneste'!O8-$BS$17))</f>
        <v>0</v>
      </c>
      <c r="BU8" s="5">
        <f t="shared" si="22"/>
        <v>0</v>
      </c>
      <c r="BV8" s="55">
        <f>IF('2022 Lønnsgr arbavg tjeneste'!P8&lt;100,0,(C8/$C$17)*'2022 Arbavg tjeneste'!P8/'2022 Lønnsgr arbavg tjeneste'!P8)</f>
        <v>0</v>
      </c>
      <c r="BW8" s="5">
        <f>IF('2022 Lønnsgr arbavg tjeneste'!P8&lt;100,0,C8)</f>
        <v>0</v>
      </c>
      <c r="BX8" s="55">
        <f t="shared" si="23"/>
        <v>0</v>
      </c>
      <c r="BY8" s="55">
        <f t="shared" si="24"/>
        <v>1</v>
      </c>
      <c r="BZ8" s="55">
        <f>IF(BW8=0,0,(BW8/$BW$17)*BY8*'2022 Arbavg tjeneste'!P8/'2022 Lønnsgr arbavg tjeneste'!P8)</f>
        <v>0</v>
      </c>
      <c r="CA8" s="5">
        <f>IF(BW8=0,0,'2022 Nto driftsutg landet'!$C$28*'2022 Lønnsand og arbavg landet'!$D$18*('2022 Arbavg tjeneste'!P8/'2022 Lønnsgr arbavg tjeneste'!P8-$BZ$17))</f>
        <v>0</v>
      </c>
      <c r="CB8" s="5">
        <f t="shared" si="25"/>
        <v>0</v>
      </c>
      <c r="CC8" s="5"/>
      <c r="CD8" s="5"/>
      <c r="CE8" s="5"/>
    </row>
    <row r="9" spans="1:83" x14ac:dyDescent="0.3">
      <c r="A9" s="41">
        <v>3000</v>
      </c>
      <c r="B9" s="42" t="s">
        <v>403</v>
      </c>
      <c r="C9" s="42">
        <f>+'2022 Nto driftsutg'!W9</f>
        <v>1269230</v>
      </c>
      <c r="D9" s="55">
        <f>IF('2022 Lønnsgr arbavg tjeneste'!D9&lt;100,0,(C9/$C$17)*'2022 Revekting utgiftsbehov'!D9*'2022 Arbavg tjeneste'!D9/'2022 Lønnsgr arbavg tjeneste'!D9)</f>
        <v>3.3357429833629007E-2</v>
      </c>
      <c r="E9" s="5">
        <f>IF('2022 Lønnsgr arbavg tjeneste'!D9&lt;100,0,C9)</f>
        <v>1269230</v>
      </c>
      <c r="F9" s="55">
        <f>'2022 Revekting utgiftsbehov'!D9*E9/$E$17</f>
        <v>0.23830808992875926</v>
      </c>
      <c r="G9" s="55">
        <f>'2022 Revekting utgiftsbehov'!D9/$F$17</f>
        <v>1.0186200968753083</v>
      </c>
      <c r="H9" s="55">
        <f>IF(E9=0,0,(E9/$E$17)*G9*'2022 Arbavg tjeneste'!D9/'2022 Lønnsgr arbavg tjeneste'!D9)</f>
        <v>3.3356848142913599E-2</v>
      </c>
      <c r="I9" s="5">
        <f>IF(E9=0,0,'2022 Nto driftsutg landet'!$C$5*'2022 Lønnsand og arbavg landet'!$D$6*('2022 Arbavg tjeneste'!D9/'2022 Lønnsgr arbavg tjeneste'!D9-$H$17)*'2022 Revekting utgiftsbehov'!D9)</f>
        <v>46.039351986843485</v>
      </c>
      <c r="J9" s="5">
        <f t="shared" si="3"/>
        <v>58434.526722261355</v>
      </c>
      <c r="K9" s="55">
        <f>IF('2022 Lønnsgr arbavg tjeneste'!E9&lt;100,0,(C9/$C$17)*'2022 Revekting utgiftsbehov'!E9*'2022 Arbavg tjeneste'!E9/'2022 Lønnsgr arbavg tjeneste'!E9)</f>
        <v>4.0172797735445555E-2</v>
      </c>
      <c r="L9" s="5">
        <f>IF('2022 Lønnsgr arbavg tjeneste'!E9&lt;100,0,C9)</f>
        <v>1269230</v>
      </c>
      <c r="M9" s="55">
        <f>'2022 Revekting utgiftsbehov'!E9*L9/$L$17</f>
        <v>0.17230038790699628</v>
      </c>
      <c r="N9" s="55">
        <f>'2022 Revekting utgiftsbehov'!E9/$M$17</f>
        <v>0.5784731549869061</v>
      </c>
      <c r="O9" s="55">
        <f>IF(L9=0,0,(L9/$L$17)*N9*'2022 Arbavg tjeneste'!E9/'2022 Lønnsgr arbavg tjeneste'!E9)</f>
        <v>4.1591603099410998E-2</v>
      </c>
      <c r="P9" s="5">
        <f>IF(L9=0,0,'2022 Nto driftsutg landet'!$C$6*'2022 Lønnsand og arbavg landet'!$D$7*('2022 Arbavg tjeneste'!E9/'2022 Lønnsgr arbavg tjeneste'!E9-$O$17)*'2022 Revekting utgiftsbehov'!E9)</f>
        <v>4.4023882161939829</v>
      </c>
      <c r="Q9" s="5">
        <f t="shared" si="4"/>
        <v>5587.6431956398892</v>
      </c>
      <c r="R9" s="55">
        <f>IF('2022 Lønnsgr arbavg tjeneste'!F9&lt;100,0,(C9/$C$17)*'2022 Revekting utgiftsbehov'!F9*'2022 Arbavg tjeneste'!F9/'2022 Lønnsgr arbavg tjeneste'!F9)</f>
        <v>2.1862643074152782E-2</v>
      </c>
      <c r="S9" s="5">
        <f>IF('2022 Lønnsgr arbavg tjeneste'!F9&lt;100,0,C9)</f>
        <v>1269230</v>
      </c>
      <c r="T9" s="55">
        <f>'2022 Revekting utgiftsbehov'!F9*S9/$S$17</f>
        <v>0.15429464034814858</v>
      </c>
      <c r="U9" s="55">
        <f>'2022 Revekting utgiftsbehov'!F9/$T$17</f>
        <v>0.65933006870940247</v>
      </c>
      <c r="V9" s="55">
        <f>IF(S9=0,0,(S9/$S$17)*U9*'2022 Arbavg tjeneste'!F9/'2022 Lønnsgr arbavg tjeneste'!F9)</f>
        <v>2.1856150794270973E-2</v>
      </c>
      <c r="W9" s="5">
        <f>IF(S9=0,0,'2022 Nto driftsutg landet'!$C$7*'2022 Lønnsand og arbavg landet'!$D$8*('2022 Arbavg tjeneste'!F9/'2022 Lønnsgr arbavg tjeneste'!F9-$V$17)*'2022 Revekting utgiftsbehov'!F9)</f>
        <v>0.17930921546345202</v>
      </c>
      <c r="X9" s="5">
        <f t="shared" si="5"/>
        <v>227.58463554267723</v>
      </c>
      <c r="Y9" s="55">
        <f>IF('2022 Lønnsgr arbavg tjeneste'!G9&lt;100,0,(C9/$C$17)*'2022 Revekting utgiftsbehov'!G9*'2022 Arbavg tjeneste'!G9/'2022 Lønnsgr arbavg tjeneste'!G9)</f>
        <v>0</v>
      </c>
      <c r="Z9" s="5">
        <f>IF('2022 Lønnsgr arbavg tjeneste'!G9&lt;100,0,C9)</f>
        <v>0</v>
      </c>
      <c r="AA9" s="55">
        <f>'2022 Revekting utgiftsbehov'!G9*Z9/$Z$17</f>
        <v>0</v>
      </c>
      <c r="AB9" s="55">
        <f>'2022 Revekting utgiftsbehov'!G9/$AA$17</f>
        <v>4.2651615131101613E-2</v>
      </c>
      <c r="AC9" s="55">
        <f>IF(Z9=0,0,(Z9/$Z$17)*AB9*'2022 Arbavg tjeneste'!G9/'2022 Lønnsgr arbavg tjeneste'!G9)</f>
        <v>0</v>
      </c>
      <c r="AD9" s="5">
        <f>IF(Z9=0,0,'2022 Nto driftsutg landet'!$C$8*'2022 Lønnsand og arbavg landet'!$D$9*('2022 Arbavg tjeneste'!G9/'2022 Lønnsgr arbavg tjeneste'!G9-$AC$17)*'2022 Revekting utgiftsbehov'!G9)</f>
        <v>0</v>
      </c>
      <c r="AE9" s="5">
        <f t="shared" si="6"/>
        <v>0</v>
      </c>
      <c r="AF9" s="55">
        <f>IF('2022 Lønnsgr arbavg tjeneste'!H9&lt;100,0,(C9/$C$17)*'2022 Revekting utgiftsbehov'!H9*'2022 Arbavg tjeneste'!H9/'2022 Lønnsgr arbavg tjeneste'!H9)</f>
        <v>3.3655556614408638E-2</v>
      </c>
      <c r="AG9" s="5">
        <f>IF('2022 Lønnsgr arbavg tjeneste'!H9&lt;100,0,C9)</f>
        <v>1269230</v>
      </c>
      <c r="AH9" s="55">
        <f>'2022 Revekting utgiftsbehov'!H9*AG9/$AG$17</f>
        <v>0.23973341224274555</v>
      </c>
      <c r="AI9" s="55">
        <f>'2022 Revekting utgiftsbehov'!H9/$AH$17</f>
        <v>1.0247677641848623</v>
      </c>
      <c r="AJ9" s="55">
        <f>IF(AG9=0,0,(AG9/$AG$17)*AI9*'2022 Arbavg tjeneste'!H9/'2022 Lønnsgr arbavg tjeneste'!H9)</f>
        <v>3.3656785749258275E-2</v>
      </c>
      <c r="AK9" s="5">
        <f>IF(AG9=0,0,'2022 Nto driftsutg landet'!$C$9*'2022 Lønnsand og arbavg landet'!$D$10*('2022 Arbavg tjeneste'!H9/'2022 Lønnsgr arbavg tjeneste'!H9-$AJ$17)*'2022 Revekting utgiftsbehov'!H9)</f>
        <v>4.7113805853414714</v>
      </c>
      <c r="AL9" s="5">
        <f t="shared" si="7"/>
        <v>5979.8255803329557</v>
      </c>
      <c r="AM9" s="55">
        <f>IF('2022 Lønnsgr arbavg tjeneste'!K9&lt;100,0,(C9/$C$17)*'2022 Arbavg tjeneste'!K9/'2022 Lønnsgr arbavg tjeneste'!K9)</f>
        <v>3.2196614251326833E-2</v>
      </c>
      <c r="AN9" s="5">
        <f>IF('2022 Lønnsgr arbavg tjeneste'!K9&lt;100,0,C9)</f>
        <v>1269230</v>
      </c>
      <c r="AO9" s="55">
        <f t="shared" si="8"/>
        <v>0.23394780351945618</v>
      </c>
      <c r="AP9" s="55">
        <f t="shared" si="9"/>
        <v>1.0000365210079192</v>
      </c>
      <c r="AQ9" s="55">
        <f>IF(AN9=0,0,(AN9/$AN$17)*AP9*'2022 Arbavg tjeneste'!K9/'2022 Lønnsgr arbavg tjeneste'!K9)</f>
        <v>3.2197790104130875E-2</v>
      </c>
      <c r="AR9" s="5">
        <f>IF(AN9=0,0,'2022 Nto driftsutg landet'!$C$23*'2022 Lønnsand og arbavg landet'!$D$13*('2022 Arbavg tjeneste'!K9/'2022 Lønnsgr arbavg tjeneste'!K9-$AQ$17))</f>
        <v>6.4936673702457623</v>
      </c>
      <c r="AS9" s="5">
        <f t="shared" si="10"/>
        <v>8241.9574363370284</v>
      </c>
      <c r="AT9" s="55">
        <f>IF('2022 Lønnsgr arbavg tjeneste'!L9&lt;100,0,(C9/$C$17)*'2022 Arbavg tjeneste'!L9/'2022 Lønnsgr arbavg tjeneste'!L9)</f>
        <v>3.312925667793809E-2</v>
      </c>
      <c r="AU9" s="5">
        <f>IF('2022 Lønnsgr arbavg tjeneste'!L9&lt;100,0,C9)</f>
        <v>1269230</v>
      </c>
      <c r="AV9" s="55">
        <f t="shared" si="11"/>
        <v>0.26859492326962786</v>
      </c>
      <c r="AW9" s="55">
        <f t="shared" si="12"/>
        <v>1</v>
      </c>
      <c r="AX9" s="55">
        <f>IF(AU9=0,0,(AU9/$AU$17)*AW9*'2022 Arbavg tjeneste'!L9/'2022 Lønnsgr arbavg tjeneste'!L9)</f>
        <v>3.803562171358689E-2</v>
      </c>
      <c r="AY9" s="5">
        <f>IF(AU9=0,0,'2022 Nto driftsutg landet'!$C$24*'2022 Lønnsand og arbavg landet'!$D$14*('2022 Arbavg tjeneste'!L9/'2022 Lønnsgr arbavg tjeneste'!L9-$AX$17))</f>
        <v>0.61203465031699467</v>
      </c>
      <c r="AZ9" s="5">
        <f t="shared" si="13"/>
        <v>776.81273922183914</v>
      </c>
      <c r="BA9" s="55">
        <f>IF('2022 Lønnsgr arbavg tjeneste'!M9&lt;100,0,(C9/$C$17)*'2022 Arbavg tjeneste'!M9/'2022 Lønnsgr arbavg tjeneste'!M9)</f>
        <v>3.1786523926340536E-2</v>
      </c>
      <c r="BB9" s="5">
        <f>IF('2022 Lønnsgr arbavg tjeneste'!M9&lt;100,0,C9)</f>
        <v>1269230</v>
      </c>
      <c r="BC9" s="55">
        <f t="shared" si="14"/>
        <v>0.23394780351945618</v>
      </c>
      <c r="BD9" s="55">
        <f t="shared" si="15"/>
        <v>1</v>
      </c>
      <c r="BE9" s="55">
        <f>IF(BB9=0,0,(BB9/$BB$17)*BD9*'2022 Arbavg tjeneste'!M9/'2022 Lønnsgr arbavg tjeneste'!M9)</f>
        <v>3.1786523926340536E-2</v>
      </c>
      <c r="BF9" s="5">
        <f>IF(BB9=0,0,'2022 Nto driftsutg landet'!$C$25*'2022 Lønnsand og arbavg landet'!$D$15*('2022 Arbavg tjeneste'!M9/'2022 Lønnsgr arbavg tjeneste'!M9-$BE$17))</f>
        <v>-2.2103912314933197E-2</v>
      </c>
      <c r="BG9" s="5">
        <f t="shared" si="16"/>
        <v>-28.054948627482663</v>
      </c>
      <c r="BH9" s="55">
        <f>IF('2022 Lønnsgr arbavg tjeneste'!N9&lt;100,0,(C9/$C$17)*'2022 Arbavg tjeneste'!N9/'2022 Lønnsgr arbavg tjeneste'!N9)</f>
        <v>3.3155114422791933E-2</v>
      </c>
      <c r="BI9" s="5">
        <f>IF('2022 Lønnsgr arbavg tjeneste'!N9&lt;100,0,C9)</f>
        <v>1269230</v>
      </c>
      <c r="BJ9" s="55">
        <f t="shared" si="17"/>
        <v>0.23394780351945618</v>
      </c>
      <c r="BK9" s="55">
        <f t="shared" si="18"/>
        <v>1</v>
      </c>
      <c r="BL9" s="55">
        <f>IF(BI9=0,0,(BI9/$BI$17)*BK9*'2022 Arbavg tjeneste'!N9/'2022 Lønnsgr arbavg tjeneste'!N9)</f>
        <v>3.3155114422791933E-2</v>
      </c>
      <c r="BM9" s="5">
        <f>IF(BI9=0,0,'2022 Nto driftsutg landet'!$C$26*'2022 Lønnsand og arbavg landet'!$D$16*('2022 Arbavg tjeneste'!N9/'2022 Lønnsgr arbavg tjeneste'!N9-$BL$17))</f>
        <v>0.35477205339619833</v>
      </c>
      <c r="BN9" s="5">
        <f t="shared" si="19"/>
        <v>450.28733333205685</v>
      </c>
      <c r="BO9" s="55">
        <f>IF('2022 Lønnsgr arbavg tjeneste'!O9&lt;100,0,(C9/$C$17)*'2022 Arbavg tjeneste'!O9/'2022 Lønnsgr arbavg tjeneste'!O9)</f>
        <v>3.3173431753568176E-2</v>
      </c>
      <c r="BP9" s="5">
        <f>IF('2022 Lønnsgr arbavg tjeneste'!O9&lt;100,0,C9)</f>
        <v>1269230</v>
      </c>
      <c r="BQ9" s="55">
        <f t="shared" si="20"/>
        <v>0.74922287377911789</v>
      </c>
      <c r="BR9" s="55">
        <f t="shared" si="21"/>
        <v>1</v>
      </c>
      <c r="BS9" s="55">
        <f>IF(BP9=0,0,(BP9/$BP$17)*BR9*'2022 Arbavg tjeneste'!O9/'2022 Lønnsgr arbavg tjeneste'!O9)</f>
        <v>0.10623862886345412</v>
      </c>
      <c r="BT9" s="5">
        <f>IF(BP9=0,0,'2022 Nto driftsutg landet'!$C$27*'2022 Lønnsand og arbavg landet'!$D$17*('2022 Arbavg tjeneste'!O9/'2022 Lønnsgr arbavg tjeneste'!O9-$BS$17))</f>
        <v>-3.4272597289338241E-3</v>
      </c>
      <c r="BU9" s="5">
        <f t="shared" si="22"/>
        <v>-4.3499808657546772</v>
      </c>
      <c r="BV9" s="55">
        <f>IF('2022 Lønnsgr arbavg tjeneste'!P9&lt;100,0,(C9/$C$17)*'2022 Arbavg tjeneste'!P9/'2022 Lønnsgr arbavg tjeneste'!P9)</f>
        <v>3.2864096208685516E-2</v>
      </c>
      <c r="BW9" s="5">
        <f>IF('2022 Lønnsgr arbavg tjeneste'!P9&lt;100,0,C9)</f>
        <v>1269230</v>
      </c>
      <c r="BX9" s="55">
        <f t="shared" si="23"/>
        <v>0.37617726742068291</v>
      </c>
      <c r="BY9" s="55">
        <f t="shared" si="24"/>
        <v>1</v>
      </c>
      <c r="BZ9" s="55">
        <f>IF(BW9=0,0,(BW9/$BW$17)*BY9*'2022 Arbavg tjeneste'!P9/'2022 Lønnsgr arbavg tjeneste'!P9)</f>
        <v>5.2843949471000698E-2</v>
      </c>
      <c r="CA9" s="5">
        <f>IF(BW9=0,0,'2022 Nto driftsutg landet'!$C$28*'2022 Lønnsand og arbavg landet'!$D$18*('2022 Arbavg tjeneste'!P9/'2022 Lønnsgr arbavg tjeneste'!P9-$BZ$17))</f>
        <v>-1.8166404558826485E-3</v>
      </c>
      <c r="CB9" s="5">
        <f t="shared" si="25"/>
        <v>-2.3057345658199337</v>
      </c>
      <c r="CC9" s="5"/>
      <c r="CD9" s="5"/>
      <c r="CE9" s="5"/>
    </row>
    <row r="10" spans="1:83" x14ac:dyDescent="0.3">
      <c r="A10" s="41">
        <v>3400</v>
      </c>
      <c r="B10" s="42" t="s">
        <v>404</v>
      </c>
      <c r="C10" s="42">
        <f>+'2022 Nto driftsutg'!W10</f>
        <v>371253</v>
      </c>
      <c r="D10" s="55">
        <f>IF('2022 Lønnsgr arbavg tjeneste'!D10&lt;100,0,(C10/$C$17)*'2022 Revekting utgiftsbehov'!D10*'2022 Arbavg tjeneste'!D10/'2022 Lønnsgr arbavg tjeneste'!D10)</f>
        <v>8.6148690065774147E-3</v>
      </c>
      <c r="E10" s="5">
        <f>IF('2022 Lønnsgr arbavg tjeneste'!D10&lt;100,0,C10)</f>
        <v>371253</v>
      </c>
      <c r="F10" s="55">
        <f>'2022 Revekting utgiftsbehov'!D10*E10/$E$17</f>
        <v>6.921141193533778E-2</v>
      </c>
      <c r="G10" s="55">
        <f>'2022 Revekting utgiftsbehov'!D10/$F$17</f>
        <v>1.0113966728404078</v>
      </c>
      <c r="H10" s="55">
        <f>IF(E10=0,0,(E10/$E$17)*G10*'2022 Arbavg tjeneste'!D10/'2022 Lønnsgr arbavg tjeneste'!D10)</f>
        <v>8.6147187794963533E-3</v>
      </c>
      <c r="I10" s="5">
        <f>IF(E10=0,0,'2022 Nto driftsutg landet'!$C$5*'2022 Lønnsand og arbavg landet'!$D$6*('2022 Arbavg tjeneste'!D10/'2022 Lønnsgr arbavg tjeneste'!D10-$H$17)*'2022 Revekting utgiftsbehov'!D10)</f>
        <v>-15.723402691897826</v>
      </c>
      <c r="J10" s="5">
        <f t="shared" si="3"/>
        <v>-5837.3604195751432</v>
      </c>
      <c r="K10" s="55">
        <f>IF('2022 Lønnsgr arbavg tjeneste'!E10&lt;100,0,(C10/$C$17)*'2022 Revekting utgiftsbehov'!E10*'2022 Arbavg tjeneste'!E10/'2022 Lønnsgr arbavg tjeneste'!E10)</f>
        <v>1.274052196976966E-2</v>
      </c>
      <c r="L10" s="5">
        <f>IF('2022 Lønnsgr arbavg tjeneste'!E10&lt;100,0,C10)</f>
        <v>371253</v>
      </c>
      <c r="M10" s="55">
        <f>'2022 Revekting utgiftsbehov'!E10*L10/$L$17</f>
        <v>0.12105005202307172</v>
      </c>
      <c r="N10" s="55">
        <f>'2022 Revekting utgiftsbehov'!E10/$M$17</f>
        <v>1.3894159872599361</v>
      </c>
      <c r="O10" s="55">
        <f>IF(L10=0,0,(L10/$L$17)*N10*'2022 Arbavg tjeneste'!E10/'2022 Lønnsgr arbavg tjeneste'!E10)</f>
        <v>1.3190486172648156E-2</v>
      </c>
      <c r="P10" s="5">
        <f>IF(L10=0,0,'2022 Nto driftsutg landet'!$C$6*'2022 Lønnsand og arbavg landet'!$D$7*('2022 Arbavg tjeneste'!E10/'2022 Lønnsgr arbavg tjeneste'!E10-$O$17)*'2022 Revekting utgiftsbehov'!E10)</f>
        <v>-23.22605300440026</v>
      </c>
      <c r="Q10" s="5">
        <f t="shared" si="4"/>
        <v>-8622.7418560426104</v>
      </c>
      <c r="R10" s="55">
        <f>IF('2022 Lønnsgr arbavg tjeneste'!F10&lt;100,0,(C10/$C$17)*'2022 Revekting utgiftsbehov'!F10*'2022 Arbavg tjeneste'!F10/'2022 Lønnsgr arbavg tjeneste'!F10)</f>
        <v>9.7056439355339488E-3</v>
      </c>
      <c r="S10" s="5">
        <f>IF('2022 Lønnsgr arbavg tjeneste'!F10&lt;100,0,C10)</f>
        <v>371253</v>
      </c>
      <c r="T10" s="55">
        <f>'2022 Revekting utgiftsbehov'!F10*S10/$S$17</f>
        <v>6.8835609687200816E-2</v>
      </c>
      <c r="U10" s="55">
        <f>'2022 Revekting utgiftsbehov'!F10/$T$17</f>
        <v>1.0056238435649929</v>
      </c>
      <c r="V10" s="55">
        <f>IF(S10=0,0,(S10/$S$17)*U10*'2022 Arbavg tjeneste'!F10/'2022 Lønnsgr arbavg tjeneste'!F10)</f>
        <v>9.7027617699765225E-3</v>
      </c>
      <c r="W10" s="5">
        <f>IF(S10=0,0,'2022 Nto driftsutg landet'!$C$7*'2022 Lønnsand og arbavg landet'!$D$8*('2022 Arbavg tjeneste'!F10/'2022 Lønnsgr arbavg tjeneste'!F10-$V$17)*'2022 Revekting utgiftsbehov'!F10)</f>
        <v>0.24356613673752617</v>
      </c>
      <c r="X10" s="5">
        <f t="shared" si="5"/>
        <v>90.424658962216796</v>
      </c>
      <c r="Y10" s="55">
        <f>IF('2022 Lønnsgr arbavg tjeneste'!G10&lt;100,0,(C10/$C$17)*'2022 Revekting utgiftsbehov'!G10*'2022 Arbavg tjeneste'!G10/'2022 Lønnsgr arbavg tjeneste'!G10)</f>
        <v>3.4786004857674101E-4</v>
      </c>
      <c r="Z10" s="5">
        <f>IF('2022 Lønnsgr arbavg tjeneste'!G10&lt;100,0,C10)</f>
        <v>371253</v>
      </c>
      <c r="AA10" s="55">
        <f>'2022 Revekting utgiftsbehov'!G10*Z10/$Z$17</f>
        <v>5.8196012357698817E-3</v>
      </c>
      <c r="AB10" s="55">
        <f>'2022 Revekting utgiftsbehov'!G10/$AA$17</f>
        <v>2.2907413246366359E-2</v>
      </c>
      <c r="AC10" s="55">
        <f>IF(Z10=0,0,(Z10/$Z$17)*AB10*'2022 Arbavg tjeneste'!G10/'2022 Lønnsgr arbavg tjeneste'!G10)</f>
        <v>4.8278143192404552E-4</v>
      </c>
      <c r="AD10" s="5">
        <f>IF(Z10=0,0,'2022 Nto driftsutg landet'!$C$8*'2022 Lønnsand og arbavg landet'!$D$9*('2022 Arbavg tjeneste'!G10/'2022 Lønnsgr arbavg tjeneste'!G10-$AC$17)*'2022 Revekting utgiftsbehov'!G10)</f>
        <v>9.9759647814333177E-3</v>
      </c>
      <c r="AE10" s="5">
        <f t="shared" si="6"/>
        <v>3.7036068530014634</v>
      </c>
      <c r="AF10" s="55">
        <f>IF('2022 Lønnsgr arbavg tjeneste'!H10&lt;100,0,(C10/$C$17)*'2022 Revekting utgiftsbehov'!H10*'2022 Arbavg tjeneste'!H10/'2022 Lønnsgr arbavg tjeneste'!H10)</f>
        <v>7.9269893895459638E-3</v>
      </c>
      <c r="AG10" s="5">
        <f>IF('2022 Lønnsgr arbavg tjeneste'!H10&lt;100,0,C10)</f>
        <v>371253</v>
      </c>
      <c r="AH10" s="55">
        <f>'2022 Revekting utgiftsbehov'!H10*AG10/$AG$17</f>
        <v>6.6153013589572499E-2</v>
      </c>
      <c r="AI10" s="55">
        <f>'2022 Revekting utgiftsbehov'!H10/$AH$17</f>
        <v>0.9667560056143405</v>
      </c>
      <c r="AJ10" s="55">
        <f>IF(AG10=0,0,(AG10/$AG$17)*AI10*'2022 Arbavg tjeneste'!H10/'2022 Lønnsgr arbavg tjeneste'!H10)</f>
        <v>7.9272788911882355E-3</v>
      </c>
      <c r="AK10" s="5">
        <f>IF(AG10=0,0,'2022 Nto driftsutg landet'!$C$9*'2022 Lønnsand og arbavg landet'!$D$10*('2022 Arbavg tjeneste'!H10/'2022 Lønnsgr arbavg tjeneste'!H10-$AJ$17)*'2022 Revekting utgiftsbehov'!H10)</f>
        <v>-2.2023427458834477</v>
      </c>
      <c r="AL10" s="5">
        <f t="shared" si="7"/>
        <v>-817.62635143746763</v>
      </c>
      <c r="AM10" s="55">
        <f>IF('2022 Lønnsgr arbavg tjeneste'!K10&lt;100,0,(C10/$C$17)*'2022 Arbavg tjeneste'!K10/'2022 Lønnsgr arbavg tjeneste'!K10)</f>
        <v>9.6345437562782663E-3</v>
      </c>
      <c r="AN10" s="5">
        <f>IF('2022 Lønnsgr arbavg tjeneste'!K10&lt;100,0,C10)</f>
        <v>371253</v>
      </c>
      <c r="AO10" s="55">
        <f t="shared" si="8"/>
        <v>6.8430326969901964E-2</v>
      </c>
      <c r="AP10" s="55">
        <f t="shared" si="9"/>
        <v>1.0000365210079192</v>
      </c>
      <c r="AQ10" s="55">
        <f>IF(AN10=0,0,(AN10/$AN$17)*AP10*'2022 Arbavg tjeneste'!K10/'2022 Lønnsgr arbavg tjeneste'!K10)</f>
        <v>9.6348956195270886E-3</v>
      </c>
      <c r="AR10" s="5">
        <f>IF(AN10=0,0,'2022 Nto driftsutg landet'!$C$23*'2022 Lønnsand og arbavg landet'!$D$13*('2022 Arbavg tjeneste'!K10/'2022 Lønnsgr arbavg tjeneste'!K10-$AQ$17))</f>
        <v>8.0069802088014619</v>
      </c>
      <c r="AS10" s="5">
        <f t="shared" si="10"/>
        <v>2972.6154234581691</v>
      </c>
      <c r="AT10" s="55">
        <f>IF('2022 Lønnsgr arbavg tjeneste'!L10&lt;100,0,(C10/$C$17)*'2022 Arbavg tjeneste'!L10/'2022 Lønnsgr arbavg tjeneste'!L10)</f>
        <v>9.6103403363601188E-3</v>
      </c>
      <c r="AU10" s="5">
        <f>IF('2022 Lønnsgr arbavg tjeneste'!L10&lt;100,0,C10)</f>
        <v>371253</v>
      </c>
      <c r="AV10" s="55">
        <f t="shared" si="11"/>
        <v>7.8564697532062078E-2</v>
      </c>
      <c r="AW10" s="55">
        <f t="shared" si="12"/>
        <v>1</v>
      </c>
      <c r="AX10" s="55">
        <f>IF(AU10=0,0,(AU10/$AU$17)*AW10*'2022 Arbavg tjeneste'!L10/'2022 Lønnsgr arbavg tjeneste'!L10)</f>
        <v>1.1033609148738955E-2</v>
      </c>
      <c r="AY10" s="5">
        <f>IF(AU10=0,0,'2022 Nto driftsutg landet'!$C$24*'2022 Lønnsand og arbavg landet'!$D$14*('2022 Arbavg tjeneste'!L10/'2022 Lønnsgr arbavg tjeneste'!L10-$AX$17))</f>
        <v>0.54520014769329783</v>
      </c>
      <c r="AZ10" s="5">
        <f t="shared" si="13"/>
        <v>202.40719043157989</v>
      </c>
      <c r="BA10" s="55">
        <f>IF('2022 Lønnsgr arbavg tjeneste'!M10&lt;100,0,(C10/$C$17)*'2022 Arbavg tjeneste'!M10/'2022 Lønnsgr arbavg tjeneste'!M10)</f>
        <v>9.6319046055052936E-3</v>
      </c>
      <c r="BB10" s="5">
        <f>IF('2022 Lønnsgr arbavg tjeneste'!M10&lt;100,0,C10)</f>
        <v>371253</v>
      </c>
      <c r="BC10" s="55">
        <f t="shared" si="14"/>
        <v>6.8430326969901964E-2</v>
      </c>
      <c r="BD10" s="55">
        <f t="shared" si="15"/>
        <v>1</v>
      </c>
      <c r="BE10" s="55">
        <f>IF(BB10=0,0,(BB10/$BB$17)*BD10*'2022 Arbavg tjeneste'!M10/'2022 Lønnsgr arbavg tjeneste'!M10)</f>
        <v>9.6319046055052936E-3</v>
      </c>
      <c r="BF10" s="5">
        <f>IF(BB10=0,0,'2022 Nto driftsutg landet'!$C$25*'2022 Lønnsand og arbavg landet'!$D$15*('2022 Arbavg tjeneste'!M10/'2022 Lønnsgr arbavg tjeneste'!M10-$BE$17))</f>
        <v>-3.4608583293853738E-2</v>
      </c>
      <c r="BG10" s="5">
        <f t="shared" si="16"/>
        <v>-12.848540373593082</v>
      </c>
      <c r="BH10" s="55">
        <f>IF('2022 Lønnsgr arbavg tjeneste'!N10&lt;100,0,(C10/$C$17)*'2022 Arbavg tjeneste'!N10/'2022 Lønnsgr arbavg tjeneste'!N10)</f>
        <v>9.6965972732233324E-3</v>
      </c>
      <c r="BI10" s="5">
        <f>IF('2022 Lønnsgr arbavg tjeneste'!N10&lt;100,0,C10)</f>
        <v>371253</v>
      </c>
      <c r="BJ10" s="55">
        <f t="shared" si="17"/>
        <v>6.8430326969901964E-2</v>
      </c>
      <c r="BK10" s="55">
        <f t="shared" si="18"/>
        <v>1</v>
      </c>
      <c r="BL10" s="55">
        <f>IF(BI10=0,0,(BI10/$BI$17)*BK10*'2022 Arbavg tjeneste'!N10/'2022 Lønnsgr arbavg tjeneste'!N10)</f>
        <v>9.6965972732233324E-3</v>
      </c>
      <c r="BM10" s="5">
        <f>IF(BI10=0,0,'2022 Nto driftsutg landet'!$C$26*'2022 Lønnsand og arbavg landet'!$D$16*('2022 Arbavg tjeneste'!N10/'2022 Lønnsgr arbavg tjeneste'!N10-$BL$17))</f>
        <v>0.35416860965073244</v>
      </c>
      <c r="BN10" s="5">
        <f t="shared" si="19"/>
        <v>131.48615883866336</v>
      </c>
      <c r="BO10" s="55">
        <f>IF('2022 Lønnsgr arbavg tjeneste'!O10&lt;100,0,(C10/$C$17)*'2022 Arbavg tjeneste'!O10/'2022 Lønnsgr arbavg tjeneste'!O10)</f>
        <v>0</v>
      </c>
      <c r="BP10" s="5">
        <f>IF('2022 Lønnsgr arbavg tjeneste'!O10&lt;100,0,C10)</f>
        <v>0</v>
      </c>
      <c r="BQ10" s="55">
        <f t="shared" si="20"/>
        <v>0</v>
      </c>
      <c r="BR10" s="55">
        <f t="shared" si="21"/>
        <v>1</v>
      </c>
      <c r="BS10" s="55">
        <f>IF(BP10=0,0,(BP10/$BP$17)*BR10*'2022 Arbavg tjeneste'!O10/'2022 Lønnsgr arbavg tjeneste'!O10)</f>
        <v>0</v>
      </c>
      <c r="BT10" s="5">
        <f>IF(BP10=0,0,'2022 Nto driftsutg landet'!$C$27*'2022 Lønnsand og arbavg landet'!$D$17*('2022 Arbavg tjeneste'!O10/'2022 Lønnsgr arbavg tjeneste'!O10-$BS$17))</f>
        <v>0</v>
      </c>
      <c r="BU10" s="5">
        <f t="shared" si="22"/>
        <v>0</v>
      </c>
      <c r="BV10" s="55">
        <f>IF('2022 Lønnsgr arbavg tjeneste'!P10&lt;100,0,(C10/$C$17)*'2022 Arbavg tjeneste'!P10/'2022 Lønnsgr arbavg tjeneste'!P10)</f>
        <v>0</v>
      </c>
      <c r="BW10" s="5">
        <f>IF('2022 Lønnsgr arbavg tjeneste'!P10&lt;100,0,C10)</f>
        <v>0</v>
      </c>
      <c r="BX10" s="55">
        <f t="shared" si="23"/>
        <v>0</v>
      </c>
      <c r="BY10" s="55">
        <f t="shared" si="24"/>
        <v>1</v>
      </c>
      <c r="BZ10" s="55">
        <f>IF(BW10=0,0,(BW10/$BW$17)*BY10*'2022 Arbavg tjeneste'!P10/'2022 Lønnsgr arbavg tjeneste'!P10)</f>
        <v>0</v>
      </c>
      <c r="CA10" s="5">
        <f>IF(BW10=0,0,'2022 Nto driftsutg landet'!$C$28*'2022 Lønnsand og arbavg landet'!$D$18*('2022 Arbavg tjeneste'!P10/'2022 Lønnsgr arbavg tjeneste'!P10-$BZ$17))</f>
        <v>0</v>
      </c>
      <c r="CB10" s="5">
        <f t="shared" si="25"/>
        <v>0</v>
      </c>
      <c r="CC10" s="5"/>
      <c r="CD10" s="5"/>
      <c r="CE10" s="5"/>
    </row>
    <row r="11" spans="1:83" x14ac:dyDescent="0.3">
      <c r="A11" s="41">
        <v>3800</v>
      </c>
      <c r="B11" s="42" t="s">
        <v>405</v>
      </c>
      <c r="C11" s="42">
        <f>+'2022 Nto driftsutg'!W11</f>
        <v>424832</v>
      </c>
      <c r="D11" s="55">
        <f>IF('2022 Lønnsgr arbavg tjeneste'!D11&lt;100,0,(C11/$C$17)*'2022 Revekting utgiftsbehov'!D11*'2022 Arbavg tjeneste'!D11/'2022 Lønnsgr arbavg tjeneste'!D11)</f>
        <v>1.1087448939007986E-2</v>
      </c>
      <c r="E11" s="5">
        <f>IF('2022 Lønnsgr arbavg tjeneste'!D11&lt;100,0,C11)</f>
        <v>424832</v>
      </c>
      <c r="F11" s="55">
        <f>'2022 Revekting utgiftsbehov'!D11*E11/$E$17</f>
        <v>7.9721075150383305E-2</v>
      </c>
      <c r="G11" s="55">
        <f>'2022 Revekting utgiftsbehov'!D11/$F$17</f>
        <v>1.0180514067923647</v>
      </c>
      <c r="H11" s="55">
        <f>IF(E11=0,0,(E11/$E$17)*G11*'2022 Arbavg tjeneste'!D11/'2022 Lønnsgr arbavg tjeneste'!D11)</f>
        <v>1.1087255594792391E-2</v>
      </c>
      <c r="I11" s="5">
        <f>IF(E11=0,0,'2022 Nto driftsutg landet'!$C$5*'2022 Lønnsand og arbavg landet'!$D$6*('2022 Arbavg tjeneste'!D11/'2022 Lønnsgr arbavg tjeneste'!D11-$H$17)*'2022 Revekting utgiftsbehov'!D11)</f>
        <v>42.431659529972357</v>
      </c>
      <c r="J11" s="5">
        <f t="shared" si="3"/>
        <v>18026.326781437219</v>
      </c>
      <c r="K11" s="55">
        <f>IF('2022 Lønnsgr arbavg tjeneste'!E11&lt;100,0,(C11/$C$17)*'2022 Revekting utgiftsbehov'!E11*'2022 Arbavg tjeneste'!E11/'2022 Lønnsgr arbavg tjeneste'!E11)</f>
        <v>1.0574481556375876E-2</v>
      </c>
      <c r="L11" s="5">
        <f>IF('2022 Lønnsgr arbavg tjeneste'!E11&lt;100,0,C11)</f>
        <v>424832</v>
      </c>
      <c r="M11" s="55">
        <f>'2022 Revekting utgiftsbehov'!E11*L11/$L$17</f>
        <v>8.5554808632468962E-2</v>
      </c>
      <c r="N11" s="55">
        <f>'2022 Revekting utgiftsbehov'!E11/$M$17</f>
        <v>0.85815252613298787</v>
      </c>
      <c r="O11" s="55">
        <f>IF(L11=0,0,(L11/$L$17)*N11*'2022 Arbavg tjeneste'!E11/'2022 Lønnsgr arbavg tjeneste'!E11)</f>
        <v>1.0947946487848699E-2</v>
      </c>
      <c r="P11" s="5">
        <f>IF(L11=0,0,'2022 Nto driftsutg landet'!$C$6*'2022 Lønnsand og arbavg landet'!$D$7*('2022 Arbavg tjeneste'!E11/'2022 Lønnsgr arbavg tjeneste'!E11-$O$17)*'2022 Revekting utgiftsbehov'!E11)</f>
        <v>-11.350423461882921</v>
      </c>
      <c r="Q11" s="5">
        <f t="shared" si="4"/>
        <v>-4822.0231001586444</v>
      </c>
      <c r="R11" s="55">
        <f>IF('2022 Lønnsgr arbavg tjeneste'!F11&lt;100,0,(C11/$C$17)*'2022 Revekting utgiftsbehov'!F11*'2022 Arbavg tjeneste'!F11/'2022 Lønnsgr arbavg tjeneste'!F11)</f>
        <v>8.2969770180491755E-3</v>
      </c>
      <c r="S11" s="5">
        <f>IF('2022 Lønnsgr arbavg tjeneste'!F11&lt;100,0,C11)</f>
        <v>424832</v>
      </c>
      <c r="T11" s="55">
        <f>'2022 Revekting utgiftsbehov'!F11*S11/$S$17</f>
        <v>5.7132942974900784E-2</v>
      </c>
      <c r="U11" s="55">
        <f>'2022 Revekting utgiftsbehov'!F11/$T$17</f>
        <v>0.72939325672698596</v>
      </c>
      <c r="V11" s="55">
        <f>IF(S11=0,0,(S11/$S$17)*U11*'2022 Arbavg tjeneste'!F11/'2022 Lønnsgr arbavg tjeneste'!F11)</f>
        <v>8.2945131669589223E-3</v>
      </c>
      <c r="W11" s="5">
        <f>IF(S11=0,0,'2022 Nto driftsutg landet'!$C$7*'2022 Lønnsand og arbavg landet'!$D$8*('2022 Arbavg tjeneste'!F11/'2022 Lønnsgr arbavg tjeneste'!F11-$V$17)*'2022 Revekting utgiftsbehov'!F11)</f>
        <v>0.30826339596772301</v>
      </c>
      <c r="X11" s="5">
        <f t="shared" si="5"/>
        <v>130.9601550357597</v>
      </c>
      <c r="Y11" s="55">
        <f>IF('2022 Lønnsgr arbavg tjeneste'!G11&lt;100,0,(C11/$C$17)*'2022 Revekting utgiftsbehov'!G11*'2022 Arbavg tjeneste'!G11/'2022 Lønnsgr arbavg tjeneste'!G11)</f>
        <v>0</v>
      </c>
      <c r="Z11" s="5">
        <f>IF('2022 Lønnsgr arbavg tjeneste'!G11&lt;100,0,C11)</f>
        <v>0</v>
      </c>
      <c r="AA11" s="55">
        <f>'2022 Revekting utgiftsbehov'!G11*Z11/$Z$17</f>
        <v>0</v>
      </c>
      <c r="AB11" s="55">
        <f>'2022 Revekting utgiftsbehov'!G11/$AA$17</f>
        <v>8.1966865122977198E-2</v>
      </c>
      <c r="AC11" s="55">
        <f>IF(Z11=0,0,(Z11/$Z$17)*AB11*'2022 Arbavg tjeneste'!G11/'2022 Lønnsgr arbavg tjeneste'!G11)</f>
        <v>0</v>
      </c>
      <c r="AD11" s="5">
        <f>IF(Z11=0,0,'2022 Nto driftsutg landet'!$C$8*'2022 Lønnsand og arbavg landet'!$D$9*('2022 Arbavg tjeneste'!G11/'2022 Lønnsgr arbavg tjeneste'!G11-$AC$17)*'2022 Revekting utgiftsbehov'!G11)</f>
        <v>0</v>
      </c>
      <c r="AE11" s="5">
        <f t="shared" si="6"/>
        <v>0</v>
      </c>
      <c r="AF11" s="55">
        <f>IF('2022 Lønnsgr arbavg tjeneste'!H11&lt;100,0,(C11/$C$17)*'2022 Revekting utgiftsbehov'!H11*'2022 Arbavg tjeneste'!H11/'2022 Lønnsgr arbavg tjeneste'!H11)</f>
        <v>1.0775817540743882E-2</v>
      </c>
      <c r="AG11" s="5">
        <f>IF('2022 Lønnsgr arbavg tjeneste'!H11&lt;100,0,C11)</f>
        <v>424832</v>
      </c>
      <c r="AH11" s="55">
        <f>'2022 Revekting utgiftsbehov'!H11*AG11/$AG$17</f>
        <v>7.7705490541027461E-2</v>
      </c>
      <c r="AI11" s="55">
        <f>'2022 Revekting utgiftsbehov'!H11/$AH$17</f>
        <v>0.99236560086841508</v>
      </c>
      <c r="AJ11" s="55">
        <f>IF(AG11=0,0,(AG11/$AG$17)*AI11*'2022 Arbavg tjeneste'!H11/'2022 Lønnsgr arbavg tjeneste'!H11)</f>
        <v>1.0776211084461623E-2</v>
      </c>
      <c r="AK11" s="5">
        <f>IF(AG11=0,0,'2022 Nto driftsutg landet'!$C$9*'2022 Lønnsand og arbavg landet'!$D$10*('2022 Arbavg tjeneste'!H11/'2022 Lønnsgr arbavg tjeneste'!H11-$AJ$17)*'2022 Revekting utgiftsbehov'!H11)</f>
        <v>3.9941397564361689</v>
      </c>
      <c r="AL11" s="5">
        <f t="shared" si="7"/>
        <v>1696.8383810062905</v>
      </c>
      <c r="AM11" s="55">
        <f>IF('2022 Lønnsgr arbavg tjeneste'!K11&lt;100,0,(C11/$C$17)*'2022 Arbavg tjeneste'!K11/'2022 Lønnsgr arbavg tjeneste'!K11)</f>
        <v>1.1008307110659834E-2</v>
      </c>
      <c r="AN11" s="5">
        <f>IF('2022 Lønnsgr arbavg tjeneste'!K11&lt;100,0,C11)</f>
        <v>424832</v>
      </c>
      <c r="AO11" s="55">
        <f t="shared" si="8"/>
        <v>7.8306148818399826E-2</v>
      </c>
      <c r="AP11" s="55">
        <f t="shared" si="9"/>
        <v>1.0000365210079192</v>
      </c>
      <c r="AQ11" s="55">
        <f>IF(AN11=0,0,(AN11/$AN$17)*AP11*'2022 Arbavg tjeneste'!K11/'2022 Lønnsgr arbavg tjeneste'!K11)</f>
        <v>1.1008709145130998E-2</v>
      </c>
      <c r="AR11" s="5">
        <f>IF(AN11=0,0,'2022 Nto driftsutg landet'!$C$23*'2022 Lønnsand og arbavg landet'!$D$13*('2022 Arbavg tjeneste'!K11/'2022 Lønnsgr arbavg tjeneste'!K11-$AQ$17))</f>
        <v>7.905256926183144</v>
      </c>
      <c r="AS11" s="5">
        <f t="shared" si="10"/>
        <v>3358.4061104642378</v>
      </c>
      <c r="AT11" s="55">
        <f>IF('2022 Lønnsgr arbavg tjeneste'!L11&lt;100,0,(C11/$C$17)*'2022 Arbavg tjeneste'!L11/'2022 Lønnsgr arbavg tjeneste'!L11)</f>
        <v>1.076729344530915E-2</v>
      </c>
      <c r="AU11" s="5">
        <f>IF('2022 Lønnsgr arbavg tjeneste'!L11&lt;100,0,C11)</f>
        <v>424832</v>
      </c>
      <c r="AV11" s="55">
        <f t="shared" si="11"/>
        <v>8.9903105380807688E-2</v>
      </c>
      <c r="AW11" s="55">
        <f t="shared" si="12"/>
        <v>1</v>
      </c>
      <c r="AX11" s="55">
        <f>IF(AU11=0,0,(AU11/$AU$17)*AW11*'2022 Arbavg tjeneste'!L11/'2022 Lønnsgr arbavg tjeneste'!L11)</f>
        <v>1.2361904293424418E-2</v>
      </c>
      <c r="AY11" s="5">
        <f>IF(AU11=0,0,'2022 Nto driftsutg landet'!$C$24*'2022 Lønnsand og arbavg landet'!$D$14*('2022 Arbavg tjeneste'!L11/'2022 Lønnsgr arbavg tjeneste'!L11-$AX$17))</f>
        <v>0.37738852348627916</v>
      </c>
      <c r="AZ11" s="5">
        <f t="shared" si="13"/>
        <v>160.32672120972296</v>
      </c>
      <c r="BA11" s="55">
        <f>IF('2022 Lønnsgr arbavg tjeneste'!M11&lt;100,0,(C11/$C$17)*'2022 Arbavg tjeneste'!M11/'2022 Lønnsgr arbavg tjeneste'!M11)</f>
        <v>1.1120251298782215E-2</v>
      </c>
      <c r="BB11" s="5">
        <f>IF('2022 Lønnsgr arbavg tjeneste'!M11&lt;100,0,C11)</f>
        <v>424832</v>
      </c>
      <c r="BC11" s="55">
        <f t="shared" si="14"/>
        <v>7.8306148818399826E-2</v>
      </c>
      <c r="BD11" s="55">
        <f t="shared" si="15"/>
        <v>1</v>
      </c>
      <c r="BE11" s="55">
        <f>IF(BB11=0,0,(BB11/$BB$17)*BD11*'2022 Arbavg tjeneste'!M11/'2022 Lønnsgr arbavg tjeneste'!M11)</f>
        <v>1.1120251298782215E-2</v>
      </c>
      <c r="BF11" s="5">
        <f>IF(BB11=0,0,'2022 Nto driftsutg landet'!$C$25*'2022 Lønnsand og arbavg landet'!$D$15*('2022 Arbavg tjeneste'!M11/'2022 Lønnsgr arbavg tjeneste'!M11-$BE$17))</f>
        <v>-3.7821370691761912E-2</v>
      </c>
      <c r="BG11" s="5">
        <f t="shared" si="16"/>
        <v>-16.067728553722596</v>
      </c>
      <c r="BH11" s="55">
        <f>IF('2022 Lønnsgr arbavg tjeneste'!N11&lt;100,0,(C11/$C$17)*'2022 Arbavg tjeneste'!N11/'2022 Lønnsgr arbavg tjeneste'!N11)</f>
        <v>1.1109380681236508E-2</v>
      </c>
      <c r="BI11" s="5">
        <f>IF('2022 Lønnsgr arbavg tjeneste'!N11&lt;100,0,C11)</f>
        <v>424832</v>
      </c>
      <c r="BJ11" s="55">
        <f t="shared" si="17"/>
        <v>7.8306148818399826E-2</v>
      </c>
      <c r="BK11" s="55">
        <f t="shared" si="18"/>
        <v>1</v>
      </c>
      <c r="BL11" s="55">
        <f>IF(BI11=0,0,(BI11/$BI$17)*BK11*'2022 Arbavg tjeneste'!N11/'2022 Lønnsgr arbavg tjeneste'!N11)</f>
        <v>1.1109380681236508E-2</v>
      </c>
      <c r="BM11" s="5">
        <f>IF(BI11=0,0,'2022 Nto driftsutg landet'!$C$26*'2022 Lønnsand og arbavg landet'!$D$16*('2022 Arbavg tjeneste'!N11/'2022 Lønnsgr arbavg tjeneste'!N11-$BL$17))</f>
        <v>0.35936323198945702</v>
      </c>
      <c r="BN11" s="5">
        <f t="shared" si="19"/>
        <v>152.66900057254503</v>
      </c>
      <c r="BO11" s="55">
        <f>IF('2022 Lønnsgr arbavg tjeneste'!O11&lt;100,0,(C11/$C$17)*'2022 Arbavg tjeneste'!O11/'2022 Lønnsgr arbavg tjeneste'!O11)</f>
        <v>8.3507471317611024E-3</v>
      </c>
      <c r="BP11" s="5">
        <f>IF('2022 Lønnsgr arbavg tjeneste'!O11&lt;100,0,C11)</f>
        <v>424832</v>
      </c>
      <c r="BQ11" s="55">
        <f t="shared" si="20"/>
        <v>0.25077712622088211</v>
      </c>
      <c r="BR11" s="55">
        <f t="shared" si="21"/>
        <v>1</v>
      </c>
      <c r="BS11" s="55">
        <f>IF(BP11=0,0,(BP11/$BP$17)*BR11*'2022 Arbavg tjeneste'!O11/'2022 Lønnsgr arbavg tjeneste'!O11)</f>
        <v>2.6743447342263481E-2</v>
      </c>
      <c r="BT11" s="5">
        <f>IF(BP11=0,0,'2022 Nto driftsutg landet'!$C$27*'2022 Lønnsand og arbavg landet'!$D$17*('2022 Arbavg tjeneste'!O11/'2022 Lønnsgr arbavg tjeneste'!O11-$BS$17))</f>
        <v>1.0239296629619851E-2</v>
      </c>
      <c r="BU11" s="5">
        <f t="shared" si="22"/>
        <v>4.3499808657546613</v>
      </c>
      <c r="BV11" s="55">
        <f>IF('2022 Lønnsgr arbavg tjeneste'!P11&lt;100,0,(C11/$C$17)*'2022 Arbavg tjeneste'!P11/'2022 Lønnsgr arbavg tjeneste'!P11)</f>
        <v>1.2488039419404939E-2</v>
      </c>
      <c r="BW11" s="5">
        <f>IF('2022 Lønnsgr arbavg tjeneste'!P11&lt;100,0,C11)</f>
        <v>424832</v>
      </c>
      <c r="BX11" s="55">
        <f t="shared" si="23"/>
        <v>0.12591267214993623</v>
      </c>
      <c r="BY11" s="55">
        <f t="shared" si="24"/>
        <v>1</v>
      </c>
      <c r="BZ11" s="55">
        <f>IF(BW11=0,0,(BW11/$BW$17)*BY11*'2022 Arbavg tjeneste'!P11/'2022 Lønnsgr arbavg tjeneste'!P11)</f>
        <v>2.0080190852669568E-2</v>
      </c>
      <c r="CA11" s="5">
        <f>IF(BW11=0,0,'2022 Nto driftsutg landet'!$C$28*'2022 Lønnsand og arbavg landet'!$D$18*('2022 Arbavg tjeneste'!P11/'2022 Lønnsgr arbavg tjeneste'!P11-$BZ$17))</f>
        <v>-6.0581407769728863E-3</v>
      </c>
      <c r="CB11" s="5">
        <f t="shared" si="25"/>
        <v>-2.5736920625629449</v>
      </c>
      <c r="CC11" s="5"/>
      <c r="CD11" s="5"/>
      <c r="CE11" s="5"/>
    </row>
    <row r="12" spans="1:83" x14ac:dyDescent="0.3">
      <c r="A12" s="41">
        <v>4200</v>
      </c>
      <c r="B12" s="42" t="s">
        <v>406</v>
      </c>
      <c r="C12" s="42">
        <f>+'2022 Nto driftsutg'!W12</f>
        <v>311134</v>
      </c>
      <c r="D12" s="55">
        <f>IF('2022 Lønnsgr arbavg tjeneste'!D12&lt;100,0,(C12/$C$17)*'2022 Revekting utgiftsbehov'!D12*'2022 Arbavg tjeneste'!D12/'2022 Lønnsgr arbavg tjeneste'!D12)</f>
        <v>8.5761385528796176E-3</v>
      </c>
      <c r="E12" s="5">
        <f>IF('2022 Lønnsgr arbavg tjeneste'!D12&lt;100,0,C12)</f>
        <v>311134</v>
      </c>
      <c r="F12" s="55">
        <f>'2022 Revekting utgiftsbehov'!D12*E12/$E$17</f>
        <v>6.1284340866876667E-2</v>
      </c>
      <c r="G12" s="55">
        <f>'2022 Revekting utgiftsbehov'!D12/$F$17</f>
        <v>1.0686016252764423</v>
      </c>
      <c r="H12" s="55">
        <f>IF(E12=0,0,(E12/$E$17)*G12*'2022 Arbavg tjeneste'!D12/'2022 Lønnsgr arbavg tjeneste'!D12)</f>
        <v>8.5759890011846834E-3</v>
      </c>
      <c r="I12" s="5">
        <f>IF(E12=0,0,'2022 Nto driftsutg landet'!$C$5*'2022 Lønnsand og arbavg landet'!$D$6*('2022 Arbavg tjeneste'!D12/'2022 Lønnsgr arbavg tjeneste'!D12-$H$17)*'2022 Revekting utgiftsbehov'!D12)</f>
        <v>48.147932407849062</v>
      </c>
      <c r="J12" s="5">
        <f t="shared" si="3"/>
        <v>14980.45880178371</v>
      </c>
      <c r="K12" s="55">
        <f>IF('2022 Lønnsgr arbavg tjeneste'!E12&lt;100,0,(C12/$C$17)*'2022 Revekting utgiftsbehov'!E12*'2022 Arbavg tjeneste'!E12/'2022 Lønnsgr arbavg tjeneste'!E12)</f>
        <v>1.3260490202753841E-2</v>
      </c>
      <c r="L12" s="5">
        <f>IF('2022 Lønnsgr arbavg tjeneste'!E12&lt;100,0,C12)</f>
        <v>311134</v>
      </c>
      <c r="M12" s="55">
        <f>'2022 Revekting utgiftsbehov'!E12*L12/$L$17</f>
        <v>7.5820192795528374E-2</v>
      </c>
      <c r="N12" s="55">
        <f>'2022 Revekting utgiftsbehov'!E12/$M$17</f>
        <v>1.0384239477738173</v>
      </c>
      <c r="O12" s="55">
        <f>IF(L12=0,0,(L12/$L$17)*N12*'2022 Arbavg tjeneste'!E12/'2022 Lønnsgr arbavg tjeneste'!E12)</f>
        <v>1.3728818417093721E-2</v>
      </c>
      <c r="P12" s="5">
        <f>IF(L12=0,0,'2022 Nto driftsutg landet'!$C$6*'2022 Lønnsand og arbavg landet'!$D$7*('2022 Arbavg tjeneste'!E12/'2022 Lønnsgr arbavg tjeneste'!E12-$O$17)*'2022 Revekting utgiftsbehov'!E12)</f>
        <v>-3.6039729665316607</v>
      </c>
      <c r="Q12" s="5">
        <f t="shared" si="4"/>
        <v>-1121.3185249688615</v>
      </c>
      <c r="R12" s="55">
        <f>IF('2022 Lønnsgr arbavg tjeneste'!F12&lt;100,0,(C12/$C$17)*'2022 Revekting utgiftsbehov'!F12*'2022 Arbavg tjeneste'!F12/'2022 Lønnsgr arbavg tjeneste'!F12)</f>
        <v>6.3381883826059918E-3</v>
      </c>
      <c r="S12" s="5">
        <f>IF('2022 Lønnsgr arbavg tjeneste'!F12&lt;100,0,C12)</f>
        <v>311134</v>
      </c>
      <c r="T12" s="55">
        <f>'2022 Revekting utgiftsbehov'!F12*S12/$S$17</f>
        <v>4.7328603414377529E-2</v>
      </c>
      <c r="U12" s="55">
        <f>'2022 Revekting utgiftsbehov'!F12/$T$17</f>
        <v>0.82502780887581562</v>
      </c>
      <c r="V12" s="55">
        <f>IF(S12=0,0,(S12/$S$17)*U12*'2022 Arbavg tjeneste'!F12/'2022 Lønnsgr arbavg tjeneste'!F12)</f>
        <v>6.3363062088549081E-3</v>
      </c>
      <c r="W12" s="5">
        <f>IF(S12=0,0,'2022 Nto driftsutg landet'!$C$7*'2022 Lønnsand og arbavg landet'!$D$8*('2022 Arbavg tjeneste'!F12/'2022 Lønnsgr arbavg tjeneste'!F12-$V$17)*'2022 Revekting utgiftsbehov'!F12)</f>
        <v>-4.9580114509258991E-2</v>
      </c>
      <c r="X12" s="5">
        <f t="shared" si="5"/>
        <v>-15.426059347723788</v>
      </c>
      <c r="Y12" s="55">
        <f>IF('2022 Lønnsgr arbavg tjeneste'!G12&lt;100,0,(C12/$C$17)*'2022 Revekting utgiftsbehov'!G12*'2022 Arbavg tjeneste'!G12/'2022 Lønnsgr arbavg tjeneste'!G12)</f>
        <v>9.449340450730561E-4</v>
      </c>
      <c r="Z12" s="5">
        <f>IF('2022 Lønnsgr arbavg tjeneste'!G12&lt;100,0,C12)</f>
        <v>311134</v>
      </c>
      <c r="AA12" s="55">
        <f>'2022 Revekting utgiftsbehov'!G12*Z12/$Z$17</f>
        <v>2.9842205885990021E-2</v>
      </c>
      <c r="AB12" s="55">
        <f>'2022 Revekting utgiftsbehov'!G12/$AA$17</f>
        <v>0.14016392314287168</v>
      </c>
      <c r="AC12" s="55">
        <f>IF(Z12=0,0,(Z12/$Z$17)*AB12*'2022 Arbavg tjeneste'!G12/'2022 Lønnsgr arbavg tjeneste'!G12)</f>
        <v>1.3114372093624015E-3</v>
      </c>
      <c r="AD12" s="5">
        <f>IF(Z12=0,0,'2022 Nto driftsutg landet'!$C$8*'2022 Lønnsand og arbavg landet'!$D$9*('2022 Arbavg tjeneste'!G12/'2022 Lønnsgr arbavg tjeneste'!G12-$AC$17)*'2022 Revekting utgiftsbehov'!G12)</f>
        <v>-2.4337401089058647E-2</v>
      </c>
      <c r="AE12" s="5">
        <f t="shared" si="6"/>
        <v>-7.5721929504431724</v>
      </c>
      <c r="AF12" s="55">
        <f>IF('2022 Lønnsgr arbavg tjeneste'!H12&lt;100,0,(C12/$C$17)*'2022 Revekting utgiftsbehov'!H12*'2022 Arbavg tjeneste'!H12/'2022 Lønnsgr arbavg tjeneste'!H12)</f>
        <v>7.7666125460780031E-3</v>
      </c>
      <c r="AG12" s="5">
        <f>IF('2022 Lønnsgr arbavg tjeneste'!H12&lt;100,0,C12)</f>
        <v>311134</v>
      </c>
      <c r="AH12" s="55">
        <f>'2022 Revekting utgiftsbehov'!H12*AG12/$AG$17</f>
        <v>6.0236720807974528E-2</v>
      </c>
      <c r="AI12" s="55">
        <f>'2022 Revekting utgiftsbehov'!H12/$AH$17</f>
        <v>1.0503911799436572</v>
      </c>
      <c r="AJ12" s="55">
        <f>IF(AG12=0,0,(AG12/$AG$17)*AI12*'2022 Arbavg tjeneste'!H12/'2022 Lønnsgr arbavg tjeneste'!H12)</f>
        <v>7.7668961905963049E-3</v>
      </c>
      <c r="AK12" s="5">
        <f>IF(AG12=0,0,'2022 Nto driftsutg landet'!$C$9*'2022 Lønnsand og arbavg landet'!$D$10*('2022 Arbavg tjeneste'!H12/'2022 Lønnsgr arbavg tjeneste'!H12-$AJ$17)*'2022 Revekting utgiftsbehov'!H12)</f>
        <v>0.80613939626141551</v>
      </c>
      <c r="AL12" s="5">
        <f t="shared" si="7"/>
        <v>250.81737491639925</v>
      </c>
      <c r="AM12" s="55">
        <f>IF('2022 Lønnsgr arbavg tjeneste'!K12&lt;100,0,(C12/$C$17)*'2022 Arbavg tjeneste'!K12/'2022 Lønnsgr arbavg tjeneste'!K12)</f>
        <v>5.8637119058678406E-3</v>
      </c>
      <c r="AN12" s="5">
        <f>IF('2022 Lønnsgr arbavg tjeneste'!K12&lt;100,0,C12)</f>
        <v>311134</v>
      </c>
      <c r="AO12" s="55">
        <f t="shared" si="8"/>
        <v>5.7349035163226897E-2</v>
      </c>
      <c r="AP12" s="55">
        <f t="shared" si="9"/>
        <v>1.0000365210079192</v>
      </c>
      <c r="AQ12" s="55">
        <f>IF(AN12=0,0,(AN12/$AN$17)*AP12*'2022 Arbavg tjeneste'!K12/'2022 Lønnsgr arbavg tjeneste'!K12)</f>
        <v>5.8639260545367902E-3</v>
      </c>
      <c r="AR12" s="5">
        <f>IF(AN12=0,0,'2022 Nto driftsutg landet'!$C$23*'2022 Lønnsand og arbavg landet'!$D$13*('2022 Arbavg tjeneste'!K12/'2022 Lønnsgr arbavg tjeneste'!K12-$AQ$17))</f>
        <v>-10.392629257608922</v>
      </c>
      <c r="AS12" s="5">
        <f t="shared" si="10"/>
        <v>-3233.5003114368942</v>
      </c>
      <c r="AT12" s="55">
        <f>IF('2022 Lønnsgr arbavg tjeneste'!L12&lt;100,0,(C12/$C$17)*'2022 Arbavg tjeneste'!L12/'2022 Lønnsgr arbavg tjeneste'!L12)</f>
        <v>7.7489941449998441E-3</v>
      </c>
      <c r="AU12" s="5">
        <f>IF('2022 Lønnsgr arbavg tjeneste'!L12&lt;100,0,C12)</f>
        <v>311134</v>
      </c>
      <c r="AV12" s="55">
        <f t="shared" si="11"/>
        <v>6.5842292458082763E-2</v>
      </c>
      <c r="AW12" s="55">
        <f t="shared" si="12"/>
        <v>1</v>
      </c>
      <c r="AX12" s="55">
        <f>IF(AU12=0,0,(AU12/$AU$17)*AW12*'2022 Arbavg tjeneste'!L12/'2022 Lønnsgr arbavg tjeneste'!L12)</f>
        <v>8.8966019619839461E-3</v>
      </c>
      <c r="AY12" s="5">
        <f>IF(AU12=0,0,'2022 Nto driftsutg landet'!$C$24*'2022 Lønnsand og arbavg landet'!$D$14*('2022 Arbavg tjeneste'!L12/'2022 Lønnsgr arbavg tjeneste'!L12-$AX$17))</f>
        <v>0.24126218641331956</v>
      </c>
      <c r="AZ12" s="5">
        <f t="shared" si="13"/>
        <v>75.064869107521758</v>
      </c>
      <c r="BA12" s="55">
        <f>IF('2022 Lønnsgr arbavg tjeneste'!M12&lt;100,0,(C12/$C$17)*'2022 Arbavg tjeneste'!M12/'2022 Lønnsgr arbavg tjeneste'!M12)</f>
        <v>5.674817216384501E-3</v>
      </c>
      <c r="BB12" s="5">
        <f>IF('2022 Lønnsgr arbavg tjeneste'!M12&lt;100,0,C12)</f>
        <v>311134</v>
      </c>
      <c r="BC12" s="55">
        <f t="shared" si="14"/>
        <v>5.7349035163226897E-2</v>
      </c>
      <c r="BD12" s="55">
        <f t="shared" si="15"/>
        <v>1</v>
      </c>
      <c r="BE12" s="55">
        <f>IF(BB12=0,0,(BB12/$BB$17)*BD12*'2022 Arbavg tjeneste'!M12/'2022 Lønnsgr arbavg tjeneste'!M12)</f>
        <v>5.674817216384501E-3</v>
      </c>
      <c r="BF12" s="5">
        <f>IF(BB12=0,0,'2022 Nto driftsutg landet'!$C$25*'2022 Lønnsand og arbavg landet'!$D$15*('2022 Arbavg tjeneste'!M12/'2022 Lønnsgr arbavg tjeneste'!M12-$BE$17))</f>
        <v>7.2403528651835358E-2</v>
      </c>
      <c r="BG12" s="5">
        <f t="shared" si="16"/>
        <v>22.527199483560143</v>
      </c>
      <c r="BH12" s="55">
        <f>IF('2022 Lønnsgr arbavg tjeneste'!N12&lt;100,0,(C12/$C$17)*'2022 Arbavg tjeneste'!N12/'2022 Lønnsgr arbavg tjeneste'!N12)</f>
        <v>7.2233649171502649E-3</v>
      </c>
      <c r="BI12" s="5">
        <f>IF('2022 Lønnsgr arbavg tjeneste'!N12&lt;100,0,C12)</f>
        <v>311134</v>
      </c>
      <c r="BJ12" s="55">
        <f t="shared" si="17"/>
        <v>5.7349035163226897E-2</v>
      </c>
      <c r="BK12" s="55">
        <f t="shared" si="18"/>
        <v>1</v>
      </c>
      <c r="BL12" s="55">
        <f>IF(BI12=0,0,(BI12/$BI$17)*BK12*'2022 Arbavg tjeneste'!N12/'2022 Lønnsgr arbavg tjeneste'!N12)</f>
        <v>7.2233649171502649E-3</v>
      </c>
      <c r="BM12" s="5">
        <f>IF(BI12=0,0,'2022 Nto driftsutg landet'!$C$26*'2022 Lønnsand og arbavg landet'!$D$16*('2022 Arbavg tjeneste'!N12/'2022 Lønnsgr arbavg tjeneste'!N12-$BL$17))</f>
        <v>-0.12465044536780442</v>
      </c>
      <c r="BN12" s="5">
        <f t="shared" si="19"/>
        <v>-38.782991669066462</v>
      </c>
      <c r="BO12" s="55">
        <f>IF('2022 Lønnsgr arbavg tjeneste'!O12&lt;100,0,(C12/$C$17)*'2022 Arbavg tjeneste'!O12/'2022 Lønnsgr arbavg tjeneste'!O12)</f>
        <v>0</v>
      </c>
      <c r="BP12" s="5">
        <f>IF('2022 Lønnsgr arbavg tjeneste'!O12&lt;100,0,C12)</f>
        <v>0</v>
      </c>
      <c r="BQ12" s="55">
        <f t="shared" si="20"/>
        <v>0</v>
      </c>
      <c r="BR12" s="55">
        <f t="shared" si="21"/>
        <v>1</v>
      </c>
      <c r="BS12" s="55">
        <f>IF(BP12=0,0,(BP12/$BP$17)*BR12*'2022 Arbavg tjeneste'!O12/'2022 Lønnsgr arbavg tjeneste'!O12)</f>
        <v>0</v>
      </c>
      <c r="BT12" s="5">
        <f>IF(BP12=0,0,'2022 Nto driftsutg landet'!$C$27*'2022 Lønnsand og arbavg landet'!$D$17*('2022 Arbavg tjeneste'!O12/'2022 Lønnsgr arbavg tjeneste'!O12-$BS$17))</f>
        <v>0</v>
      </c>
      <c r="BU12" s="5">
        <f t="shared" si="22"/>
        <v>0</v>
      </c>
      <c r="BV12" s="55">
        <f>IF('2022 Lønnsgr arbavg tjeneste'!P12&lt;100,0,(C12/$C$17)*'2022 Arbavg tjeneste'!P12/'2022 Lønnsgr arbavg tjeneste'!P12)</f>
        <v>8.9869669976902714E-3</v>
      </c>
      <c r="BW12" s="5">
        <f>IF('2022 Lønnsgr arbavg tjeneste'!P12&lt;100,0,C12)</f>
        <v>311134</v>
      </c>
      <c r="BX12" s="55">
        <f t="shared" si="23"/>
        <v>9.2214600916828912E-2</v>
      </c>
      <c r="BY12" s="55">
        <f t="shared" si="24"/>
        <v>1</v>
      </c>
      <c r="BZ12" s="55">
        <f>IF(BW12=0,0,(BW12/$BW$17)*BY12*'2022 Arbavg tjeneste'!P12/'2022 Lønnsgr arbavg tjeneste'!P12)</f>
        <v>1.4450628032119273E-2</v>
      </c>
      <c r="CA12" s="5">
        <f>IF(BW12=0,0,'2022 Nto driftsutg landet'!$C$28*'2022 Lønnsand og arbavg landet'!$D$18*('2022 Arbavg tjeneste'!P12/'2022 Lønnsgr arbavg tjeneste'!P12-$BZ$17))</f>
        <v>-5.4396673607316108E-3</v>
      </c>
      <c r="CB12" s="5">
        <f t="shared" si="25"/>
        <v>-1.692465464613869</v>
      </c>
      <c r="CC12" s="5"/>
      <c r="CD12" s="5"/>
      <c r="CE12" s="5"/>
    </row>
    <row r="13" spans="1:83" x14ac:dyDescent="0.3">
      <c r="A13" s="41">
        <v>4600</v>
      </c>
      <c r="B13" s="42" t="s">
        <v>407</v>
      </c>
      <c r="C13" s="42">
        <f>+'2022 Nto driftsutg'!W13</f>
        <v>641292</v>
      </c>
      <c r="D13" s="55">
        <f>IF('2022 Lønnsgr arbavg tjeneste'!D13&lt;100,0,(C13/$C$17)*'2022 Revekting utgiftsbehov'!D13*'2022 Arbavg tjeneste'!D13/'2022 Lønnsgr arbavg tjeneste'!D13)</f>
        <v>1.6974672675300711E-2</v>
      </c>
      <c r="E13" s="5">
        <f>IF('2022 Lønnsgr arbavg tjeneste'!D13&lt;100,0,C13)</f>
        <v>641292</v>
      </c>
      <c r="F13" s="55">
        <f>'2022 Revekting utgiftsbehov'!D13*E13/$E$17</f>
        <v>0.1252971968639349</v>
      </c>
      <c r="G13" s="55">
        <f>'2022 Revekting utgiftsbehov'!D13/$F$17</f>
        <v>1.0599840155539371</v>
      </c>
      <c r="H13" s="55">
        <f>IF(E13=0,0,(E13/$E$17)*G13*'2022 Arbavg tjeneste'!D13/'2022 Lønnsgr arbavg tjeneste'!D13)</f>
        <v>1.6974376668997419E-2</v>
      </c>
      <c r="I13" s="5">
        <f>IF(E13=0,0,'2022 Nto driftsutg landet'!$C$5*'2022 Lønnsand og arbavg landet'!$D$6*('2022 Arbavg tjeneste'!D13/'2022 Lønnsgr arbavg tjeneste'!D13-$H$17)*'2022 Revekting utgiftsbehov'!D13)</f>
        <v>29.217579937279538</v>
      </c>
      <c r="J13" s="5">
        <f t="shared" si="3"/>
        <v>18737.00027313787</v>
      </c>
      <c r="K13" s="55">
        <f>IF('2022 Lønnsgr arbavg tjeneste'!E13&lt;100,0,(C13/$C$17)*'2022 Revekting utgiftsbehov'!E13*'2022 Arbavg tjeneste'!E13/'2022 Lønnsgr arbavg tjeneste'!E13)</f>
        <v>5.9852490468490137E-2</v>
      </c>
      <c r="L13" s="5">
        <f>IF('2022 Lønnsgr arbavg tjeneste'!E13&lt;100,0,C13)</f>
        <v>641292</v>
      </c>
      <c r="M13" s="55">
        <f>'2022 Revekting utgiftsbehov'!E13*L13/$L$17</f>
        <v>0.16088779568303754</v>
      </c>
      <c r="N13" s="55">
        <f>'2022 Revekting utgiftsbehov'!E13/$M$17</f>
        <v>1.0690661099511769</v>
      </c>
      <c r="O13" s="55">
        <f>IF(L13=0,0,(L13/$L$17)*N13*'2022 Arbavg tjeneste'!E13/'2022 Lønnsgr arbavg tjeneste'!E13)</f>
        <v>6.196633464440765E-2</v>
      </c>
      <c r="P13" s="5">
        <f>IF(L13=0,0,'2022 Nto driftsutg landet'!$C$6*'2022 Lønnsand og arbavg landet'!$D$7*('2022 Arbavg tjeneste'!E13/'2022 Lønnsgr arbavg tjeneste'!E13-$O$17)*'2022 Revekting utgiftsbehov'!E13)</f>
        <v>36.369913657883103</v>
      </c>
      <c r="Q13" s="5">
        <f t="shared" si="4"/>
        <v>23323.734669491172</v>
      </c>
      <c r="R13" s="55">
        <f>IF('2022 Lønnsgr arbavg tjeneste'!F13&lt;100,0,(C13/$C$17)*'2022 Revekting utgiftsbehov'!F13*'2022 Arbavg tjeneste'!F13/'2022 Lønnsgr arbavg tjeneste'!F13)</f>
        <v>1.665680466947882E-2</v>
      </c>
      <c r="S13" s="5">
        <f>IF('2022 Lønnsgr arbavg tjeneste'!F13&lt;100,0,C13)</f>
        <v>641292</v>
      </c>
      <c r="T13" s="55">
        <f>'2022 Revekting utgiftsbehov'!F13*S13/$S$17</f>
        <v>0.11826788703205555</v>
      </c>
      <c r="U13" s="55">
        <f>'2022 Revekting utgiftsbehov'!F13/$T$17</f>
        <v>1.0002380833829485</v>
      </c>
      <c r="V13" s="55">
        <f>IF(S13=0,0,(S13/$S$17)*U13*'2022 Arbavg tjeneste'!F13/'2022 Lønnsgr arbavg tjeneste'!F13)</f>
        <v>1.6651858303319701E-2</v>
      </c>
      <c r="W13" s="5">
        <f>IF(S13=0,0,'2022 Nto driftsutg landet'!$C$7*'2022 Lønnsand og arbavg landet'!$D$8*('2022 Arbavg tjeneste'!F13/'2022 Lønnsgr arbavg tjeneste'!F13-$V$17)*'2022 Revekting utgiftsbehov'!F13)</f>
        <v>0.2355209126095949</v>
      </c>
      <c r="X13" s="5">
        <f t="shared" si="5"/>
        <v>151.03767708923235</v>
      </c>
      <c r="Y13" s="55">
        <f>IF('2022 Lønnsgr arbavg tjeneste'!G13&lt;100,0,(C13/$C$17)*'2022 Revekting utgiftsbehov'!G13*'2022 Arbavg tjeneste'!G13/'2022 Lønnsgr arbavg tjeneste'!G13)</f>
        <v>0</v>
      </c>
      <c r="Z13" s="5">
        <f>IF('2022 Lønnsgr arbavg tjeneste'!G13&lt;100,0,C13)</f>
        <v>0</v>
      </c>
      <c r="AA13" s="55">
        <f>'2022 Revekting utgiftsbehov'!G13*Z13/$Z$17</f>
        <v>0</v>
      </c>
      <c r="AB13" s="55">
        <f>'2022 Revekting utgiftsbehov'!G13/$AA$17</f>
        <v>1.3176957596839727</v>
      </c>
      <c r="AC13" s="55">
        <f>IF(Z13=0,0,(Z13/$Z$17)*AB13*'2022 Arbavg tjeneste'!G13/'2022 Lønnsgr arbavg tjeneste'!G13)</f>
        <v>0</v>
      </c>
      <c r="AD13" s="5">
        <f>IF(Z13=0,0,'2022 Nto driftsutg landet'!$C$8*'2022 Lønnsand og arbavg landet'!$D$9*('2022 Arbavg tjeneste'!G13/'2022 Lønnsgr arbavg tjeneste'!G13-$AC$17)*'2022 Revekting utgiftsbehov'!G13)</f>
        <v>0</v>
      </c>
      <c r="AE13" s="5">
        <f t="shared" si="6"/>
        <v>0</v>
      </c>
      <c r="AF13" s="55">
        <f>IF('2022 Lønnsgr arbavg tjeneste'!H13&lt;100,0,(C13/$C$17)*'2022 Revekting utgiftsbehov'!H13*'2022 Arbavg tjeneste'!H13/'2022 Lønnsgr arbavg tjeneste'!H13)</f>
        <v>1.625641531396347E-2</v>
      </c>
      <c r="AG13" s="5">
        <f>IF('2022 Lønnsgr arbavg tjeneste'!H13&lt;100,0,C13)</f>
        <v>641292</v>
      </c>
      <c r="AH13" s="55">
        <f>'2022 Revekting utgiftsbehov'!H13*AG13/$AG$17</f>
        <v>0.12192723149994748</v>
      </c>
      <c r="AI13" s="55">
        <f>'2022 Revekting utgiftsbehov'!H13/$AH$17</f>
        <v>1.0315305811607349</v>
      </c>
      <c r="AJ13" s="55">
        <f>IF(AG13=0,0,(AG13/$AG$17)*AI13*'2022 Arbavg tjeneste'!H13/'2022 Lønnsgr arbavg tjeneste'!H13)</f>
        <v>1.6257009014635893E-2</v>
      </c>
      <c r="AK13" s="5">
        <f>IF(AG13=0,0,'2022 Nto driftsutg landet'!$C$9*'2022 Lønnsand og arbavg landet'!$D$10*('2022 Arbavg tjeneste'!H13/'2022 Lønnsgr arbavg tjeneste'!H13-$AJ$17)*'2022 Revekting utgiftsbehov'!H13)</f>
        <v>2.3074614445668487</v>
      </c>
      <c r="AL13" s="5">
        <f t="shared" si="7"/>
        <v>1479.7565647091635</v>
      </c>
      <c r="AM13" s="55">
        <f>IF('2022 Lønnsgr arbavg tjeneste'!K13&lt;100,0,(C13/$C$17)*'2022 Arbavg tjeneste'!K13/'2022 Lønnsgr arbavg tjeneste'!K13)</f>
        <v>1.1075149104623979E-2</v>
      </c>
      <c r="AN13" s="5">
        <f>IF('2022 Lønnsgr arbavg tjeneste'!K13&lt;100,0,C13)</f>
        <v>641292</v>
      </c>
      <c r="AO13" s="55">
        <f t="shared" si="8"/>
        <v>0.11820462391733499</v>
      </c>
      <c r="AP13" s="55">
        <f t="shared" si="9"/>
        <v>1.0000365210079192</v>
      </c>
      <c r="AQ13" s="55">
        <f>IF(AN13=0,0,(AN13/$AN$17)*AP13*'2022 Arbavg tjeneste'!K13/'2022 Lønnsgr arbavg tjeneste'!K13)</f>
        <v>1.1075553580232135E-2</v>
      </c>
      <c r="AR13" s="5">
        <f>IF(AN13=0,0,'2022 Nto driftsutg landet'!$C$23*'2022 Lønnsand og arbavg landet'!$D$13*('2022 Arbavg tjeneste'!K13/'2022 Lønnsgr arbavg tjeneste'!K13-$AQ$17))</f>
        <v>-14.474379554194043</v>
      </c>
      <c r="AS13" s="5">
        <f t="shared" si="10"/>
        <v>-9282.3038130682053</v>
      </c>
      <c r="AT13" s="55">
        <f>IF('2022 Lønnsgr arbavg tjeneste'!L13&lt;100,0,(C13/$C$17)*'2022 Arbavg tjeneste'!L13/'2022 Lønnsgr arbavg tjeneste'!L13)</f>
        <v>1.5853109074465889E-2</v>
      </c>
      <c r="AU13" s="5">
        <f>IF('2022 Lønnsgr arbavg tjeneste'!L13&lt;100,0,C13)</f>
        <v>641292</v>
      </c>
      <c r="AV13" s="55">
        <f t="shared" si="11"/>
        <v>0.13571045085085146</v>
      </c>
      <c r="AW13" s="55">
        <f t="shared" si="12"/>
        <v>1</v>
      </c>
      <c r="AX13" s="55">
        <f>IF(AU13=0,0,(AU13/$AU$17)*AW13*'2022 Arbavg tjeneste'!L13/'2022 Lønnsgr arbavg tjeneste'!L13)</f>
        <v>1.8200917261815993E-2</v>
      </c>
      <c r="AY13" s="5">
        <f>IF(AU13=0,0,'2022 Nto driftsutg landet'!$C$24*'2022 Lønnsand og arbavg landet'!$D$14*('2022 Arbavg tjeneste'!L13/'2022 Lønnsgr arbavg tjeneste'!L13-$AX$17))</f>
        <v>0.18389823973910716</v>
      </c>
      <c r="AZ13" s="5">
        <f t="shared" si="13"/>
        <v>117.93246995877151</v>
      </c>
      <c r="BA13" s="55">
        <f>IF('2022 Lønnsgr arbavg tjeneste'!M13&lt;100,0,(C13/$C$17)*'2022 Arbavg tjeneste'!M13/'2022 Lønnsgr arbavg tjeneste'!M13)</f>
        <v>1.5834421027098658E-2</v>
      </c>
      <c r="BB13" s="5">
        <f>IF('2022 Lønnsgr arbavg tjeneste'!M13&lt;100,0,C13)</f>
        <v>641292</v>
      </c>
      <c r="BC13" s="55">
        <f t="shared" si="14"/>
        <v>0.11820462391733499</v>
      </c>
      <c r="BD13" s="55">
        <f t="shared" si="15"/>
        <v>1</v>
      </c>
      <c r="BE13" s="55">
        <f>IF(BB13=0,0,(BB13/$BB$17)*BD13*'2022 Arbavg tjeneste'!M13/'2022 Lønnsgr arbavg tjeneste'!M13)</f>
        <v>1.5834421027098658E-2</v>
      </c>
      <c r="BF13" s="5">
        <f>IF(BB13=0,0,'2022 Nto driftsutg landet'!$C$25*'2022 Lønnsand og arbavg landet'!$D$15*('2022 Arbavg tjeneste'!M13/'2022 Lønnsgr arbavg tjeneste'!M13-$BE$17))</f>
        <v>-1.7208185114453205E-2</v>
      </c>
      <c r="BG13" s="5">
        <f t="shared" si="16"/>
        <v>-11.035471448417924</v>
      </c>
      <c r="BH13" s="55">
        <f>IF('2022 Lønnsgr arbavg tjeneste'!N13&lt;100,0,(C13/$C$17)*'2022 Arbavg tjeneste'!N13/'2022 Lønnsgr arbavg tjeneste'!N13)</f>
        <v>1.5353010982404684E-2</v>
      </c>
      <c r="BI13" s="5">
        <f>IF('2022 Lønnsgr arbavg tjeneste'!N13&lt;100,0,C13)</f>
        <v>641292</v>
      </c>
      <c r="BJ13" s="55">
        <f t="shared" si="17"/>
        <v>0.11820462391733499</v>
      </c>
      <c r="BK13" s="55">
        <f t="shared" si="18"/>
        <v>1</v>
      </c>
      <c r="BL13" s="55">
        <f>IF(BI13=0,0,(BI13/$BI$17)*BK13*'2022 Arbavg tjeneste'!N13/'2022 Lønnsgr arbavg tjeneste'!N13)</f>
        <v>1.5353010982404684E-2</v>
      </c>
      <c r="BM13" s="5">
        <f>IF(BI13=0,0,'2022 Nto driftsutg landet'!$C$26*'2022 Lønnsand og arbavg landet'!$D$16*('2022 Arbavg tjeneste'!N13/'2022 Lønnsgr arbavg tjeneste'!N13-$BL$17))</f>
        <v>-5.1240317572005525E-3</v>
      </c>
      <c r="BN13" s="5">
        <f t="shared" si="19"/>
        <v>-3.2860005736386566</v>
      </c>
      <c r="BO13" s="55">
        <f>IF('2022 Lønnsgr arbavg tjeneste'!O13&lt;100,0,(C13/$C$17)*'2022 Arbavg tjeneste'!O13/'2022 Lønnsgr arbavg tjeneste'!O13)</f>
        <v>0</v>
      </c>
      <c r="BP13" s="5">
        <f>IF('2022 Lønnsgr arbavg tjeneste'!O13&lt;100,0,C13)</f>
        <v>0</v>
      </c>
      <c r="BQ13" s="55">
        <f t="shared" si="20"/>
        <v>0</v>
      </c>
      <c r="BR13" s="55">
        <f t="shared" si="21"/>
        <v>1</v>
      </c>
      <c r="BS13" s="55">
        <f>IF(BP13=0,0,(BP13/$BP$17)*BR13*'2022 Arbavg tjeneste'!O13/'2022 Lønnsgr arbavg tjeneste'!O13)</f>
        <v>0</v>
      </c>
      <c r="BT13" s="5">
        <f>IF(BP13=0,0,'2022 Nto driftsutg landet'!$C$27*'2022 Lønnsand og arbavg landet'!$D$17*('2022 Arbavg tjeneste'!O13/'2022 Lønnsgr arbavg tjeneste'!O13-$BS$17))</f>
        <v>0</v>
      </c>
      <c r="BU13" s="5">
        <f t="shared" si="22"/>
        <v>0</v>
      </c>
      <c r="BV13" s="55">
        <f>IF('2022 Lønnsgr arbavg tjeneste'!P13&lt;100,0,(C13/$C$17)*'2022 Arbavg tjeneste'!P13/'2022 Lønnsgr arbavg tjeneste'!P13)</f>
        <v>1.6638774041149797E-2</v>
      </c>
      <c r="BW13" s="5">
        <f>IF('2022 Lønnsgr arbavg tjeneste'!P13&lt;100,0,C13)</f>
        <v>641292</v>
      </c>
      <c r="BX13" s="55">
        <f t="shared" si="23"/>
        <v>0.19006757812117944</v>
      </c>
      <c r="BY13" s="55">
        <f t="shared" si="24"/>
        <v>1</v>
      </c>
      <c r="BZ13" s="55">
        <f>IF(BW13=0,0,(BW13/$BW$17)*BY13*'2022 Arbavg tjeneste'!P13/'2022 Lønnsgr arbavg tjeneste'!P13)</f>
        <v>2.675438049799593E-2</v>
      </c>
      <c r="CA13" s="5">
        <f>IF(BW13=0,0,'2022 Nto driftsutg landet'!$C$28*'2022 Lønnsand og arbavg landet'!$D$18*('2022 Arbavg tjeneste'!P13/'2022 Lønnsgr arbavg tjeneste'!P13-$BZ$17))</f>
        <v>-1.8805439711355187E-3</v>
      </c>
      <c r="CB13" s="5">
        <f t="shared" si="25"/>
        <v>-1.205977804337439</v>
      </c>
      <c r="CC13" s="5"/>
      <c r="CD13" s="5"/>
      <c r="CE13" s="5"/>
    </row>
    <row r="14" spans="1:83" x14ac:dyDescent="0.3">
      <c r="A14" s="41">
        <v>5000</v>
      </c>
      <c r="B14" s="42" t="s">
        <v>388</v>
      </c>
      <c r="C14" s="42">
        <f>+'2022 Nto driftsutg'!W14</f>
        <v>474131</v>
      </c>
      <c r="D14" s="55">
        <f>IF('2022 Lønnsgr arbavg tjeneste'!D14&lt;100,0,(C14/$C$17)*'2022 Revekting utgiftsbehov'!D14*'2022 Arbavg tjeneste'!D14/'2022 Lønnsgr arbavg tjeneste'!D14)</f>
        <v>1.1425480091156646E-2</v>
      </c>
      <c r="E14" s="5">
        <f>IF('2022 Lønnsgr arbavg tjeneste'!D14&lt;100,0,C14)</f>
        <v>474131</v>
      </c>
      <c r="F14" s="55">
        <f>'2022 Revekting utgiftsbehov'!D14*E14/$E$17</f>
        <v>8.9171843037491219E-2</v>
      </c>
      <c r="G14" s="55">
        <f>'2022 Revekting utgiftsbehov'!D14/$F$17</f>
        <v>1.0203359169541177</v>
      </c>
      <c r="H14" s="55">
        <f>IF(E14=0,0,(E14/$E$17)*G14*'2022 Arbavg tjeneste'!D14/'2022 Lønnsgr arbavg tjeneste'!D14)</f>
        <v>1.1425280852314767E-2</v>
      </c>
      <c r="I14" s="5">
        <f>IF(E14=0,0,'2022 Nto driftsutg landet'!$C$5*'2022 Lønnsand og arbavg landet'!$D$6*('2022 Arbavg tjeneste'!D14/'2022 Lønnsgr arbavg tjeneste'!D14-$H$17)*'2022 Revekting utgiftsbehov'!D14)</f>
        <v>-1.2433413764553691</v>
      </c>
      <c r="J14" s="5">
        <f t="shared" si="3"/>
        <v>-589.5066901601607</v>
      </c>
      <c r="K14" s="55">
        <f>IF('2022 Lønnsgr arbavg tjeneste'!E14&lt;100,0,(C14/$C$17)*'2022 Revekting utgiftsbehov'!E14*'2022 Arbavg tjeneste'!E14/'2022 Lønnsgr arbavg tjeneste'!E14)</f>
        <v>3.2479088768382861E-2</v>
      </c>
      <c r="L14" s="5">
        <f>IF('2022 Lønnsgr arbavg tjeneste'!E14&lt;100,0,C14)</f>
        <v>474131</v>
      </c>
      <c r="M14" s="55">
        <f>'2022 Revekting utgiftsbehov'!E14*L14/$L$17</f>
        <v>0.12847013288375717</v>
      </c>
      <c r="N14" s="55">
        <f>'2022 Revekting utgiftsbehov'!E14/$M$17</f>
        <v>1.1546253939528952</v>
      </c>
      <c r="O14" s="55">
        <f>IF(L14=0,0,(L14/$L$17)*N14*'2022 Arbavg tjeneste'!E14/'2022 Lønnsgr arbavg tjeneste'!E14)</f>
        <v>3.3626171071805121E-2</v>
      </c>
      <c r="P14" s="5">
        <f>IF(L14=0,0,'2022 Nto driftsutg landet'!$C$6*'2022 Lønnsand og arbavg landet'!$D$7*('2022 Arbavg tjeneste'!E14/'2022 Lønnsgr arbavg tjeneste'!E14-$O$17)*'2022 Revekting utgiftsbehov'!E14)</f>
        <v>13.104209245474539</v>
      </c>
      <c r="Q14" s="5">
        <f t="shared" si="4"/>
        <v>6213.1118337660891</v>
      </c>
      <c r="R14" s="55">
        <f>IF('2022 Lønnsgr arbavg tjeneste'!F14&lt;100,0,(C14/$C$17)*'2022 Revekting utgiftsbehov'!F14*'2022 Arbavg tjeneste'!F14/'2022 Lønnsgr arbavg tjeneste'!F14)</f>
        <v>1.3331769422112151E-2</v>
      </c>
      <c r="S14" s="5">
        <f>IF('2022 Lønnsgr arbavg tjeneste'!F14&lt;100,0,C14)</f>
        <v>474131</v>
      </c>
      <c r="T14" s="55">
        <f>'2022 Revekting utgiftsbehov'!F14*S14/$S$17</f>
        <v>9.2775329351497723E-2</v>
      </c>
      <c r="U14" s="55">
        <f>'2022 Revekting utgiftsbehov'!F14/$T$17</f>
        <v>1.0612715536411288</v>
      </c>
      <c r="V14" s="55">
        <f>IF(S14=0,0,(S14/$S$17)*U14*'2022 Arbavg tjeneste'!F14/'2022 Lønnsgr arbavg tjeneste'!F14)</f>
        <v>1.3327810450723628E-2</v>
      </c>
      <c r="W14" s="5">
        <f>IF(S14=0,0,'2022 Nto driftsutg landet'!$C$7*'2022 Lønnsand og arbavg landet'!$D$8*('2022 Arbavg tjeneste'!F14/'2022 Lønnsgr arbavg tjeneste'!F14-$V$17)*'2022 Revekting utgiftsbehov'!F14)</f>
        <v>0.3795089734806647</v>
      </c>
      <c r="X14" s="5">
        <f t="shared" si="5"/>
        <v>179.93696910536102</v>
      </c>
      <c r="Y14" s="55">
        <f>IF('2022 Lønnsgr arbavg tjeneste'!G14&lt;100,0,(C14/$C$17)*'2022 Revekting utgiftsbehov'!G14*'2022 Arbavg tjeneste'!G14/'2022 Lønnsgr arbavg tjeneste'!G14)</f>
        <v>1.2818414768303858E-2</v>
      </c>
      <c r="Z14" s="5">
        <f>IF('2022 Lønnsgr arbavg tjeneste'!G14&lt;100,0,C14)</f>
        <v>474131</v>
      </c>
      <c r="AA14" s="55">
        <f>'2022 Revekting utgiftsbehov'!G14*Z14/$Z$17</f>
        <v>0.24366239639560702</v>
      </c>
      <c r="AB14" s="55">
        <f>'2022 Revekting utgiftsbehov'!G14/$AA$17</f>
        <v>0.75100521774183482</v>
      </c>
      <c r="AC14" s="55">
        <f>IF(Z14=0,0,(Z14/$Z$17)*AB14*'2022 Arbavg tjeneste'!G14/'2022 Lønnsgr arbavg tjeneste'!G14)</f>
        <v>1.779017930388414E-2</v>
      </c>
      <c r="AD14" s="5">
        <f>IF(Z14=0,0,'2022 Nto driftsutg landet'!$C$8*'2022 Lønnsand og arbavg landet'!$D$9*('2022 Arbavg tjeneste'!G14/'2022 Lønnsgr arbavg tjeneste'!G14-$AC$17)*'2022 Revekting utgiftsbehov'!G14)</f>
        <v>0.21042606647899464</v>
      </c>
      <c r="AE14" s="5">
        <f t="shared" si="6"/>
        <v>99.769521325752208</v>
      </c>
      <c r="AF14" s="55">
        <f>IF('2022 Lønnsgr arbavg tjeneste'!H14&lt;100,0,(C14/$C$17)*'2022 Revekting utgiftsbehov'!H14*'2022 Arbavg tjeneste'!H14/'2022 Lønnsgr arbavg tjeneste'!H14)</f>
        <v>1.1021546737730953E-2</v>
      </c>
      <c r="AG14" s="5">
        <f>IF('2022 Lønnsgr arbavg tjeneste'!H14&lt;100,0,C14)</f>
        <v>474131</v>
      </c>
      <c r="AH14" s="55">
        <f>'2022 Revekting utgiftsbehov'!H14*AG14/$AG$17</f>
        <v>8.7775588430749063E-2</v>
      </c>
      <c r="AI14" s="55">
        <f>'2022 Revekting utgiftsbehov'!H14/$AH$17</f>
        <v>1.0044136708600055</v>
      </c>
      <c r="AJ14" s="55">
        <f>IF(AG14=0,0,(AG14/$AG$17)*AI14*'2022 Arbavg tjeneste'!H14/'2022 Lønnsgr arbavg tjeneste'!H14)</f>
        <v>1.1021949255726643E-2</v>
      </c>
      <c r="AK14" s="5">
        <f>IF(AG14=0,0,'2022 Nto driftsutg landet'!$C$9*'2022 Lønnsand og arbavg landet'!$D$10*('2022 Arbavg tjeneste'!H14/'2022 Lønnsgr arbavg tjeneste'!H14-$AJ$17)*'2022 Revekting utgiftsbehov'!H14)</f>
        <v>-0.36106876395803478</v>
      </c>
      <c r="AL14" s="5">
        <f t="shared" si="7"/>
        <v>-171.19389412418698</v>
      </c>
      <c r="AM14" s="55">
        <f>IF('2022 Lønnsgr arbavg tjeneste'!K14&lt;100,0,(C14/$C$17)*'2022 Arbavg tjeneste'!K14/'2022 Lønnsgr arbavg tjeneste'!K14)</f>
        <v>6.0419112729745445E-3</v>
      </c>
      <c r="AN14" s="5">
        <f>IF('2022 Lønnsgr arbavg tjeneste'!K14&lt;100,0,C14)</f>
        <v>474131</v>
      </c>
      <c r="AO14" s="55">
        <f t="shared" si="8"/>
        <v>8.7393069837998841E-2</v>
      </c>
      <c r="AP14" s="55">
        <f t="shared" si="9"/>
        <v>1.0000365210079192</v>
      </c>
      <c r="AQ14" s="55">
        <f>IF(AN14=0,0,(AN14/$AN$17)*AP14*'2022 Arbavg tjeneste'!K14/'2022 Lønnsgr arbavg tjeneste'!K14)</f>
        <v>6.0421319296639917E-3</v>
      </c>
      <c r="AR14" s="5">
        <f>IF(AN14=0,0,'2022 Nto driftsutg landet'!$C$23*'2022 Lønnsand og arbavg landet'!$D$13*('2022 Arbavg tjeneste'!K14/'2022 Lønnsgr arbavg tjeneste'!K14-$AQ$17))</f>
        <v>-26.197366003971002</v>
      </c>
      <c r="AS14" s="5">
        <f t="shared" si="10"/>
        <v>-12420.983340828774</v>
      </c>
      <c r="AT14" s="55">
        <f>IF('2022 Lønnsgr arbavg tjeneste'!L14&lt;100,0,(C14/$C$17)*'2022 Arbavg tjeneste'!L14/'2022 Lønnsgr arbavg tjeneste'!L14)</f>
        <v>1.2060332316557933E-2</v>
      </c>
      <c r="AU14" s="5">
        <f>IF('2022 Lønnsgr arbavg tjeneste'!L14&lt;100,0,C14)</f>
        <v>474131</v>
      </c>
      <c r="AV14" s="55">
        <f t="shared" si="11"/>
        <v>0.10033577804239729</v>
      </c>
      <c r="AW14" s="55">
        <f t="shared" si="12"/>
        <v>1</v>
      </c>
      <c r="AX14" s="55">
        <f>IF(AU14=0,0,(AU14/$AU$17)*AW14*'2022 Arbavg tjeneste'!L14/'2022 Lønnsgr arbavg tjeneste'!L14)</f>
        <v>1.3846439181903635E-2</v>
      </c>
      <c r="AY14" s="5">
        <f>IF(AU14=0,0,'2022 Nto driftsutg landet'!$C$24*'2022 Lønnsand og arbavg landet'!$D$14*('2022 Arbavg tjeneste'!L14/'2022 Lønnsgr arbavg tjeneste'!L14-$AX$17))</f>
        <v>0.40586810504034165</v>
      </c>
      <c r="AZ14" s="5">
        <f t="shared" si="13"/>
        <v>192.43465051088222</v>
      </c>
      <c r="BA14" s="55">
        <f>IF('2022 Lønnsgr arbavg tjeneste'!M14&lt;100,0,(C14/$C$17)*'2022 Arbavg tjeneste'!M14/'2022 Lønnsgr arbavg tjeneste'!M14)</f>
        <v>1.0775911214293934E-2</v>
      </c>
      <c r="BB14" s="5">
        <f>IF('2022 Lønnsgr arbavg tjeneste'!M14&lt;100,0,C14)</f>
        <v>474131</v>
      </c>
      <c r="BC14" s="55">
        <f t="shared" si="14"/>
        <v>8.7393069837998841E-2</v>
      </c>
      <c r="BD14" s="55">
        <f t="shared" si="15"/>
        <v>1</v>
      </c>
      <c r="BE14" s="55">
        <f>IF(BB14=0,0,(BB14/$BB$17)*BD14*'2022 Arbavg tjeneste'!M14/'2022 Lønnsgr arbavg tjeneste'!M14)</f>
        <v>1.0775911214293934E-2</v>
      </c>
      <c r="BF14" s="5">
        <f>IF(BB14=0,0,'2022 Nto driftsutg landet'!$C$25*'2022 Lønnsand og arbavg landet'!$D$15*('2022 Arbavg tjeneste'!M14/'2022 Lønnsgr arbavg tjeneste'!M14-$BE$17))</f>
        <v>1.0064756933471405E-2</v>
      </c>
      <c r="BG14" s="5">
        <f t="shared" si="16"/>
        <v>4.7720132696237307</v>
      </c>
      <c r="BH14" s="55">
        <f>IF('2022 Lønnsgr arbavg tjeneste'!N14&lt;100,0,(C14/$C$17)*'2022 Arbavg tjeneste'!N14/'2022 Lønnsgr arbavg tjeneste'!N14)</f>
        <v>1.2521572120604072E-2</v>
      </c>
      <c r="BI14" s="5">
        <f>IF('2022 Lønnsgr arbavg tjeneste'!N14&lt;100,0,C14)</f>
        <v>474131</v>
      </c>
      <c r="BJ14" s="55">
        <f t="shared" si="17"/>
        <v>8.7393069837998841E-2</v>
      </c>
      <c r="BK14" s="55">
        <f t="shared" si="18"/>
        <v>1</v>
      </c>
      <c r="BL14" s="55">
        <f>IF(BI14=0,0,(BI14/$BI$17)*BK14*'2022 Arbavg tjeneste'!N14/'2022 Lønnsgr arbavg tjeneste'!N14)</f>
        <v>1.2521572120604072E-2</v>
      </c>
      <c r="BM14" s="5">
        <f>IF(BI14=0,0,'2022 Nto driftsutg landet'!$C$26*'2022 Lønnsand og arbavg landet'!$D$16*('2022 Arbavg tjeneste'!N14/'2022 Lønnsgr arbavg tjeneste'!N14-$BL$17))</f>
        <v>0.40216907253141976</v>
      </c>
      <c r="BN14" s="5">
        <f t="shared" si="19"/>
        <v>190.6808245283946</v>
      </c>
      <c r="BO14" s="55">
        <f>IF('2022 Lønnsgr arbavg tjeneste'!O14&lt;100,0,(C14/$C$17)*'2022 Arbavg tjeneste'!O14/'2022 Lønnsgr arbavg tjeneste'!O14)</f>
        <v>0</v>
      </c>
      <c r="BP14" s="5">
        <f>IF('2022 Lønnsgr arbavg tjeneste'!O14&lt;100,0,C14)</f>
        <v>0</v>
      </c>
      <c r="BQ14" s="55">
        <f t="shared" si="20"/>
        <v>0</v>
      </c>
      <c r="BR14" s="55">
        <f t="shared" si="21"/>
        <v>1</v>
      </c>
      <c r="BS14" s="55">
        <f>IF(BP14=0,0,(BP14/$BP$17)*BR14*'2022 Arbavg tjeneste'!O14/'2022 Lønnsgr arbavg tjeneste'!O14)</f>
        <v>0</v>
      </c>
      <c r="BT14" s="5">
        <f>IF(BP14=0,0,'2022 Nto driftsutg landet'!$C$27*'2022 Lønnsand og arbavg landet'!$D$17*('2022 Arbavg tjeneste'!O14/'2022 Lønnsgr arbavg tjeneste'!O14-$BS$17))</f>
        <v>0</v>
      </c>
      <c r="BU14" s="5">
        <f t="shared" si="22"/>
        <v>0</v>
      </c>
      <c r="BV14" s="55">
        <f>IF('2022 Lønnsgr arbavg tjeneste'!P14&lt;100,0,(C14/$C$17)*'2022 Arbavg tjeneste'!P14/'2022 Lønnsgr arbavg tjeneste'!P14)</f>
        <v>0</v>
      </c>
      <c r="BW14" s="5">
        <f>IF('2022 Lønnsgr arbavg tjeneste'!P14&lt;100,0,C14)</f>
        <v>0</v>
      </c>
      <c r="BX14" s="55">
        <f t="shared" si="23"/>
        <v>0</v>
      </c>
      <c r="BY14" s="55">
        <f t="shared" si="24"/>
        <v>1</v>
      </c>
      <c r="BZ14" s="55">
        <f>IF(BW14=0,0,(BW14/$BW$17)*BY14*'2022 Arbavg tjeneste'!P14/'2022 Lønnsgr arbavg tjeneste'!P14)</f>
        <v>0</v>
      </c>
      <c r="CA14" s="5">
        <f>IF(BW14=0,0,'2022 Nto driftsutg landet'!$C$28*'2022 Lønnsand og arbavg landet'!$D$18*('2022 Arbavg tjeneste'!P14/'2022 Lønnsgr arbavg tjeneste'!P14-$BZ$17))</f>
        <v>0</v>
      </c>
      <c r="CB14" s="5">
        <f t="shared" si="25"/>
        <v>0</v>
      </c>
      <c r="CC14" s="5"/>
      <c r="CD14" s="5"/>
      <c r="CE14" s="5"/>
    </row>
    <row r="15" spans="1:83" x14ac:dyDescent="0.3">
      <c r="A15" s="41">
        <v>5400</v>
      </c>
      <c r="B15" s="42" t="s">
        <v>408</v>
      </c>
      <c r="C15" s="42">
        <f>+'2022 Nto driftsutg'!W15</f>
        <v>241736</v>
      </c>
      <c r="D15" s="55">
        <f>IF('2022 Lønnsgr arbavg tjeneste'!D15&lt;100,0,(C15/$C$17)*'2022 Revekting utgiftsbehov'!D15*'2022 Arbavg tjeneste'!D15/'2022 Lønnsgr arbavg tjeneste'!D15)</f>
        <v>1.8839811522553588E-3</v>
      </c>
      <c r="E15" s="5">
        <f>IF('2022 Lønnsgr arbavg tjeneste'!D15&lt;100,0,C15)</f>
        <v>241736</v>
      </c>
      <c r="F15" s="55">
        <f>'2022 Revekting utgiftsbehov'!D15*E15/$E$17</f>
        <v>4.7419555193337848E-2</v>
      </c>
      <c r="G15" s="55">
        <f>'2022 Revekting utgiftsbehov'!D15/$F$17</f>
        <v>1.0642163517486827</v>
      </c>
      <c r="H15" s="55">
        <f>IF(E15=0,0,(E15/$E$17)*G15*'2022 Arbavg tjeneste'!D15/'2022 Lønnsgr arbavg tjeneste'!D15)</f>
        <v>1.8839482991743592E-3</v>
      </c>
      <c r="I15" s="5">
        <f>IF(E15=0,0,'2022 Nto driftsutg landet'!$C$5*'2022 Lønnsand og arbavg landet'!$D$6*('2022 Arbavg tjeneste'!D15/'2022 Lønnsgr arbavg tjeneste'!D15-$H$17)*'2022 Revekting utgiftsbehov'!D15)</f>
        <v>-369.87362732889073</v>
      </c>
      <c r="J15" s="5">
        <f t="shared" si="3"/>
        <v>-89411.771175976726</v>
      </c>
      <c r="K15" s="55">
        <f>IF('2022 Lønnsgr arbavg tjeneste'!E15&lt;100,0,(C15/$C$17)*'2022 Revekting utgiftsbehov'!E15*'2022 Arbavg tjeneste'!E15/'2022 Lønnsgr arbavg tjeneste'!E15)</f>
        <v>3.7365204684192068E-3</v>
      </c>
      <c r="L15" s="5">
        <f>IF('2022 Lønnsgr arbavg tjeneste'!E15&lt;100,0,C15)</f>
        <v>241736</v>
      </c>
      <c r="M15" s="55">
        <f>'2022 Revekting utgiftsbehov'!E15*L15/$L$17</f>
        <v>0.105661965854613</v>
      </c>
      <c r="N15" s="55">
        <f>'2022 Revekting utgiftsbehov'!E15/$M$17</f>
        <v>1.8625787252973451</v>
      </c>
      <c r="O15" s="55">
        <f>IF(L15=0,0,(L15/$L$17)*N15*'2022 Arbavg tjeneste'!E15/'2022 Lønnsgr arbavg tjeneste'!E15)</f>
        <v>3.8684852700262974E-3</v>
      </c>
      <c r="P15" s="5">
        <f>IF(L15=0,0,'2022 Nto driftsutg landet'!$C$6*'2022 Lønnsand og arbavg landet'!$D$7*('2022 Arbavg tjeneste'!E15/'2022 Lønnsgr arbavg tjeneste'!E15-$O$17)*'2022 Revekting utgiftsbehov'!E15)</f>
        <v>-55.893124168348727</v>
      </c>
      <c r="Q15" s="5">
        <f t="shared" si="4"/>
        <v>-13511.380263959947</v>
      </c>
      <c r="R15" s="55">
        <f>IF('2022 Lønnsgr arbavg tjeneste'!F15&lt;100,0,(C15/$C$17)*'2022 Revekting utgiftsbehov'!F15*'2022 Arbavg tjeneste'!F15/'2022 Lønnsgr arbavg tjeneste'!F15)</f>
        <v>3.067013835153285E-3</v>
      </c>
      <c r="S15" s="5">
        <f>IF('2022 Lønnsgr arbavg tjeneste'!F15&lt;100,0,C15)</f>
        <v>241736</v>
      </c>
      <c r="T15" s="55">
        <f>'2022 Revekting utgiftsbehov'!F15*S15/$S$17</f>
        <v>4.9975538208774858E-2</v>
      </c>
      <c r="U15" s="55">
        <f>'2022 Revekting utgiftsbehov'!F15/$T$17</f>
        <v>1.1212656526402751</v>
      </c>
      <c r="V15" s="55">
        <f>IF(S15=0,0,(S15/$S$17)*U15*'2022 Arbavg tjeneste'!F15/'2022 Lønnsgr arbavg tjeneste'!F15)</f>
        <v>3.06610306182402E-3</v>
      </c>
      <c r="W15" s="5">
        <f>IF(S15=0,0,'2022 Nto driftsutg landet'!$C$7*'2022 Lønnsand og arbavg landet'!$D$8*('2022 Arbavg tjeneste'!F15/'2022 Lønnsgr arbavg tjeneste'!F15-$V$17)*'2022 Revekting utgiftsbehov'!F15)</f>
        <v>-3.5413258218411658</v>
      </c>
      <c r="X15" s="5">
        <f t="shared" si="5"/>
        <v>-856.06593886859605</v>
      </c>
      <c r="Y15" s="55">
        <f>IF('2022 Lønnsgr arbavg tjeneste'!G15&lt;100,0,(C15/$C$17)*'2022 Revekting utgiftsbehov'!G15*'2022 Arbavg tjeneste'!G15/'2022 Lønnsgr arbavg tjeneste'!G15)</f>
        <v>3.640591820952061E-3</v>
      </c>
      <c r="Z15" s="5">
        <f>IF('2022 Lønnsgr arbavg tjeneste'!G15&lt;100,0,C15)</f>
        <v>241736</v>
      </c>
      <c r="AA15" s="55">
        <f>'2022 Revekting utgiftsbehov'!G15*Z15/$Z$17</f>
        <v>0.32168898481922636</v>
      </c>
      <c r="AB15" s="55">
        <f>'2022 Revekting utgiftsbehov'!G15/$AA$17</f>
        <v>1.9446777866524561</v>
      </c>
      <c r="AC15" s="55">
        <f>IF(Z15=0,0,(Z15/$Z$17)*AB15*'2022 Arbavg tjeneste'!G15/'2022 Lønnsgr arbavg tjeneste'!G15)</f>
        <v>5.0526357929328589E-3</v>
      </c>
      <c r="AD15" s="5">
        <f>IF(Z15=0,0,'2022 Nto driftsutg landet'!$C$8*'2022 Lønnsand og arbavg landet'!$D$9*('2022 Arbavg tjeneste'!G15/'2022 Lønnsgr arbavg tjeneste'!G15-$AC$17)*'2022 Revekting utgiftsbehov'!G15)</f>
        <v>-1.1951106603352577</v>
      </c>
      <c r="AE15" s="5">
        <f t="shared" si="6"/>
        <v>-288.90127058680383</v>
      </c>
      <c r="AF15" s="55">
        <f>IF('2022 Lønnsgr arbavg tjeneste'!H15&lt;100,0,(C15/$C$17)*'2022 Revekting utgiftsbehov'!H15*'2022 Arbavg tjeneste'!H15/'2022 Lønnsgr arbavg tjeneste'!H15)</f>
        <v>1.5596650430404133E-3</v>
      </c>
      <c r="AG15" s="5">
        <f>IF('2022 Lønnsgr arbavg tjeneste'!H15&lt;100,0,C15)</f>
        <v>241736</v>
      </c>
      <c r="AH15" s="55">
        <f>'2022 Revekting utgiftsbehov'!H15*AG15/$AG$17</f>
        <v>4.3278945683145727E-2</v>
      </c>
      <c r="AI15" s="55">
        <f>'2022 Revekting utgiftsbehov'!H15/$AH$17</f>
        <v>0.97134287312524759</v>
      </c>
      <c r="AJ15" s="55">
        <f>IF(AG15=0,0,(AG15/$AG$17)*AI15*'2022 Arbavg tjeneste'!H15/'2022 Lønnsgr arbavg tjeneste'!H15)</f>
        <v>1.5597220035798015E-3</v>
      </c>
      <c r="AK15" s="5">
        <f>IF(AG15=0,0,'2022 Nto driftsutg landet'!$C$9*'2022 Lønnsand og arbavg landet'!$D$10*('2022 Arbavg tjeneste'!H15/'2022 Lønnsgr arbavg tjeneste'!H15-$AJ$17)*'2022 Revekting utgiftsbehov'!H15)</f>
        <v>-29.431560006609136</v>
      </c>
      <c r="AL15" s="5">
        <f t="shared" si="7"/>
        <v>-7114.6675897576661</v>
      </c>
      <c r="AM15" s="55">
        <f>IF('2022 Lønnsgr arbavg tjeneste'!K15&lt;100,0,(C15/$C$17)*'2022 Arbavg tjeneste'!K15/'2022 Lønnsgr arbavg tjeneste'!K15)</f>
        <v>2.351645102642865E-3</v>
      </c>
      <c r="AN15" s="5">
        <f>IF('2022 Lønnsgr arbavg tjeneste'!K15&lt;100,0,C15)</f>
        <v>241736</v>
      </c>
      <c r="AO15" s="55">
        <f t="shared" si="8"/>
        <v>4.45574137324041E-2</v>
      </c>
      <c r="AP15" s="55">
        <f t="shared" si="9"/>
        <v>1.0000365210079192</v>
      </c>
      <c r="AQ15" s="55">
        <f>IF(AN15=0,0,(AN15/$AN$17)*AP15*'2022 Arbavg tjeneste'!K15/'2022 Lønnsgr arbavg tjeneste'!K15)</f>
        <v>2.3517309870922814E-3</v>
      </c>
      <c r="AR15" s="5">
        <f>IF(AN15=0,0,'2022 Nto driftsutg landet'!$C$23*'2022 Lønnsand og arbavg landet'!$D$13*('2022 Arbavg tjeneste'!K15/'2022 Lønnsgr arbavg tjeneste'!K15-$AQ$17))</f>
        <v>-34.004969957763834</v>
      </c>
      <c r="AS15" s="5">
        <f t="shared" si="10"/>
        <v>-8220.2254177099985</v>
      </c>
      <c r="AT15" s="55">
        <f>IF('2022 Lønnsgr arbavg tjeneste'!L15&lt;100,0,(C15/$C$17)*'2022 Arbavg tjeneste'!L15/'2022 Lønnsgr arbavg tjeneste'!L15)</f>
        <v>2.3235515350006498E-3</v>
      </c>
      <c r="AU15" s="5">
        <f>IF('2022 Lønnsgr arbavg tjeneste'!L15&lt;100,0,C15)</f>
        <v>241736</v>
      </c>
      <c r="AV15" s="55">
        <f t="shared" si="11"/>
        <v>5.1156261963164092E-2</v>
      </c>
      <c r="AW15" s="55">
        <f t="shared" si="12"/>
        <v>1</v>
      </c>
      <c r="AX15" s="55">
        <f>IF(AU15=0,0,(AU15/$AU$17)*AW15*'2022 Arbavg tjeneste'!L15/'2022 Lønnsgr arbavg tjeneste'!L15)</f>
        <v>2.6676640552627507E-3</v>
      </c>
      <c r="AY15" s="5">
        <f>IF(AU15=0,0,'2022 Nto driftsutg landet'!$C$24*'2022 Lønnsand og arbavg landet'!$D$14*('2022 Arbavg tjeneste'!L15/'2022 Lønnsgr arbavg tjeneste'!L15-$AX$17))</f>
        <v>-4.4991326210859155</v>
      </c>
      <c r="AZ15" s="5">
        <f t="shared" si="13"/>
        <v>-1087.6023232908249</v>
      </c>
      <c r="BA15" s="55">
        <f>IF('2022 Lønnsgr arbavg tjeneste'!M15&lt;100,0,(C15/$C$17)*'2022 Arbavg tjeneste'!M15/'2022 Lønnsgr arbavg tjeneste'!M15)</f>
        <v>2.247281512335021E-3</v>
      </c>
      <c r="BB15" s="5">
        <f>IF('2022 Lønnsgr arbavg tjeneste'!M15&lt;100,0,C15)</f>
        <v>241736</v>
      </c>
      <c r="BC15" s="55">
        <f t="shared" si="14"/>
        <v>4.45574137324041E-2</v>
      </c>
      <c r="BD15" s="55">
        <f t="shared" si="15"/>
        <v>1</v>
      </c>
      <c r="BE15" s="55">
        <f>IF(BB15=0,0,(BB15/$BB$17)*BD15*'2022 Arbavg tjeneste'!M15/'2022 Lønnsgr arbavg tjeneste'!M15)</f>
        <v>2.247281512335021E-3</v>
      </c>
      <c r="BF15" s="5">
        <f>IF(BB15=0,0,'2022 Nto driftsutg landet'!$C$25*'2022 Lønnsand og arbavg landet'!$D$15*('2022 Arbavg tjeneste'!M15/'2022 Lønnsgr arbavg tjeneste'!M15-$BE$17))</f>
        <v>0.19660303595777684</v>
      </c>
      <c r="BG15" s="5">
        <f t="shared" si="16"/>
        <v>47.526031500289143</v>
      </c>
      <c r="BH15" s="55">
        <f>IF('2022 Lønnsgr arbavg tjeneste'!N15&lt;100,0,(C15/$C$17)*'2022 Arbavg tjeneste'!N15/'2022 Lønnsgr arbavg tjeneste'!N15)</f>
        <v>1.4762551504045012E-3</v>
      </c>
      <c r="BI15" s="5">
        <f>IF('2022 Lønnsgr arbavg tjeneste'!N15&lt;100,0,C15)</f>
        <v>241736</v>
      </c>
      <c r="BJ15" s="55">
        <f t="shared" si="17"/>
        <v>4.45574137324041E-2</v>
      </c>
      <c r="BK15" s="55">
        <f t="shared" si="18"/>
        <v>1</v>
      </c>
      <c r="BL15" s="55">
        <f>IF(BI15=0,0,(BI15/$BI$17)*BK15*'2022 Arbavg tjeneste'!N15/'2022 Lønnsgr arbavg tjeneste'!N15)</f>
        <v>1.4762551504045012E-3</v>
      </c>
      <c r="BM15" s="5">
        <f>IF(BI15=0,0,'2022 Nto driftsutg landet'!$C$26*'2022 Lønnsand og arbavg landet'!$D$16*('2022 Arbavg tjeneste'!N15/'2022 Lønnsgr arbavg tjeneste'!N15-$BL$17))</f>
        <v>-2.9473202761054083</v>
      </c>
      <c r="BN15" s="5">
        <f t="shared" si="19"/>
        <v>-712.47341426461708</v>
      </c>
      <c r="BO15" s="55">
        <f>IF('2022 Lønnsgr arbavg tjeneste'!O15&lt;100,0,(C15/$C$17)*'2022 Arbavg tjeneste'!O15/'2022 Lønnsgr arbavg tjeneste'!O15)</f>
        <v>0</v>
      </c>
      <c r="BP15" s="5">
        <f>IF('2022 Lønnsgr arbavg tjeneste'!O15&lt;100,0,C15)</f>
        <v>0</v>
      </c>
      <c r="BQ15" s="55">
        <f t="shared" si="20"/>
        <v>0</v>
      </c>
      <c r="BR15" s="55">
        <f t="shared" si="21"/>
        <v>1</v>
      </c>
      <c r="BS15" s="55">
        <f>IF(BP15=0,0,(BP15/$BP$17)*BR15*'2022 Arbavg tjeneste'!O15/'2022 Lønnsgr arbavg tjeneste'!O15)</f>
        <v>0</v>
      </c>
      <c r="BT15" s="5">
        <f>IF(BP15=0,0,'2022 Nto driftsutg landet'!$C$27*'2022 Lønnsand og arbavg landet'!$D$17*('2022 Arbavg tjeneste'!O15/'2022 Lønnsgr arbavg tjeneste'!O15-$BS$17))</f>
        <v>0</v>
      </c>
      <c r="BU15" s="5">
        <f t="shared" si="22"/>
        <v>0</v>
      </c>
      <c r="BV15" s="55">
        <f>IF('2022 Lønnsgr arbavg tjeneste'!P15&lt;100,0,(C15/$C$17)*'2022 Arbavg tjeneste'!P15/'2022 Lønnsgr arbavg tjeneste'!P15)</f>
        <v>3.4750892899395101E-3</v>
      </c>
      <c r="BW15" s="5">
        <f>IF('2022 Lønnsgr arbavg tjeneste'!P15&lt;100,0,C15)</f>
        <v>241736</v>
      </c>
      <c r="BX15" s="55">
        <f t="shared" si="23"/>
        <v>7.164626420523168E-2</v>
      </c>
      <c r="BY15" s="55">
        <f t="shared" si="24"/>
        <v>1</v>
      </c>
      <c r="BZ15" s="55">
        <f>IF(BW15=0,0,(BW15/$BW$17)*BY15*'2022 Arbavg tjeneste'!P15/'2022 Lønnsgr arbavg tjeneste'!P15)</f>
        <v>5.5877831442157971E-3</v>
      </c>
      <c r="CA15" s="5">
        <f>IF(BW15=0,0,'2022 Nto driftsutg landet'!$C$28*'2022 Lønnsand og arbavg landet'!$D$18*('2022 Arbavg tjeneste'!P15/'2022 Lønnsgr arbavg tjeneste'!P15-$BZ$17))</f>
        <v>1.2131611449696308E-2</v>
      </c>
      <c r="CB15" s="5">
        <f t="shared" si="25"/>
        <v>2.9326472254037865</v>
      </c>
      <c r="CC15" s="5"/>
      <c r="CD15" s="5"/>
      <c r="CE15" s="5"/>
    </row>
    <row r="16" spans="1:83" x14ac:dyDescent="0.3">
      <c r="B16" s="43"/>
      <c r="C16" s="43"/>
      <c r="D16" s="43"/>
      <c r="E16" s="43"/>
      <c r="F16" s="43"/>
      <c r="G16" s="43"/>
    </row>
    <row r="17" spans="2:83" x14ac:dyDescent="0.3">
      <c r="B17" s="42" t="s">
        <v>3</v>
      </c>
      <c r="C17" s="5">
        <f>SUM(C5:C16)</f>
        <v>5425270</v>
      </c>
      <c r="D17" s="55">
        <f>SUM(D5:D16)</f>
        <v>0.1284420518104285</v>
      </c>
      <c r="E17" s="5">
        <f>SUM(E5:E16)</f>
        <v>5425270</v>
      </c>
      <c r="F17" s="55">
        <f>SUM(F5:F16)</f>
        <v>1.0000174384196288</v>
      </c>
      <c r="G17" s="5"/>
      <c r="H17" s="55">
        <f>SUM(H5:H16)</f>
        <v>0.12843981202308941</v>
      </c>
      <c r="I17" s="5"/>
      <c r="J17" s="5">
        <f>SUM(J5:J16)</f>
        <v>-1.7462298274040222E-10</v>
      </c>
      <c r="K17" s="55">
        <f>SUM(K5:K16)</f>
        <v>0.21418124535488459</v>
      </c>
      <c r="L17" s="5">
        <f>SUM(L5:L16)</f>
        <v>4725443</v>
      </c>
      <c r="M17" s="55">
        <f>SUM(M5:M16)</f>
        <v>1.1089328423797304</v>
      </c>
      <c r="N17" s="5"/>
      <c r="O17" s="55">
        <f>SUM(O5:O16)</f>
        <v>0.22174560524267467</v>
      </c>
      <c r="P17" s="5"/>
      <c r="Q17" s="5">
        <f>SUM(Q5:Q16)</f>
        <v>-2.0008883439004421E-11</v>
      </c>
      <c r="R17" s="55">
        <f>SUM(R5:R16)</f>
        <v>0.13536615940825669</v>
      </c>
      <c r="S17" s="5">
        <f>SUM(S5:S16)</f>
        <v>5425270</v>
      </c>
      <c r="T17" s="55">
        <f>SUM(T5:T16)</f>
        <v>1.0002970458953599</v>
      </c>
      <c r="U17" s="5"/>
      <c r="V17" s="55">
        <f>SUM(V5:V16)</f>
        <v>0.1353259613868911</v>
      </c>
      <c r="W17" s="5"/>
      <c r="X17" s="5">
        <f>SUM(X5:X16)</f>
        <v>-3.4106051316484809E-12</v>
      </c>
      <c r="Y17" s="55">
        <f>SUM(Y5:Y16)</f>
        <v>6.4893578181458383E-2</v>
      </c>
      <c r="Z17" s="5">
        <f>SUM(Z5:Z16)</f>
        <v>2390089</v>
      </c>
      <c r="AA17" s="55">
        <f>SUM(AA5:AA16)</f>
        <v>1.6355404076862745</v>
      </c>
      <c r="AB17" s="5"/>
      <c r="AC17" s="55">
        <f>SUM(AC5:AC16)</f>
        <v>9.0063273219511256E-2</v>
      </c>
      <c r="AD17" s="5"/>
      <c r="AE17" s="5">
        <f>SUM(AE5:AE16)</f>
        <v>0</v>
      </c>
      <c r="AF17" s="55">
        <f>SUM(AF5:AF16)</f>
        <v>0.12663535310107191</v>
      </c>
      <c r="AG17" s="5">
        <f>SUM(AG5:AG16)</f>
        <v>5425270</v>
      </c>
      <c r="AH17" s="55">
        <f>SUM(AH5:AH16)</f>
        <v>0.99996348032581606</v>
      </c>
      <c r="AI17" s="5"/>
      <c r="AJ17" s="55">
        <f>SUM(AJ5:AJ16)</f>
        <v>0.12663997795180534</v>
      </c>
      <c r="AK17" s="5"/>
      <c r="AL17" s="5">
        <f>SUM(AL5:AL16)</f>
        <v>2.3646862246096134E-11</v>
      </c>
      <c r="AM17" s="55">
        <f>SUM(AM5:AM16)</f>
        <v>0.12401421527295758</v>
      </c>
      <c r="AN17" s="5">
        <f>SUM(AN5:AN16)</f>
        <v>5425270</v>
      </c>
      <c r="AO17" s="55">
        <f>SUM(AO5:AO16)</f>
        <v>1</v>
      </c>
      <c r="AP17" s="5"/>
      <c r="AQ17" s="55">
        <f>SUM(AQ5:AQ16)</f>
        <v>0.12401874439709563</v>
      </c>
      <c r="AR17" s="5"/>
      <c r="AS17" s="5">
        <f>SUM(AS5:AS16)</f>
        <v>-11.728668080018906</v>
      </c>
      <c r="AT17" s="55">
        <f>SUM(AT5:AT16)</f>
        <v>0.11401206800833306</v>
      </c>
      <c r="AU17" s="5">
        <f>SUM(AU5:AU16)</f>
        <v>4725443</v>
      </c>
      <c r="AV17" s="55">
        <f>SUM(AV5:AV16)</f>
        <v>1</v>
      </c>
      <c r="AW17" s="5"/>
      <c r="AX17" s="55">
        <f>SUM(AX5:AX16)</f>
        <v>0.130896987267346</v>
      </c>
      <c r="AY17" s="5"/>
      <c r="AZ17" s="5">
        <f>SUM(AZ5:AZ16)</f>
        <v>-3.865352482534945E-12</v>
      </c>
      <c r="BA17" s="55">
        <f>SUM(BA5:BA16)</f>
        <v>0.12723559875275423</v>
      </c>
      <c r="BB17" s="5">
        <f>SUM(BB5:BB16)</f>
        <v>5425270</v>
      </c>
      <c r="BC17" s="55">
        <f>SUM(BC5:BC16)</f>
        <v>1</v>
      </c>
      <c r="BD17" s="5"/>
      <c r="BE17" s="55">
        <f>SUM(BE5:BE16)</f>
        <v>0.12723559875275423</v>
      </c>
      <c r="BF17" s="5"/>
      <c r="BG17" s="5">
        <f>SUM(BG5:BG16)</f>
        <v>2.0605739337042905E-13</v>
      </c>
      <c r="BH17" s="55">
        <f>SUM(BH5:BH16)</f>
        <v>0.13005353150699148</v>
      </c>
      <c r="BI17" s="5">
        <f>SUM(BI5:BI16)</f>
        <v>5425270</v>
      </c>
      <c r="BJ17" s="55">
        <f>SUM(BJ5:BJ16)</f>
        <v>1</v>
      </c>
      <c r="BK17" s="5"/>
      <c r="BL17" s="55">
        <f>SUM(BL5:BL16)</f>
        <v>0.13005353150699148</v>
      </c>
      <c r="BM17" s="5"/>
      <c r="BN17" s="5">
        <f>SUM(BN5:BN16)</f>
        <v>-2.2737367544323206E-12</v>
      </c>
      <c r="BO17" s="55">
        <f>SUM(BO5:BO16)</f>
        <v>4.1524178885329277E-2</v>
      </c>
      <c r="BP17" s="5">
        <f>SUM(BP5:BP16)</f>
        <v>1694062</v>
      </c>
      <c r="BQ17" s="55">
        <f>SUM(BQ5:BQ16)</f>
        <v>1</v>
      </c>
      <c r="BR17" s="5"/>
      <c r="BS17" s="55">
        <f>SUM(BS5:BS16)</f>
        <v>0.13298207620571759</v>
      </c>
      <c r="BT17" s="5"/>
      <c r="BU17" s="5">
        <f>SUM(BU5:BU16)</f>
        <v>-1.5987211554602254E-14</v>
      </c>
      <c r="BV17" s="55">
        <f>SUM(BV5:BV16)</f>
        <v>8.2302154175248735E-2</v>
      </c>
      <c r="BW17" s="5">
        <f>SUM(BW5:BW16)</f>
        <v>3374021</v>
      </c>
      <c r="BX17" s="55">
        <f>SUM(BX5:BX16)</f>
        <v>0.99999999999999989</v>
      </c>
      <c r="BY17" s="5"/>
      <c r="BZ17" s="55">
        <f>SUM(BZ5:BZ16)</f>
        <v>0.13233806428067629</v>
      </c>
      <c r="CA17" s="55"/>
      <c r="CB17" s="5">
        <f>SUM(CB5:CB16)</f>
        <v>0</v>
      </c>
      <c r="CC17" s="5"/>
      <c r="CD17" s="5"/>
      <c r="CE17" s="5"/>
    </row>
    <row r="18" spans="2:83" x14ac:dyDescent="0.3">
      <c r="CD18" s="5"/>
    </row>
  </sheetData>
  <sheetProtection algorithmName="SHA-512" hashValue="VcStRJYi5k169bWwJUuDSQwDdX+f/FtCB+QU3TWas8ZQhkFzRDCZLGJrmz8z7fvSxxbPyOPmW+MBig6wfV1zrA==" saltValue="HoaXwPOq04wJAWk/fJQojw==" spinCount="100000" sheet="1" objects="1" scenarios="1" selectLockedCells="1" selectUnlockedCells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A125-D976-4518-8C31-69E5C574AA55}">
  <dimension ref="A1:K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3" width="12" customWidth="1"/>
    <col min="4" max="6" width="17" customWidth="1"/>
    <col min="7" max="9" width="16.5546875" customWidth="1"/>
    <col min="10" max="10" width="15.44140625" customWidth="1"/>
    <col min="11" max="11" width="16.88671875" customWidth="1"/>
  </cols>
  <sheetData>
    <row r="1" spans="1:11" x14ac:dyDescent="0.3">
      <c r="G1" s="95"/>
      <c r="H1" s="54"/>
      <c r="I1" s="54"/>
    </row>
    <row r="2" spans="1:11" ht="40.200000000000003" x14ac:dyDescent="0.3">
      <c r="A2" s="22" t="s">
        <v>2</v>
      </c>
      <c r="B2" s="22" t="s">
        <v>1</v>
      </c>
      <c r="C2" s="22" t="s">
        <v>411</v>
      </c>
      <c r="D2" s="22" t="s">
        <v>119</v>
      </c>
      <c r="E2" s="22" t="s">
        <v>116</v>
      </c>
      <c r="F2" s="22" t="s">
        <v>117</v>
      </c>
      <c r="G2" s="22" t="s">
        <v>382</v>
      </c>
      <c r="H2" s="22" t="s">
        <v>383</v>
      </c>
      <c r="I2" s="22" t="s">
        <v>384</v>
      </c>
      <c r="J2" s="22" t="s">
        <v>118</v>
      </c>
      <c r="K2" s="22" t="s">
        <v>385</v>
      </c>
    </row>
    <row r="3" spans="1:11" x14ac:dyDescent="0.3">
      <c r="A3" s="107">
        <v>1</v>
      </c>
      <c r="B3" s="107">
        <f t="shared" ref="B3:K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</row>
    <row r="5" spans="1:11" x14ac:dyDescent="0.3">
      <c r="A5" s="41">
        <v>300</v>
      </c>
      <c r="B5" s="42" t="s">
        <v>0</v>
      </c>
      <c r="C5" s="42">
        <f>+'2022 Nto driftsutg'!W5</f>
        <v>699827</v>
      </c>
      <c r="D5" s="5">
        <f>+'2022 Nto driftsutg eks avskriv'!R5</f>
        <v>-405955.14792834799</v>
      </c>
      <c r="E5" s="5">
        <f>+'2022 Lønnsgr pensjon tjeneste'!C5</f>
        <v>2209104</v>
      </c>
      <c r="F5" s="55">
        <f t="shared" ref="F5:F15" si="1">+D5/E5</f>
        <v>-0.18376461584803069</v>
      </c>
      <c r="G5" s="5">
        <f>'2022 Lønnsand og pensjon landet'!$C$6*'2022 Lønnsand og arbavg landet'!$D$6*'2022 Revekting utgiftsbehov'!D5+'2022 Lønnsand og pensjon landet'!$C$7*'2022 Lønnsand og arbavg landet'!$D$7*'2022 Revekting utgiftsbehov'!E5+'2022 Lønnsand og pensjon landet'!$C$8*'2022 Lønnsand og arbavg landet'!$D$8*'2022 Revekting utgiftsbehov'!F5+'2022 Lønnsand og pensjon landet'!$C$9*'2022 Lønnsand og arbavg landet'!$D$9*'2022 Revekting utgiftsbehov'!G5+'2022 Lønnsand og pensjon landet'!$C$10*'2022 Lønnsand og arbavg landet'!$D$10*'2022 Revekting utgiftsbehov'!H5+'2022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3593.2804046836518</v>
      </c>
      <c r="H5" s="55">
        <f t="shared" ref="H5:H15" si="2">G5/G$17</f>
        <v>0.74045291821971526</v>
      </c>
      <c r="I5" s="55">
        <f t="shared" ref="I5:I15" si="3">F5*(G5*C5)/(G$17*C$17)</f>
        <v>-1.7552083546840867E-2</v>
      </c>
      <c r="J5" s="5">
        <f t="shared" ref="J5:J15" si="4">(F5-$I$17)*$G$17*H5</f>
        <v>-574.25786035378133</v>
      </c>
      <c r="K5" s="5">
        <f t="shared" ref="K5:K15" si="5">J5*C5</f>
        <v>-401881155.6378057</v>
      </c>
    </row>
    <row r="6" spans="1:11" x14ac:dyDescent="0.3">
      <c r="A6" s="41">
        <v>1100</v>
      </c>
      <c r="B6" s="42" t="s">
        <v>139</v>
      </c>
      <c r="C6" s="42">
        <f>+'2022 Nto driftsutg'!W6</f>
        <v>485797</v>
      </c>
      <c r="D6" s="5">
        <f>+'2022 Nto driftsutg eks avskriv'!R6</f>
        <v>-20762</v>
      </c>
      <c r="E6" s="5">
        <f>+'2022 Lønnsgr pensjon tjeneste'!C6</f>
        <v>2638705</v>
      </c>
      <c r="F6" s="55">
        <f t="shared" si="1"/>
        <v>-7.8682535561951789E-3</v>
      </c>
      <c r="G6" s="5">
        <f>'2022 Lønnsand og pensjon landet'!$C$6*'2022 Lønnsand og arbavg landet'!$D$6*'2022 Revekting utgiftsbehov'!D6+'2022 Lønnsand og pensjon landet'!$C$7*'2022 Lønnsand og arbavg landet'!$D$7*'2022 Revekting utgiftsbehov'!E6+'2022 Lønnsand og pensjon landet'!$C$8*'2022 Lønnsand og arbavg landet'!$D$8*'2022 Revekting utgiftsbehov'!F6+'2022 Lønnsand og pensjon landet'!$C$9*'2022 Lønnsand og arbavg landet'!$D$9*'2022 Revekting utgiftsbehov'!G6+'2022 Lønnsand og pensjon landet'!$C$10*'2022 Lønnsand og arbavg landet'!$D$10*'2022 Revekting utgiftsbehov'!H6+'2022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5125.1320147770602</v>
      </c>
      <c r="H6" s="55">
        <f t="shared" si="2"/>
        <v>1.0561154514010336</v>
      </c>
      <c r="I6" s="55">
        <f t="shared" si="3"/>
        <v>-7.4408614018258421E-4</v>
      </c>
      <c r="J6" s="5">
        <f t="shared" si="4"/>
        <v>82.422310384567098</v>
      </c>
      <c r="K6" s="5">
        <f t="shared" si="5"/>
        <v>40040511.117891543</v>
      </c>
    </row>
    <row r="7" spans="1:11" x14ac:dyDescent="0.3">
      <c r="A7" s="41">
        <v>1500</v>
      </c>
      <c r="B7" s="42" t="s">
        <v>140</v>
      </c>
      <c r="C7" s="42">
        <f>+'2022 Nto driftsutg'!W7</f>
        <v>265848</v>
      </c>
      <c r="D7" s="5">
        <f>+'2022 Nto driftsutg eks avskriv'!R7</f>
        <v>12462</v>
      </c>
      <c r="E7" s="5">
        <f>+'2022 Lønnsgr pensjon tjeneste'!C7</f>
        <v>1520875</v>
      </c>
      <c r="F7" s="55">
        <f t="shared" si="1"/>
        <v>8.1939672885674372E-3</v>
      </c>
      <c r="G7" s="5">
        <f>'2022 Lønnsand og pensjon landet'!$C$6*'2022 Lønnsand og arbavg landet'!$D$6*'2022 Revekting utgiftsbehov'!D7+'2022 Lønnsand og pensjon landet'!$C$7*'2022 Lønnsand og arbavg landet'!$D$7*'2022 Revekting utgiftsbehov'!E7+'2022 Lønnsand og pensjon landet'!$C$8*'2022 Lønnsand og arbavg landet'!$D$8*'2022 Revekting utgiftsbehov'!F7+'2022 Lønnsand og pensjon landet'!$C$9*'2022 Lønnsand og arbavg landet'!$D$9*'2022 Revekting utgiftsbehov'!G7+'2022 Lønnsand og pensjon landet'!$C$10*'2022 Lønnsand og arbavg landet'!$D$10*'2022 Revekting utgiftsbehov'!H7+'2022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5402.9561019103021</v>
      </c>
      <c r="H7" s="55">
        <f t="shared" si="2"/>
        <v>1.1133655496125168</v>
      </c>
      <c r="I7" s="55">
        <f t="shared" si="3"/>
        <v>4.4703759256954103E-4</v>
      </c>
      <c r="J7" s="5">
        <f t="shared" si="4"/>
        <v>173.67374807967451</v>
      </c>
      <c r="K7" s="5">
        <f t="shared" si="5"/>
        <v>46170818.579485312</v>
      </c>
    </row>
    <row r="8" spans="1:11" x14ac:dyDescent="0.3">
      <c r="A8" s="41">
        <v>1800</v>
      </c>
      <c r="B8" s="42" t="s">
        <v>141</v>
      </c>
      <c r="C8" s="42">
        <f>+'2022 Nto driftsutg'!W8</f>
        <v>240190</v>
      </c>
      <c r="D8" s="5">
        <f>+'2022 Nto driftsutg eks avskriv'!R8</f>
        <v>-32019</v>
      </c>
      <c r="E8" s="5">
        <f>+'2022 Lønnsgr pensjon tjeneste'!C8</f>
        <v>1780810</v>
      </c>
      <c r="F8" s="55">
        <f t="shared" si="1"/>
        <v>-1.7980020327828347E-2</v>
      </c>
      <c r="G8" s="5">
        <f>'2022 Lønnsand og pensjon landet'!$C$6*'2022 Lønnsand og arbavg landet'!$D$6*'2022 Revekting utgiftsbehov'!D8+'2022 Lønnsand og pensjon landet'!$C$7*'2022 Lønnsand og arbavg landet'!$D$7*'2022 Revekting utgiftsbehov'!E8+'2022 Lønnsand og pensjon landet'!$C$8*'2022 Lønnsand og arbavg landet'!$D$8*'2022 Revekting utgiftsbehov'!F8+'2022 Lønnsand og pensjon landet'!$C$9*'2022 Lønnsand og arbavg landet'!$D$9*'2022 Revekting utgiftsbehov'!G8+'2022 Lønnsand og pensjon landet'!$C$10*'2022 Lønnsand og arbavg landet'!$D$10*'2022 Revekting utgiftsbehov'!H8+'2022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5275.5344558946726</v>
      </c>
      <c r="H8" s="55">
        <f t="shared" si="2"/>
        <v>1.0871082807632355</v>
      </c>
      <c r="I8" s="55">
        <f t="shared" si="3"/>
        <v>-8.6535946419424446E-4</v>
      </c>
      <c r="J8" s="5">
        <f t="shared" si="4"/>
        <v>31.496106589573529</v>
      </c>
      <c r="K8" s="5">
        <f t="shared" si="5"/>
        <v>7565049.8417496663</v>
      </c>
    </row>
    <row r="9" spans="1:11" x14ac:dyDescent="0.3">
      <c r="A9" s="41">
        <v>3000</v>
      </c>
      <c r="B9" s="42" t="s">
        <v>403</v>
      </c>
      <c r="C9" s="42">
        <f>+'2022 Nto driftsutg'!W9</f>
        <v>1269230</v>
      </c>
      <c r="D9" s="5">
        <f>+'2022 Nto driftsutg eks avskriv'!R9</f>
        <v>-156821</v>
      </c>
      <c r="E9" s="5">
        <f>+'2022 Lønnsgr pensjon tjeneste'!C9</f>
        <v>6388745</v>
      </c>
      <c r="F9" s="55">
        <f t="shared" si="1"/>
        <v>-2.4546448480883179E-2</v>
      </c>
      <c r="G9" s="5">
        <f>'2022 Lønnsand og pensjon landet'!$C$6*'2022 Lønnsand og arbavg landet'!$D$6*'2022 Revekting utgiftsbehov'!D9+'2022 Lønnsand og pensjon landet'!$C$7*'2022 Lønnsand og arbavg landet'!$D$7*'2022 Revekting utgiftsbehov'!E9+'2022 Lønnsand og pensjon landet'!$C$8*'2022 Lønnsand og arbavg landet'!$D$8*'2022 Revekting utgiftsbehov'!F9+'2022 Lønnsand og pensjon landet'!$C$9*'2022 Lønnsand og arbavg landet'!$D$9*'2022 Revekting utgiftsbehov'!G9+'2022 Lønnsand og pensjon landet'!$C$10*'2022 Lønnsand og arbavg landet'!$D$10*'2022 Revekting utgiftsbehov'!H9+'2022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4860.5822492164771</v>
      </c>
      <c r="H9" s="55">
        <f t="shared" si="2"/>
        <v>1.0016007395326396</v>
      </c>
      <c r="I9" s="55">
        <f t="shared" si="3"/>
        <v>-5.751780093467245E-3</v>
      </c>
      <c r="J9" s="5">
        <f t="shared" si="4"/>
        <v>-2.8979139098150632</v>
      </c>
      <c r="K9" s="5">
        <f t="shared" si="5"/>
        <v>-3678119.2717545726</v>
      </c>
    </row>
    <row r="10" spans="1:11" x14ac:dyDescent="0.3">
      <c r="A10" s="41">
        <v>3400</v>
      </c>
      <c r="B10" s="42" t="s">
        <v>404</v>
      </c>
      <c r="C10" s="42">
        <f>+'2022 Nto driftsutg'!W10</f>
        <v>371253</v>
      </c>
      <c r="D10" s="5">
        <f>+'2022 Nto driftsutg eks avskriv'!R10</f>
        <v>68682</v>
      </c>
      <c r="E10" s="5">
        <f>+'2022 Lønnsgr pensjon tjeneste'!C10</f>
        <v>2256997</v>
      </c>
      <c r="F10" s="55">
        <f t="shared" si="1"/>
        <v>3.0430700616793021E-2</v>
      </c>
      <c r="G10" s="5">
        <f>'2022 Lønnsand og pensjon landet'!$C$6*'2022 Lønnsand og arbavg landet'!$D$6*'2022 Revekting utgiftsbehov'!D10+'2022 Lønnsand og pensjon landet'!$C$7*'2022 Lønnsand og arbavg landet'!$D$7*'2022 Revekting utgiftsbehov'!E10+'2022 Lønnsand og pensjon landet'!$C$8*'2022 Lønnsand og arbavg landet'!$D$8*'2022 Revekting utgiftsbehov'!F10+'2022 Lønnsand og pensjon landet'!$C$9*'2022 Lønnsand og arbavg landet'!$D$9*'2022 Revekting utgiftsbehov'!G10+'2022 Lønnsand og pensjon landet'!$C$10*'2022 Lønnsand og arbavg landet'!$D$10*'2022 Revekting utgiftsbehov'!H10+'2022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4961.8216101487451</v>
      </c>
      <c r="H10" s="55">
        <f t="shared" si="2"/>
        <v>1.0224627296359687</v>
      </c>
      <c r="I10" s="55">
        <f t="shared" si="3"/>
        <v>2.1291587948110238E-3</v>
      </c>
      <c r="J10" s="5">
        <f t="shared" si="4"/>
        <v>269.82853291614538</v>
      </c>
      <c r="K10" s="5">
        <f t="shared" si="5"/>
        <v>100174652.33071771</v>
      </c>
    </row>
    <row r="11" spans="1:11" x14ac:dyDescent="0.3">
      <c r="A11" s="41">
        <v>3800</v>
      </c>
      <c r="B11" s="42" t="s">
        <v>405</v>
      </c>
      <c r="C11" s="42">
        <f>+'2022 Nto driftsutg'!W11</f>
        <v>424832</v>
      </c>
      <c r="D11" s="5">
        <f>+'2022 Nto driftsutg eks avskriv'!R11</f>
        <v>-43725</v>
      </c>
      <c r="E11" s="5">
        <f>+'2022 Lønnsgr pensjon tjeneste'!C11</f>
        <v>2488715</v>
      </c>
      <c r="F11" s="55">
        <f t="shared" si="1"/>
        <v>-1.7569307855660452E-2</v>
      </c>
      <c r="G11" s="5">
        <f>'2022 Lønnsand og pensjon landet'!$C$6*'2022 Lønnsand og arbavg landet'!$D$6*'2022 Revekting utgiftsbehov'!D11+'2022 Lønnsand og pensjon landet'!$C$7*'2022 Lønnsand og arbavg landet'!$D$7*'2022 Revekting utgiftsbehov'!E11+'2022 Lønnsand og pensjon landet'!$C$8*'2022 Lønnsand og arbavg landet'!$D$8*'2022 Revekting utgiftsbehov'!F11+'2022 Lønnsand og pensjon landet'!$C$9*'2022 Lønnsand og arbavg landet'!$D$9*'2022 Revekting utgiftsbehov'!G11+'2022 Lønnsand og pensjon landet'!$C$10*'2022 Lønnsand og arbavg landet'!$D$10*'2022 Revekting utgiftsbehov'!H11+'2022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4897.2170043667311</v>
      </c>
      <c r="H11" s="55">
        <f t="shared" si="2"/>
        <v>1.0091499169705909</v>
      </c>
      <c r="I11" s="55">
        <f t="shared" si="3"/>
        <v>-1.3883731525965982E-3</v>
      </c>
      <c r="J11" s="5">
        <f t="shared" si="4"/>
        <v>31.248815898776275</v>
      </c>
      <c r="K11" s="5">
        <f t="shared" si="5"/>
        <v>13275496.955908922</v>
      </c>
    </row>
    <row r="12" spans="1:11" x14ac:dyDescent="0.3">
      <c r="A12" s="41">
        <v>4200</v>
      </c>
      <c r="B12" s="42" t="s">
        <v>406</v>
      </c>
      <c r="C12" s="42">
        <f>+'2022 Nto driftsutg'!W12</f>
        <v>311134</v>
      </c>
      <c r="D12" s="5">
        <f>+'2022 Nto driftsutg eks avskriv'!R12</f>
        <v>9271</v>
      </c>
      <c r="E12" s="5">
        <f>+'2022 Lønnsgr pensjon tjeneste'!C12</f>
        <v>1869347</v>
      </c>
      <c r="F12" s="55">
        <f t="shared" si="1"/>
        <v>4.9594858525463708E-3</v>
      </c>
      <c r="G12" s="5">
        <f>'2022 Lønnsand og pensjon landet'!$C$6*'2022 Lønnsand og arbavg landet'!$D$6*'2022 Revekting utgiftsbehov'!D12+'2022 Lønnsand og pensjon landet'!$C$7*'2022 Lønnsand og arbavg landet'!$D$7*'2022 Revekting utgiftsbehov'!E12+'2022 Lønnsand og pensjon landet'!$C$8*'2022 Lønnsand og arbavg landet'!$D$8*'2022 Revekting utgiftsbehov'!F12+'2022 Lønnsand og pensjon landet'!$C$9*'2022 Lønnsand og arbavg landet'!$D$9*'2022 Revekting utgiftsbehov'!G12+'2022 Lønnsand og pensjon landet'!$C$10*'2022 Lønnsand og arbavg landet'!$D$10*'2022 Revekting utgiftsbehov'!H12+'2022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5149.1757767512136</v>
      </c>
      <c r="H12" s="55">
        <f t="shared" si="2"/>
        <v>1.0610700532449464</v>
      </c>
      <c r="I12" s="55">
        <f t="shared" si="3"/>
        <v>3.0179137865572801E-4</v>
      </c>
      <c r="J12" s="5">
        <f t="shared" si="4"/>
        <v>148.86126690456453</v>
      </c>
      <c r="K12" s="5">
        <f t="shared" si="5"/>
        <v>46315801.417084783</v>
      </c>
    </row>
    <row r="13" spans="1:11" x14ac:dyDescent="0.3">
      <c r="A13" s="41">
        <v>4600</v>
      </c>
      <c r="B13" s="42" t="s">
        <v>407</v>
      </c>
      <c r="C13" s="42">
        <f>+'2022 Nto driftsutg'!W13</f>
        <v>641292</v>
      </c>
      <c r="D13" s="5">
        <f>+'2022 Nto driftsutg eks avskriv'!R13</f>
        <v>49969</v>
      </c>
      <c r="E13" s="5">
        <f>+'2022 Lønnsgr pensjon tjeneste'!C13</f>
        <v>3320457</v>
      </c>
      <c r="F13" s="55">
        <f t="shared" si="1"/>
        <v>1.5048832133649073E-2</v>
      </c>
      <c r="G13" s="5">
        <f>'2022 Lønnsand og pensjon landet'!$C$6*'2022 Lønnsand og arbavg landet'!$D$6*'2022 Revekting utgiftsbehov'!D13+'2022 Lønnsand og pensjon landet'!$C$7*'2022 Lønnsand og arbavg landet'!$D$7*'2022 Revekting utgiftsbehov'!E13+'2022 Lønnsand og pensjon landet'!$C$8*'2022 Lønnsand og arbavg landet'!$D$8*'2022 Revekting utgiftsbehov'!F13+'2022 Lønnsand og pensjon landet'!$C$9*'2022 Lønnsand og arbavg landet'!$D$9*'2022 Revekting utgiftsbehov'!G13+'2022 Lønnsand og pensjon landet'!$C$10*'2022 Lønnsand og arbavg landet'!$D$10*'2022 Revekting utgiftsbehov'!H13+'2022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5132.9054750890855</v>
      </c>
      <c r="H13" s="55">
        <f t="shared" si="2"/>
        <v>1.0577172972701179</v>
      </c>
      <c r="I13" s="55">
        <f t="shared" si="3"/>
        <v>1.8815114688726102E-3</v>
      </c>
      <c r="J13" s="5">
        <f t="shared" si="4"/>
        <v>200.17855768872795</v>
      </c>
      <c r="K13" s="5">
        <f t="shared" si="5"/>
        <v>128372907.61731972</v>
      </c>
    </row>
    <row r="14" spans="1:11" x14ac:dyDescent="0.3">
      <c r="A14" s="41">
        <v>5000</v>
      </c>
      <c r="B14" s="42" t="s">
        <v>388</v>
      </c>
      <c r="C14" s="42">
        <f>+'2022 Nto driftsutg'!W14</f>
        <v>474131</v>
      </c>
      <c r="D14" s="5">
        <f>+'2022 Nto driftsutg eks avskriv'!R14</f>
        <v>-22019</v>
      </c>
      <c r="E14" s="5">
        <f>+'2022 Lønnsgr pensjon tjeneste'!C14</f>
        <v>2621221</v>
      </c>
      <c r="F14" s="55">
        <f t="shared" si="1"/>
        <v>-8.4002836845882122E-3</v>
      </c>
      <c r="G14" s="5">
        <f>'2022 Lønnsand og pensjon landet'!$C$6*'2022 Lønnsand og arbavg landet'!$D$6*'2022 Revekting utgiftsbehov'!D14+'2022 Lønnsand og pensjon landet'!$C$7*'2022 Lønnsand og arbavg landet'!$D$7*'2022 Revekting utgiftsbehov'!E14+'2022 Lønnsand og pensjon landet'!$C$8*'2022 Lønnsand og arbavg landet'!$D$8*'2022 Revekting utgiftsbehov'!F14+'2022 Lønnsand og pensjon landet'!$C$9*'2022 Lønnsand og arbavg landet'!$D$9*'2022 Revekting utgiftsbehov'!G14+'2022 Lønnsand og pensjon landet'!$C$10*'2022 Lønnsand og arbavg landet'!$D$10*'2022 Revekting utgiftsbehov'!H14+'2022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4979.870298771044</v>
      </c>
      <c r="H14" s="55">
        <f t="shared" si="2"/>
        <v>1.0261819506973144</v>
      </c>
      <c r="I14" s="55">
        <f t="shared" si="3"/>
        <v>-7.5334744459549423E-4</v>
      </c>
      <c r="J14" s="5">
        <f t="shared" si="4"/>
        <v>77.436772209780173</v>
      </c>
      <c r="K14" s="5">
        <f t="shared" si="5"/>
        <v>36715174.244595282</v>
      </c>
    </row>
    <row r="15" spans="1:11" x14ac:dyDescent="0.3">
      <c r="A15" s="41">
        <v>5400</v>
      </c>
      <c r="B15" s="42" t="s">
        <v>408</v>
      </c>
      <c r="C15" s="42">
        <f>+'2022 Nto driftsutg'!W15</f>
        <v>241736</v>
      </c>
      <c r="D15" s="5">
        <f>+'2022 Nto driftsutg eks avskriv'!R15</f>
        <v>-67742</v>
      </c>
      <c r="E15" s="5">
        <f>+'2022 Lønnsgr pensjon tjeneste'!C15</f>
        <v>1981686</v>
      </c>
      <c r="F15" s="55">
        <f t="shared" si="1"/>
        <v>-3.4184023099522329E-2</v>
      </c>
      <c r="G15" s="5">
        <f>'2022 Lønnsand og pensjon landet'!$C$6*'2022 Lønnsand og arbavg landet'!$D$6*'2022 Revekting utgiftsbehov'!D15+'2022 Lønnsand og pensjon landet'!$C$7*'2022 Lønnsand og arbavg landet'!$D$7*'2022 Revekting utgiftsbehov'!E15+'2022 Lønnsand og pensjon landet'!$C$8*'2022 Lønnsand og arbavg landet'!$D$8*'2022 Revekting utgiftsbehov'!F15+'2022 Lønnsand og pensjon landet'!$C$9*'2022 Lønnsand og arbavg landet'!$D$9*'2022 Revekting utgiftsbehov'!G15+'2022 Lønnsand og pensjon landet'!$C$10*'2022 Lønnsand og arbavg landet'!$D$10*'2022 Revekting utgiftsbehov'!H15+'2022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5271.9658965955459</v>
      </c>
      <c r="H15" s="55">
        <f t="shared" si="2"/>
        <v>1.0863729220243423</v>
      </c>
      <c r="I15" s="55">
        <f t="shared" si="3"/>
        <v>-1.6547107198683873E-3</v>
      </c>
      <c r="J15" s="5">
        <f t="shared" si="4"/>
        <v>-53.952148498800696</v>
      </c>
      <c r="K15" s="5">
        <f t="shared" si="5"/>
        <v>-13042176.569506085</v>
      </c>
    </row>
    <row r="16" spans="1:11" x14ac:dyDescent="0.3">
      <c r="B16" s="43"/>
      <c r="C16" s="43"/>
      <c r="F16" s="55"/>
      <c r="H16" s="5"/>
    </row>
    <row r="17" spans="2:11" x14ac:dyDescent="0.3">
      <c r="B17" s="42" t="s">
        <v>3</v>
      </c>
      <c r="C17" s="5">
        <f>SUM(C5:C16)</f>
        <v>5425270</v>
      </c>
      <c r="D17" s="5">
        <f>SUM(D5:D16)</f>
        <v>-608659.14792834804</v>
      </c>
      <c r="E17" s="5">
        <f>SUM(E5:E16)</f>
        <v>29076662</v>
      </c>
      <c r="F17" s="55">
        <f>+D17/E17</f>
        <v>-2.0932909971864998E-2</v>
      </c>
      <c r="G17" s="5">
        <f>'2022 Lønnsand og pensjon landet'!$C$6*'2022 Lønnsand og arbavg landet'!$D$6*'2022 Revekting utgiftsbehov'!D17+'2022 Lønnsand og pensjon landet'!$C$7*'2022 Lønnsand og arbavg landet'!$D$7*'2022 Revekting utgiftsbehov'!E17+'2022 Lønnsand og pensjon landet'!$C$8*'2022 Lønnsand og arbavg landet'!$D$8*'2022 Revekting utgiftsbehov'!F17+'2022 Lønnsand og pensjon landet'!$C$9*'2022 Lønnsand og arbavg landet'!$D$9*'2022 Revekting utgiftsbehov'!G17+'2022 Lønnsand og pensjon landet'!$C$10*'2022 Lønnsand og arbavg landet'!$D$10*'2022 Revekting utgiftsbehov'!H17+'2022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4852.8141577496144</v>
      </c>
      <c r="H17" s="55">
        <f>G17/G$17</f>
        <v>1</v>
      </c>
      <c r="I17" s="55">
        <f>SUM(I5:I15)</f>
        <v>-2.395024132683652E-2</v>
      </c>
      <c r="J17" s="5"/>
      <c r="K17" s="5">
        <f>SUM(K5:K16)</f>
        <v>28960.625686587766</v>
      </c>
    </row>
    <row r="18" spans="2:11" x14ac:dyDescent="0.3">
      <c r="C18" s="5"/>
      <c r="I18" s="5"/>
    </row>
  </sheetData>
  <sheetProtection algorithmName="SHA-512" hashValue="+CgpF9zGFlkOipJWQBF++h53wz87FB76HFOAMOrBtDUmW8UQhI9Q0ymFBThoVB4prfBIODMnu/9PehNJcepsTA==" saltValue="64KoroxBV+H66g0XNHhLAA==" spinCount="100000" sheet="1" selectLockedCells="1" selectUnlockedCell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B3DF4-3FA0-4F91-B680-F0DF22262C8A}">
  <dimension ref="A1:M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5.5546875" customWidth="1"/>
    <col min="2" max="2" width="17.88671875" bestFit="1" customWidth="1"/>
    <col min="3" max="8" width="12" customWidth="1"/>
    <col min="9" max="10" width="14.5546875" customWidth="1"/>
    <col min="11" max="11" width="14.88671875" customWidth="1"/>
    <col min="12" max="12" width="14.5546875" customWidth="1"/>
    <col min="13" max="13" width="16.109375" customWidth="1"/>
  </cols>
  <sheetData>
    <row r="1" spans="1:13" x14ac:dyDescent="0.3">
      <c r="D1" s="123"/>
      <c r="E1" s="123"/>
      <c r="F1" s="123"/>
      <c r="G1" s="123"/>
      <c r="H1" s="123"/>
    </row>
    <row r="2" spans="1:13" ht="40.200000000000003" x14ac:dyDescent="0.3">
      <c r="A2" s="22" t="s">
        <v>2</v>
      </c>
      <c r="B2" s="22" t="s">
        <v>1</v>
      </c>
      <c r="C2" s="22" t="s">
        <v>411</v>
      </c>
      <c r="D2" s="22" t="s">
        <v>171</v>
      </c>
      <c r="E2" s="22" t="s">
        <v>172</v>
      </c>
      <c r="F2" s="22" t="s">
        <v>275</v>
      </c>
      <c r="G2" s="22" t="s">
        <v>276</v>
      </c>
      <c r="H2" s="22" t="s">
        <v>173</v>
      </c>
      <c r="I2" s="22" t="s">
        <v>122</v>
      </c>
      <c r="J2" s="22" t="s">
        <v>123</v>
      </c>
      <c r="K2" s="22" t="s">
        <v>124</v>
      </c>
      <c r="L2" s="22" t="s">
        <v>121</v>
      </c>
      <c r="M2" s="22" t="s">
        <v>125</v>
      </c>
    </row>
    <row r="3" spans="1:13" x14ac:dyDescent="0.3">
      <c r="A3" s="107">
        <v>1</v>
      </c>
      <c r="B3" s="107">
        <f t="shared" ref="B3:M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</row>
    <row r="5" spans="1:13" x14ac:dyDescent="0.3">
      <c r="A5" s="41">
        <v>300</v>
      </c>
      <c r="B5" s="42" t="s">
        <v>0</v>
      </c>
      <c r="C5" s="42">
        <f>+'2022 Nto driftsutg'!W5</f>
        <v>699827</v>
      </c>
      <c r="D5" s="3">
        <f>+'2022 Revekting utgiftsbehov'!D5</f>
        <v>0.71024135999999993</v>
      </c>
      <c r="E5" s="3">
        <f>+'2022 Revekting utgiftsbehov'!E5</f>
        <v>0.27176674000000001</v>
      </c>
      <c r="F5" s="3">
        <f>+'2022 Revekting utgiftsbehov'!F5</f>
        <v>1.7543052799999999</v>
      </c>
      <c r="G5" s="3">
        <f>+'2022 Revekting utgiftsbehov'!G5</f>
        <v>1.1954999999999999E-3</v>
      </c>
      <c r="H5" s="3">
        <f>+'2022 Revekting utgiftsbehov'!H5</f>
        <v>0.87472398000000007</v>
      </c>
      <c r="I5" s="5">
        <f>+'2022 Nto driftsutg landet'!$C$35*(D5-1)*C5</f>
        <v>0</v>
      </c>
      <c r="J5" s="5">
        <f t="shared" ref="J5:J15" si="1">+I5-$I$17*C5/$C$17</f>
        <v>0</v>
      </c>
      <c r="K5" s="5">
        <f t="shared" ref="K5:K15" si="2">J5/C5</f>
        <v>0</v>
      </c>
      <c r="L5" s="5">
        <f t="shared" ref="L5:L15" si="3">+K5</f>
        <v>0</v>
      </c>
      <c r="M5" s="5">
        <f t="shared" ref="M5:M15" si="4">+L5*C5/1000</f>
        <v>0</v>
      </c>
    </row>
    <row r="6" spans="1:13" x14ac:dyDescent="0.3">
      <c r="A6" s="41">
        <v>1100</v>
      </c>
      <c r="B6" s="42" t="s">
        <v>139</v>
      </c>
      <c r="C6" s="42">
        <f>+'2022 Nto driftsutg'!W6</f>
        <v>485797</v>
      </c>
      <c r="D6" s="3">
        <f>+'2022 Revekting utgiftsbehov'!D6</f>
        <v>1.07050008</v>
      </c>
      <c r="E6" s="3">
        <f>+'2022 Revekting utgiftsbehov'!E6</f>
        <v>0.80741668</v>
      </c>
      <c r="F6" s="3">
        <f>+'2022 Revekting utgiftsbehov'!F6</f>
        <v>1.0211484799999999</v>
      </c>
      <c r="G6" s="3">
        <f>+'2022 Revekting utgiftsbehov'!G6</f>
        <v>0.74883710000000003</v>
      </c>
      <c r="H6" s="3">
        <f>+'2022 Revekting utgiftsbehov'!H6</f>
        <v>1.0760788699999999</v>
      </c>
      <c r="I6" s="5">
        <f>+'2022 Nto driftsutg landet'!$C$35*(D6-1)*C6</f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>
        <f t="shared" si="4"/>
        <v>0</v>
      </c>
    </row>
    <row r="7" spans="1:13" x14ac:dyDescent="0.3">
      <c r="A7" s="41">
        <v>1500</v>
      </c>
      <c r="B7" s="42" t="s">
        <v>140</v>
      </c>
      <c r="C7" s="42">
        <f>+'2022 Nto driftsutg'!W7</f>
        <v>265848</v>
      </c>
      <c r="D7" s="3">
        <f>+'2022 Revekting utgiftsbehov'!D7</f>
        <v>1.11393319</v>
      </c>
      <c r="E7" s="3">
        <f>+'2022 Revekting utgiftsbehov'!E7</f>
        <v>1.5473002600000001</v>
      </c>
      <c r="F7" s="3">
        <f>+'2022 Revekting utgiftsbehov'!F7</f>
        <v>0.9953996799999999</v>
      </c>
      <c r="G7" s="3">
        <f>+'2022 Revekting utgiftsbehov'!G7</f>
        <v>3.08348662</v>
      </c>
      <c r="H7" s="3">
        <f>+'2022 Revekting utgiftsbehov'!H7</f>
        <v>1.03004516</v>
      </c>
      <c r="I7" s="5">
        <f>+'2022 Nto driftsutg landet'!$C$35*(D7-1)*C7</f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5">
        <f t="shared" si="4"/>
        <v>0</v>
      </c>
    </row>
    <row r="8" spans="1:13" x14ac:dyDescent="0.3">
      <c r="A8" s="41">
        <v>1800</v>
      </c>
      <c r="B8" s="42" t="s">
        <v>141</v>
      </c>
      <c r="C8" s="42">
        <f>+'2022 Nto driftsutg'!W8</f>
        <v>240190</v>
      </c>
      <c r="D8" s="3">
        <f>+'2022 Revekting utgiftsbehov'!D8</f>
        <v>1.0739446699999999</v>
      </c>
      <c r="E8" s="3">
        <f>+'2022 Revekting utgiftsbehov'!E8</f>
        <v>1.75356388</v>
      </c>
      <c r="F8" s="3">
        <f>+'2022 Revekting utgiftsbehov'!F8</f>
        <v>1.0204600800000001</v>
      </c>
      <c r="G8" s="3">
        <f>+'2022 Revekting utgiftsbehov'!G8</f>
        <v>5.3669618200000002</v>
      </c>
      <c r="H8" s="3">
        <f>+'2022 Revekting utgiftsbehov'!H8</f>
        <v>0.98230778000000007</v>
      </c>
      <c r="I8" s="5">
        <f>+'2022 Nto driftsutg landet'!$C$35*(D8-1)*C8</f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5">
        <f t="shared" si="4"/>
        <v>0</v>
      </c>
    </row>
    <row r="9" spans="1:13" x14ac:dyDescent="0.3">
      <c r="A9" s="41">
        <v>3000</v>
      </c>
      <c r="B9" s="42" t="s">
        <v>403</v>
      </c>
      <c r="C9" s="42">
        <f>+'2022 Nto driftsutg'!W9</f>
        <v>1269230</v>
      </c>
      <c r="D9" s="3">
        <f>+'2022 Revekting utgiftsbehov'!D9</f>
        <v>1.0186378599999999</v>
      </c>
      <c r="E9" s="3">
        <f>+'2022 Revekting utgiftsbehov'!E9</f>
        <v>0.64148788000000012</v>
      </c>
      <c r="F9" s="3">
        <f>+'2022 Revekting utgiftsbehov'!F9</f>
        <v>0.65952591999999999</v>
      </c>
      <c r="G9" s="3">
        <f>+'2022 Revekting utgiftsbehov'!G9</f>
        <v>6.9758440000000005E-2</v>
      </c>
      <c r="H9" s="3">
        <f>+'2022 Revekting utgiftsbehov'!H9</f>
        <v>1.0247303400000001</v>
      </c>
      <c r="I9" s="5">
        <f>+'2022 Nto driftsutg landet'!$C$35*(D9-1)*C9</f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  <v>0</v>
      </c>
    </row>
    <row r="10" spans="1:13" x14ac:dyDescent="0.3">
      <c r="A10" s="41">
        <v>3400</v>
      </c>
      <c r="B10" s="42" t="s">
        <v>404</v>
      </c>
      <c r="C10" s="42">
        <f>+'2022 Nto driftsutg'!W10</f>
        <v>371253</v>
      </c>
      <c r="D10" s="3">
        <f>+'2022 Revekting utgiftsbehov'!D10</f>
        <v>1.0114143099999999</v>
      </c>
      <c r="E10" s="3">
        <f>+'2022 Revekting utgiftsbehov'!E10</f>
        <v>1.5407690200000002</v>
      </c>
      <c r="F10" s="3">
        <f>+'2022 Revekting utgiftsbehov'!F10</f>
        <v>1.0059225599999999</v>
      </c>
      <c r="G10" s="3">
        <f>+'2022 Revekting utgiftsbehov'!G10</f>
        <v>3.7465999999999999E-2</v>
      </c>
      <c r="H10" s="3">
        <f>+'2022 Revekting utgiftsbehov'!H10</f>
        <v>0.9667207000000001</v>
      </c>
      <c r="I10" s="5">
        <f>+'2022 Nto driftsutg landet'!$C$35*(D10-1)*C10</f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  <v>0</v>
      </c>
    </row>
    <row r="11" spans="1:13" x14ac:dyDescent="0.3">
      <c r="A11" s="41">
        <v>3800</v>
      </c>
      <c r="B11" s="42" t="s">
        <v>405</v>
      </c>
      <c r="C11" s="42">
        <f>+'2022 Nto driftsutg'!W11</f>
        <v>424832</v>
      </c>
      <c r="D11" s="3">
        <f>+'2022 Revekting utgiftsbehov'!D11</f>
        <v>1.01806916</v>
      </c>
      <c r="E11" s="3">
        <f>+'2022 Revekting utgiftsbehov'!E11</f>
        <v>0.95163352000000012</v>
      </c>
      <c r="F11" s="3">
        <f>+'2022 Revekting utgiftsbehov'!F11</f>
        <v>0.72960991999999991</v>
      </c>
      <c r="G11" s="3">
        <f>+'2022 Revekting utgiftsbehov'!G11</f>
        <v>0.13406012</v>
      </c>
      <c r="H11" s="3">
        <f>+'2022 Revekting utgiftsbehov'!H11</f>
        <v>0.99232936000000005</v>
      </c>
      <c r="I11" s="5">
        <f>+'2022 Nto driftsutg landet'!$C$35*(D11-1)*C11</f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5">
        <f t="shared" si="4"/>
        <v>0</v>
      </c>
    </row>
    <row r="12" spans="1:13" x14ac:dyDescent="0.3">
      <c r="A12" s="41">
        <v>4200</v>
      </c>
      <c r="B12" s="42" t="s">
        <v>406</v>
      </c>
      <c r="C12" s="42">
        <f>+'2022 Nto driftsutg'!W12</f>
        <v>311134</v>
      </c>
      <c r="D12" s="3">
        <f>+'2022 Revekting utgiftsbehov'!D12</f>
        <v>1.0686202599999999</v>
      </c>
      <c r="E12" s="3">
        <f>+'2022 Revekting utgiftsbehov'!E12</f>
        <v>1.15154242</v>
      </c>
      <c r="F12" s="3">
        <f>+'2022 Revekting utgiftsbehov'!F12</f>
        <v>0.82527287999999999</v>
      </c>
      <c r="G12" s="3">
        <f>+'2022 Revekting utgiftsbehov'!G12</f>
        <v>0.22924375999999999</v>
      </c>
      <c r="H12" s="3">
        <f>+'2022 Revekting utgiftsbehov'!H12</f>
        <v>1.0503528199999999</v>
      </c>
      <c r="I12" s="5">
        <f>+'2022 Nto driftsutg landet'!$C$35*(D12-1)*C12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</row>
    <row r="13" spans="1:13" x14ac:dyDescent="0.3">
      <c r="A13" s="41">
        <v>4600</v>
      </c>
      <c r="B13" s="42" t="s">
        <v>407</v>
      </c>
      <c r="C13" s="42">
        <f>+'2022 Nto driftsutg'!W13</f>
        <v>641292</v>
      </c>
      <c r="D13" s="3">
        <f>+'2022 Revekting utgiftsbehov'!D13</f>
        <v>1.0600025</v>
      </c>
      <c r="E13" s="3">
        <f>+'2022 Revekting utgiftsbehov'!E13</f>
        <v>1.1855225199999999</v>
      </c>
      <c r="F13" s="3">
        <f>+'2022 Revekting utgiftsbehov'!F13</f>
        <v>1.0005352000000001</v>
      </c>
      <c r="G13" s="3">
        <f>+'2022 Revekting utgiftsbehov'!G13</f>
        <v>2.1551446599999999</v>
      </c>
      <c r="H13" s="3">
        <f>+'2022 Revekting utgiftsbehov'!H13</f>
        <v>1.0314929100000001</v>
      </c>
      <c r="I13" s="5">
        <f>+'2022 Nto driftsutg landet'!$C$35*(D13-1)*C13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</row>
    <row r="14" spans="1:13" x14ac:dyDescent="0.3">
      <c r="A14" s="41">
        <v>5000</v>
      </c>
      <c r="B14" s="42" t="s">
        <v>388</v>
      </c>
      <c r="C14" s="42">
        <f>+'2022 Nto driftsutg'!W14</f>
        <v>474131</v>
      </c>
      <c r="D14" s="3">
        <f>+'2022 Revekting utgiftsbehov'!D14</f>
        <v>1.02035371</v>
      </c>
      <c r="E14" s="3">
        <f>+'2022 Revekting utgiftsbehov'!E14</f>
        <v>1.2804020200000001</v>
      </c>
      <c r="F14" s="3">
        <f>+'2022 Revekting utgiftsbehov'!F14</f>
        <v>1.0615868000000002</v>
      </c>
      <c r="G14" s="3">
        <f>+'2022 Revekting utgiftsbehov'!G14</f>
        <v>1.2282993799999999</v>
      </c>
      <c r="H14" s="3">
        <f>+'2022 Revekting utgiftsbehov'!H14</f>
        <v>1.0043769899999999</v>
      </c>
      <c r="I14" s="5">
        <f>+'2022 Nto driftsutg landet'!$C$35*(D14-1)*C14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</row>
    <row r="15" spans="1:13" x14ac:dyDescent="0.3">
      <c r="A15" s="41">
        <v>5400</v>
      </c>
      <c r="B15" s="42" t="s">
        <v>408</v>
      </c>
      <c r="C15" s="42">
        <f>+'2022 Nto driftsutg'!W15</f>
        <v>241736</v>
      </c>
      <c r="D15" s="3">
        <f>+'2022 Revekting utgiftsbehov'!D15</f>
        <v>1.0642349100000001</v>
      </c>
      <c r="E15" s="3">
        <f>+'2022 Revekting utgiftsbehov'!E15</f>
        <v>2.0654747200000001</v>
      </c>
      <c r="F15" s="3">
        <f>+'2022 Revekting utgiftsbehov'!F15</f>
        <v>1.1215987199999999</v>
      </c>
      <c r="G15" s="3">
        <f>+'2022 Revekting utgiftsbehov'!G15</f>
        <v>3.1805990999999998</v>
      </c>
      <c r="H15" s="3">
        <f>+'2022 Revekting utgiftsbehov'!H15</f>
        <v>0.97130740000000015</v>
      </c>
      <c r="I15" s="5">
        <f>+'2022 Nto driftsutg landet'!$C$35*(D15-1)*C15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</row>
    <row r="16" spans="1:13" x14ac:dyDescent="0.3">
      <c r="B16" s="43"/>
      <c r="C16" s="43"/>
      <c r="D16" s="4"/>
      <c r="E16" s="4"/>
      <c r="F16" s="4"/>
      <c r="G16" s="4"/>
      <c r="H16" s="4"/>
    </row>
    <row r="17" spans="2:13" x14ac:dyDescent="0.3">
      <c r="B17" s="42" t="s">
        <v>3</v>
      </c>
      <c r="C17" s="5">
        <f>SUM(C5:C16)</f>
        <v>5425270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5">
        <f>SUM(I5:I15)</f>
        <v>0</v>
      </c>
      <c r="J17" s="5">
        <f>SUM(J5:J15)</f>
        <v>0</v>
      </c>
      <c r="K17" s="5">
        <f>SUM(K5:K15)</f>
        <v>0</v>
      </c>
      <c r="L17" s="5">
        <f>SUM(L5:L15)</f>
        <v>0</v>
      </c>
      <c r="M17" s="5">
        <f>SUM(M5:M15)</f>
        <v>0</v>
      </c>
    </row>
  </sheetData>
  <sheetProtection algorithmName="SHA-512" hashValue="O8Yqe5n2zq8VzEJ93JDaQe4uA9GeRcnWmcQ+xyuGpKGJq1ZNEJi/eqSokcu/xMRAy5xTKxanV18GjLWz8X0dNw==" saltValue="N/aEPRijChNZ/LJGD/7cSQ==" spinCount="100000" sheet="1" objects="1" scenarios="1" selectLockedCells="1" selectUnlockedCells="1"/>
  <mergeCells count="1">
    <mergeCell ref="D1:H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AFCB-5101-4314-9560-984C0CD10997}">
  <dimension ref="A1:AM21"/>
  <sheetViews>
    <sheetView workbookViewId="0">
      <selection activeCell="G30" sqref="G30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4.88671875" customWidth="1"/>
    <col min="8" max="8" width="11.5546875" customWidth="1"/>
    <col min="9" max="9" width="4.5546875" customWidth="1"/>
    <col min="25" max="25" width="4.44140625" customWidth="1"/>
  </cols>
  <sheetData>
    <row r="1" spans="1:39" ht="15" customHeight="1" x14ac:dyDescent="0.3">
      <c r="D1" s="124" t="s">
        <v>81</v>
      </c>
      <c r="E1" s="123"/>
      <c r="F1" s="123"/>
      <c r="G1" s="123"/>
      <c r="H1" s="123"/>
      <c r="J1" s="125" t="s">
        <v>246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Z1" s="126" t="s">
        <v>98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ht="79.8" x14ac:dyDescent="0.3">
      <c r="A2" s="22" t="s">
        <v>2</v>
      </c>
      <c r="B2" s="22" t="s">
        <v>1</v>
      </c>
      <c r="C2" s="22" t="s">
        <v>9</v>
      </c>
      <c r="D2" s="22" t="s">
        <v>171</v>
      </c>
      <c r="E2" s="22" t="s">
        <v>172</v>
      </c>
      <c r="F2" s="22" t="s">
        <v>275</v>
      </c>
      <c r="G2" s="22" t="s">
        <v>276</v>
      </c>
      <c r="H2" s="22" t="s">
        <v>237</v>
      </c>
      <c r="I2" s="22"/>
      <c r="J2" s="22" t="s">
        <v>238</v>
      </c>
      <c r="K2" s="22" t="s">
        <v>239</v>
      </c>
      <c r="L2" s="22" t="s">
        <v>295</v>
      </c>
      <c r="M2" s="22" t="s">
        <v>296</v>
      </c>
      <c r="N2" s="22" t="s">
        <v>240</v>
      </c>
      <c r="O2" s="11" t="s">
        <v>76</v>
      </c>
      <c r="P2" s="22" t="s">
        <v>77</v>
      </c>
      <c r="Q2" s="22" t="s">
        <v>241</v>
      </c>
      <c r="R2" s="22" t="s">
        <v>242</v>
      </c>
      <c r="S2" s="22" t="s">
        <v>78</v>
      </c>
      <c r="T2" s="22" t="s">
        <v>243</v>
      </c>
      <c r="U2" s="22" t="s">
        <v>79</v>
      </c>
      <c r="V2" s="22" t="s">
        <v>244</v>
      </c>
      <c r="W2" s="22" t="s">
        <v>245</v>
      </c>
      <c r="X2" s="22" t="s">
        <v>80</v>
      </c>
      <c r="Z2" s="22" t="s">
        <v>238</v>
      </c>
      <c r="AA2" s="22" t="s">
        <v>239</v>
      </c>
      <c r="AB2" s="22" t="s">
        <v>295</v>
      </c>
      <c r="AC2" s="22" t="s">
        <v>296</v>
      </c>
      <c r="AD2" s="22" t="s">
        <v>240</v>
      </c>
      <c r="AE2" s="11" t="s">
        <v>76</v>
      </c>
      <c r="AF2" s="22" t="s">
        <v>77</v>
      </c>
      <c r="AG2" s="22" t="s">
        <v>241</v>
      </c>
      <c r="AH2" s="22" t="s">
        <v>242</v>
      </c>
      <c r="AI2" s="22" t="s">
        <v>78</v>
      </c>
      <c r="AJ2" s="22" t="s">
        <v>243</v>
      </c>
      <c r="AK2" s="22" t="s">
        <v>79</v>
      </c>
      <c r="AL2" s="22" t="s">
        <v>244</v>
      </c>
      <c r="AM2" s="22" t="s">
        <v>245</v>
      </c>
    </row>
    <row r="3" spans="1:39" x14ac:dyDescent="0.3">
      <c r="A3" s="107">
        <v>1</v>
      </c>
      <c r="B3" s="107">
        <f t="shared" ref="B3:J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ref="K3:X3" si="1">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14">
        <f>+X3+1</f>
        <v>25</v>
      </c>
      <c r="Z3" s="114">
        <f>+Y3+1</f>
        <v>26</v>
      </c>
      <c r="AA3" s="107">
        <f t="shared" ref="AA3:AM3" si="2">Z3+1</f>
        <v>27</v>
      </c>
      <c r="AB3" s="107">
        <f t="shared" si="2"/>
        <v>28</v>
      </c>
      <c r="AC3" s="107">
        <f t="shared" si="2"/>
        <v>29</v>
      </c>
      <c r="AD3" s="107">
        <f t="shared" si="2"/>
        <v>30</v>
      </c>
      <c r="AE3" s="107">
        <f t="shared" si="2"/>
        <v>31</v>
      </c>
      <c r="AF3" s="107">
        <f t="shared" si="2"/>
        <v>32</v>
      </c>
      <c r="AG3" s="107">
        <f t="shared" si="2"/>
        <v>33</v>
      </c>
      <c r="AH3" s="107">
        <f t="shared" si="2"/>
        <v>34</v>
      </c>
      <c r="AI3" s="107">
        <f t="shared" si="2"/>
        <v>35</v>
      </c>
      <c r="AJ3" s="107">
        <f t="shared" si="2"/>
        <v>36</v>
      </c>
      <c r="AK3" s="107">
        <f t="shared" si="2"/>
        <v>37</v>
      </c>
      <c r="AL3" s="107">
        <f t="shared" si="2"/>
        <v>38</v>
      </c>
      <c r="AM3" s="107">
        <f t="shared" si="2"/>
        <v>39</v>
      </c>
    </row>
    <row r="5" spans="1:39" x14ac:dyDescent="0.3">
      <c r="A5" s="41">
        <v>300</v>
      </c>
      <c r="B5" s="42" t="s">
        <v>0</v>
      </c>
      <c r="C5" s="1">
        <v>-54603.045512960001</v>
      </c>
      <c r="D5" s="3">
        <v>0.71024135999999993</v>
      </c>
      <c r="E5" s="3">
        <v>0.27176674000000001</v>
      </c>
      <c r="F5" s="3">
        <v>1.7543052799999999</v>
      </c>
      <c r="G5" s="3">
        <v>1.1954999999999999E-3</v>
      </c>
      <c r="H5" s="3">
        <v>0.87472398000000007</v>
      </c>
      <c r="I5" s="3"/>
      <c r="J5" s="44">
        <f>IF('2022 Lønnsgr arbavg tjeneste'!D5=0,0,'2022 Arbavg tjeneste'!D5/'2022 Lønnsgr arbavg tjeneste'!D5)</f>
        <v>0.14282758972019127</v>
      </c>
      <c r="K5" s="44">
        <f>IF('2022 Lønnsgr arbavg tjeneste'!E5=0,0,'2022 Arbavg tjeneste'!E5/'2022 Lønnsgr arbavg tjeneste'!E5)</f>
        <v>0</v>
      </c>
      <c r="L5" s="44">
        <f>IF('2022 Lønnsgr arbavg tjeneste'!F5=0,0,'2022 Arbavg tjeneste'!F5/'2022 Lønnsgr arbavg tjeneste'!F5)</f>
        <v>0.14022180342128154</v>
      </c>
      <c r="M5" s="44">
        <f>IF('2022 Lønnsgr arbavg tjeneste'!G5=0,0,'2022 Arbavg tjeneste'!G5/'2022 Lønnsgr arbavg tjeneste'!G5)</f>
        <v>0</v>
      </c>
      <c r="N5" s="44">
        <f>IF('2022 Lønnsgr arbavg tjeneste'!H5=0,0,'2022 Arbavg tjeneste'!H5/'2022 Lønnsgr arbavg tjeneste'!H5)</f>
        <v>0.13682912607206199</v>
      </c>
      <c r="O5" s="44">
        <f>IF('2022 Lønnsgr arbavg tjeneste'!I5=0,0,'2022 Arbavg tjeneste'!I5/'2022 Lønnsgr arbavg tjeneste'!I5)</f>
        <v>0.17468847093685386</v>
      </c>
      <c r="P5" s="44">
        <f>IF('2022 Lønnsgr arbavg tjeneste'!J5=0,0,'2022 Arbavg tjeneste'!J5/'2022 Lønnsgr arbavg tjeneste'!J5)</f>
        <v>0</v>
      </c>
      <c r="Q5" s="44">
        <f>IF('2022 Lønnsgr arbavg tjeneste'!K5=0,0,'2022 Arbavg tjeneste'!K5/'2022 Lønnsgr arbavg tjeneste'!K5)</f>
        <v>0.17714910578856397</v>
      </c>
      <c r="R5" s="44">
        <f>IF('2022 Lønnsgr arbavg tjeneste'!L5=0,0,'2022 Arbavg tjeneste'!L5/'2022 Lønnsgr arbavg tjeneste'!L5)</f>
        <v>0</v>
      </c>
      <c r="S5" s="44">
        <f>IF('2022 Lønnsgr arbavg tjeneste'!M5=0,0,'2022 Arbavg tjeneste'!M5/'2022 Lønnsgr arbavg tjeneste'!M5)</f>
        <v>0.13728963684676704</v>
      </c>
      <c r="T5" s="44">
        <f>IF('2022 Lønnsgr arbavg tjeneste'!N5=0,0,'2022 Arbavg tjeneste'!N5/'2022 Lønnsgr arbavg tjeneste'!N5)</f>
        <v>0.13552168815943727</v>
      </c>
      <c r="U5" s="44">
        <f>IF('2022 Lønnsgr arbavg tjeneste'!O5=0,0,'2022 Arbavg tjeneste'!O5/'2022 Lønnsgr arbavg tjeneste'!O5)</f>
        <v>0</v>
      </c>
      <c r="V5" s="44">
        <f>IF('2022 Lønnsgr arbavg tjeneste'!P5=0,0,'2022 Arbavg tjeneste'!P5/'2022 Lønnsgr arbavg tjeneste'!P5)</f>
        <v>0</v>
      </c>
      <c r="W5" s="44">
        <f>IF('2022 Lønnsgr arbavg tjeneste'!Q5=0,0,'2022 Arbavg tjeneste'!Q5/'2022 Lønnsgr arbavg tjeneste'!Q5)</f>
        <v>0</v>
      </c>
      <c r="X5" s="44">
        <f>IF('2022 Lønnsgr arbavg tjeneste'!R5=0,0,'2022 Arbavg tjeneste'!R5/'2022 Lønnsgr arbavg tjeneste'!R5)</f>
        <v>8.0553331429931666E-2</v>
      </c>
      <c r="Z5" s="44">
        <f>IF('2022 Lønnsgr pensjon tjeneste'!D5=0,0,'2022 Pensjon tjeneste'!D5/'2022 Lønnsgr pensjon tjeneste'!D5)</f>
        <v>0.12358104923342937</v>
      </c>
      <c r="AA5" s="44">
        <f>IF('2022 Lønnsgr pensjon tjeneste'!E5=0,0,'2022 Pensjon tjeneste'!E5/'2022 Lønnsgr pensjon tjeneste'!E5)</f>
        <v>0</v>
      </c>
      <c r="AB5" s="44">
        <f>IF('2022 Lønnsgr pensjon tjeneste'!F5=0,0,'2022 Pensjon tjeneste'!F5/'2022 Lønnsgr pensjon tjeneste'!F5)</f>
        <v>0.2518488271856994</v>
      </c>
      <c r="AC5" s="44">
        <f>IF('2022 Lønnsgr pensjon tjeneste'!G5=0,0,'2022 Pensjon tjeneste'!G5/'2022 Lønnsgr pensjon tjeneste'!G5)</f>
        <v>0</v>
      </c>
      <c r="AD5" s="44">
        <f>IF('2022 Lønnsgr pensjon tjeneste'!H5=0,0,'2022 Pensjon tjeneste'!H5/'2022 Lønnsgr pensjon tjeneste'!H5)</f>
        <v>0.38063012067389534</v>
      </c>
      <c r="AE5" s="44">
        <f>IF('2022 Lønnsgr pensjon tjeneste'!I5=0,0,'2022 Pensjon tjeneste'!I5/'2022 Lønnsgr pensjon tjeneste'!I5)</f>
        <v>0.54144154892369578</v>
      </c>
      <c r="AF5" s="44">
        <f>IF('2022 Lønnsgr pensjon tjeneste'!J5=0,0,'2022 Pensjon tjeneste'!J5/'2022 Lønnsgr pensjon tjeneste'!J5)</f>
        <v>0</v>
      </c>
      <c r="AG5" s="44">
        <f>IF('2022 Lønnsgr pensjon tjeneste'!K5=0,0,'2022 Pensjon tjeneste'!K5/'2022 Lønnsgr pensjon tjeneste'!K5)</f>
        <v>0.5571240250466879</v>
      </c>
      <c r="AH5" s="44">
        <f>IF('2022 Lønnsgr pensjon tjeneste'!L5=0,0,'2022 Pensjon tjeneste'!L5/'2022 Lønnsgr pensjon tjeneste'!L5)</f>
        <v>0</v>
      </c>
      <c r="AI5" s="44">
        <f>IF('2022 Lønnsgr pensjon tjeneste'!M5=0,0,'2022 Pensjon tjeneste'!M5/'2022 Lønnsgr pensjon tjeneste'!M5)</f>
        <v>0.32823529411764707</v>
      </c>
      <c r="AJ5" s="44">
        <f>IF('2022 Lønnsgr pensjon tjeneste'!N5=0,0,'2022 Pensjon tjeneste'!N5/'2022 Lønnsgr pensjon tjeneste'!N5)</f>
        <v>0.33073322932917315</v>
      </c>
      <c r="AK5" s="44">
        <f>IF('2022 Lønnsgr pensjon tjeneste'!O5=0,0,'2022 Pensjon tjeneste'!O5/'2022 Lønnsgr pensjon tjeneste'!O5)</f>
        <v>0</v>
      </c>
      <c r="AL5" s="44">
        <f>IF('2022 Lønnsgr pensjon tjeneste'!P5=0,0,'2022 Pensjon tjeneste'!P5/'2022 Lønnsgr pensjon tjeneste'!P5)</f>
        <v>0</v>
      </c>
      <c r="AM5" s="44">
        <f>IF('2022 Lønnsgr pensjon tjeneste'!Q5=0,0,'2022 Pensjon tjeneste'!Q5/'2022 Lønnsgr pensjon tjeneste'!Q5)</f>
        <v>0</v>
      </c>
    </row>
    <row r="6" spans="1:39" x14ac:dyDescent="0.3">
      <c r="A6" s="41">
        <v>1100</v>
      </c>
      <c r="B6" s="42" t="s">
        <v>139</v>
      </c>
      <c r="C6" s="1">
        <v>-52452.263250110002</v>
      </c>
      <c r="D6" s="3">
        <v>1.07050008</v>
      </c>
      <c r="E6" s="3">
        <v>0.80741668</v>
      </c>
      <c r="F6" s="3">
        <v>1.0211484799999999</v>
      </c>
      <c r="G6" s="3">
        <v>0.74883710000000003</v>
      </c>
      <c r="H6" s="3">
        <v>1.0760788699999999</v>
      </c>
      <c r="I6" s="3"/>
      <c r="J6" s="44">
        <f>IF('2022 Lønnsgr arbavg tjeneste'!D6=0,0,'2022 Arbavg tjeneste'!D6/'2022 Lønnsgr arbavg tjeneste'!D6)</f>
        <v>0.13992454677801114</v>
      </c>
      <c r="K6" s="44">
        <f>IF('2022 Lønnsgr arbavg tjeneste'!E6=0,0,'2022 Arbavg tjeneste'!E6/'2022 Lønnsgr arbavg tjeneste'!E6)</f>
        <v>0.14095695547755405</v>
      </c>
      <c r="L6" s="44">
        <f>IF('2022 Lønnsgr arbavg tjeneste'!F6=0,0,'2022 Arbavg tjeneste'!F6/'2022 Lønnsgr arbavg tjeneste'!F6)</f>
        <v>0.14074681986048421</v>
      </c>
      <c r="M6" s="44">
        <f>IF('2022 Lønnsgr arbavg tjeneste'!G6=0,0,'2022 Arbavg tjeneste'!G6/'2022 Lønnsgr arbavg tjeneste'!G6)</f>
        <v>0.14184397163120568</v>
      </c>
      <c r="N6" s="44">
        <f>IF('2022 Lønnsgr arbavg tjeneste'!H6=0,0,'2022 Arbavg tjeneste'!H6/'2022 Lønnsgr arbavg tjeneste'!H6)</f>
        <v>0.14033233027633779</v>
      </c>
      <c r="O6" s="44">
        <f>IF('2022 Lønnsgr arbavg tjeneste'!I6=0,0,'2022 Arbavg tjeneste'!I6/'2022 Lønnsgr arbavg tjeneste'!I6)</f>
        <v>0.13903286894209482</v>
      </c>
      <c r="P6" s="44">
        <f>IF('2022 Lønnsgr arbavg tjeneste'!J6=0,0,'2022 Arbavg tjeneste'!J6/'2022 Lønnsgr arbavg tjeneste'!J6)</f>
        <v>0</v>
      </c>
      <c r="Q6" s="44">
        <f>IF('2022 Lønnsgr arbavg tjeneste'!K6=0,0,'2022 Arbavg tjeneste'!K6/'2022 Lønnsgr arbavg tjeneste'!K6)</f>
        <v>0.14100334141987458</v>
      </c>
      <c r="R6" s="44">
        <f>IF('2022 Lønnsgr arbavg tjeneste'!L6=0,0,'2022 Arbavg tjeneste'!L6/'2022 Lønnsgr arbavg tjeneste'!L6)</f>
        <v>0.14111025556411103</v>
      </c>
      <c r="S6" s="44">
        <f>IF('2022 Lønnsgr arbavg tjeneste'!M6=0,0,'2022 Arbavg tjeneste'!M6/'2022 Lønnsgr arbavg tjeneste'!M6)</f>
        <v>0.14145304821357418</v>
      </c>
      <c r="T6" s="44">
        <f>IF('2022 Lønnsgr arbavg tjeneste'!N6=0,0,'2022 Arbavg tjeneste'!N6/'2022 Lønnsgr arbavg tjeneste'!N6)</f>
        <v>0.14210594650740069</v>
      </c>
      <c r="U6" s="44">
        <f>IF('2022 Lønnsgr arbavg tjeneste'!O6=0,0,'2022 Arbavg tjeneste'!O6/'2022 Lønnsgr arbavg tjeneste'!O6)</f>
        <v>0</v>
      </c>
      <c r="V6" s="44">
        <f>IF('2022 Lønnsgr arbavg tjeneste'!P6=0,0,'2022 Arbavg tjeneste'!P6/'2022 Lønnsgr arbavg tjeneste'!P6)</f>
        <v>8.7657942238267145E-2</v>
      </c>
      <c r="W6" s="44">
        <f>IF('2022 Lønnsgr arbavg tjeneste'!Q6=0,0,'2022 Arbavg tjeneste'!Q6/'2022 Lønnsgr arbavg tjeneste'!Q6)</f>
        <v>0</v>
      </c>
      <c r="X6" s="44">
        <f>IF('2022 Lønnsgr arbavg tjeneste'!R6=0,0,'2022 Arbavg tjeneste'!R6/'2022 Lønnsgr arbavg tjeneste'!R6)</f>
        <v>0.14098001642485627</v>
      </c>
      <c r="Z6" s="44">
        <f>IF('2022 Lønnsgr pensjon tjeneste'!D6=0,0,'2022 Pensjon tjeneste'!D6/'2022 Lønnsgr pensjon tjeneste'!D6)</f>
        <v>0.10221168655472236</v>
      </c>
      <c r="AA6" s="44">
        <f>IF('2022 Lønnsgr pensjon tjeneste'!E6=0,0,'2022 Pensjon tjeneste'!E6/'2022 Lønnsgr pensjon tjeneste'!E6)</f>
        <v>0.15971192194864695</v>
      </c>
      <c r="AB6" s="44">
        <f>IF('2022 Lønnsgr pensjon tjeneste'!F6=0,0,'2022 Pensjon tjeneste'!F6/'2022 Lønnsgr pensjon tjeneste'!F6)</f>
        <v>0.16269083969465647</v>
      </c>
      <c r="AC6" s="44">
        <f>IF('2022 Lønnsgr pensjon tjeneste'!G6=0,0,'2022 Pensjon tjeneste'!G6/'2022 Lønnsgr pensjon tjeneste'!G6)</f>
        <v>0.19491525423728814</v>
      </c>
      <c r="AD6" s="44">
        <f>IF('2022 Lønnsgr pensjon tjeneste'!H6=0,0,'2022 Pensjon tjeneste'!H6/'2022 Lønnsgr pensjon tjeneste'!H6)</f>
        <v>0.19033644036565306</v>
      </c>
      <c r="AE6" s="44">
        <f>IF('2022 Lønnsgr pensjon tjeneste'!I6=0,0,'2022 Pensjon tjeneste'!I6/'2022 Lønnsgr pensjon tjeneste'!I6)</f>
        <v>0.15773654821028796</v>
      </c>
      <c r="AF6" s="44">
        <f>IF('2022 Lønnsgr pensjon tjeneste'!J6=0,0,'2022 Pensjon tjeneste'!J6/'2022 Lønnsgr pensjon tjeneste'!J6)</f>
        <v>0</v>
      </c>
      <c r="AG6" s="44">
        <f>IF('2022 Lønnsgr pensjon tjeneste'!K6=0,0,'2022 Pensjon tjeneste'!K6/'2022 Lønnsgr pensjon tjeneste'!K6)</f>
        <v>0.15704828316709329</v>
      </c>
      <c r="AH6" s="44">
        <f>IF('2022 Lønnsgr pensjon tjeneste'!L6=0,0,'2022 Pensjon tjeneste'!L6/'2022 Lønnsgr pensjon tjeneste'!L6)</f>
        <v>0.16499006855897994</v>
      </c>
      <c r="AI6" s="44">
        <f>IF('2022 Lønnsgr pensjon tjeneste'!M6=0,0,'2022 Pensjon tjeneste'!M6/'2022 Lønnsgr pensjon tjeneste'!M6)</f>
        <v>0.16928094424600093</v>
      </c>
      <c r="AJ6" s="44">
        <f>IF('2022 Lønnsgr pensjon tjeneste'!N6=0,0,'2022 Pensjon tjeneste'!N6/'2022 Lønnsgr pensjon tjeneste'!N6)</f>
        <v>0.16529238217716924</v>
      </c>
      <c r="AK6" s="44">
        <f>IF('2022 Lønnsgr pensjon tjeneste'!O6=0,0,'2022 Pensjon tjeneste'!O6/'2022 Lønnsgr pensjon tjeneste'!O6)</f>
        <v>0</v>
      </c>
      <c r="AL6" s="44">
        <f>IF('2022 Lønnsgr pensjon tjeneste'!P6=0,0,'2022 Pensjon tjeneste'!P6/'2022 Lønnsgr pensjon tjeneste'!P6)</f>
        <v>9.4726441892058783E-2</v>
      </c>
      <c r="AM6" s="44">
        <f>IF('2022 Lønnsgr pensjon tjeneste'!Q6=0,0,'2022 Pensjon tjeneste'!Q6/'2022 Lønnsgr pensjon tjeneste'!Q6)</f>
        <v>0</v>
      </c>
    </row>
    <row r="7" spans="1:39" x14ac:dyDescent="0.3">
      <c r="A7" s="41">
        <v>1500</v>
      </c>
      <c r="B7" s="42" t="s">
        <v>140</v>
      </c>
      <c r="C7" s="1">
        <v>64691.95380933</v>
      </c>
      <c r="D7" s="3">
        <v>1.11393319</v>
      </c>
      <c r="E7" s="3">
        <v>1.5473002600000001</v>
      </c>
      <c r="F7" s="3">
        <v>0.9953996799999999</v>
      </c>
      <c r="G7" s="3">
        <v>3.08348662</v>
      </c>
      <c r="H7" s="3">
        <v>1.03004516</v>
      </c>
      <c r="I7" s="3"/>
      <c r="J7" s="44">
        <f>IF('2022 Lønnsgr arbavg tjeneste'!D7=0,0,'2022 Arbavg tjeneste'!D7/'2022 Lønnsgr arbavg tjeneste'!D7)</f>
        <v>0.13438017596552662</v>
      </c>
      <c r="K7" s="44">
        <f>IF('2022 Lønnsgr arbavg tjeneste'!E7=0,0,'2022 Arbavg tjeneste'!E7/'2022 Lønnsgr arbavg tjeneste'!E7)</f>
        <v>0.31510869362044153</v>
      </c>
      <c r="L7" s="44">
        <f>IF('2022 Lønnsgr arbavg tjeneste'!F7=0,0,'2022 Arbavg tjeneste'!F7/'2022 Lønnsgr arbavg tjeneste'!F7)</f>
        <v>0.1660942866063066</v>
      </c>
      <c r="M7" s="44">
        <f>IF('2022 Lønnsgr arbavg tjeneste'!G7=0,0,'2022 Arbavg tjeneste'!G7/'2022 Lønnsgr arbavg tjeneste'!G7)</f>
        <v>0.13776554449855319</v>
      </c>
      <c r="N7" s="44">
        <f>IF('2022 Lønnsgr arbavg tjeneste'!H7=0,0,'2022 Arbavg tjeneste'!H7/'2022 Lønnsgr arbavg tjeneste'!H7)</f>
        <v>0.12691147572799832</v>
      </c>
      <c r="O7" s="44">
        <f>IF('2022 Lønnsgr arbavg tjeneste'!I7=0,0,'2022 Arbavg tjeneste'!I7/'2022 Lønnsgr arbavg tjeneste'!I7)</f>
        <v>0.14165957136254165</v>
      </c>
      <c r="P7" s="44">
        <f>IF('2022 Lønnsgr arbavg tjeneste'!J7=0,0,'2022 Arbavg tjeneste'!J7/'2022 Lønnsgr arbavg tjeneste'!J7)</f>
        <v>0</v>
      </c>
      <c r="Q7" s="44">
        <f>IF('2022 Lønnsgr arbavg tjeneste'!K7=0,0,'2022 Arbavg tjeneste'!K7/'2022 Lønnsgr arbavg tjeneste'!K7)</f>
        <v>0.14426630919079758</v>
      </c>
      <c r="R7" s="44">
        <f>IF('2022 Lønnsgr arbavg tjeneste'!L7=0,0,'2022 Arbavg tjeneste'!L7/'2022 Lønnsgr arbavg tjeneste'!L7)</f>
        <v>0.13736388901544488</v>
      </c>
      <c r="S7" s="44">
        <f>IF('2022 Lønnsgr arbavg tjeneste'!M7=0,0,'2022 Arbavg tjeneste'!M7/'2022 Lønnsgr arbavg tjeneste'!M7)</f>
        <v>0.13739734680985471</v>
      </c>
      <c r="T7" s="44">
        <f>IF('2022 Lønnsgr arbavg tjeneste'!N7=0,0,'2022 Arbavg tjeneste'!N7/'2022 Lønnsgr arbavg tjeneste'!N7)</f>
        <v>0.13686283872508057</v>
      </c>
      <c r="U7" s="44">
        <f>IF('2022 Lønnsgr arbavg tjeneste'!O7=0,0,'2022 Arbavg tjeneste'!O7/'2022 Lønnsgr arbavg tjeneste'!O7)</f>
        <v>0</v>
      </c>
      <c r="V7" s="44">
        <f>IF('2022 Lønnsgr arbavg tjeneste'!P7=0,0,'2022 Arbavg tjeneste'!P7/'2022 Lønnsgr arbavg tjeneste'!P7)</f>
        <v>0</v>
      </c>
      <c r="W7" s="44">
        <f>IF('2022 Lønnsgr arbavg tjeneste'!Q7=0,0,'2022 Arbavg tjeneste'!Q7/'2022 Lønnsgr arbavg tjeneste'!Q7)</f>
        <v>0</v>
      </c>
      <c r="X7" s="44">
        <f>IF('2022 Lønnsgr arbavg tjeneste'!R7=0,0,'2022 Arbavg tjeneste'!R7/'2022 Lønnsgr arbavg tjeneste'!R7)</f>
        <v>0.45465156997782186</v>
      </c>
      <c r="Z7" s="44">
        <f>IF('2022 Lønnsgr pensjon tjeneste'!D7=0,0,'2022 Pensjon tjeneste'!D7/'2022 Lønnsgr pensjon tjeneste'!D7)</f>
        <v>9.9002897757090383E-2</v>
      </c>
      <c r="AA7" s="44">
        <f>IF('2022 Lønnsgr pensjon tjeneste'!E7=0,0,'2022 Pensjon tjeneste'!E7/'2022 Lønnsgr pensjon tjeneste'!E7)</f>
        <v>0.48752954261087167</v>
      </c>
      <c r="AB7" s="44">
        <f>IF('2022 Lønnsgr pensjon tjeneste'!F7=0,0,'2022 Pensjon tjeneste'!F7/'2022 Lønnsgr pensjon tjeneste'!F7)</f>
        <v>0.25821657718999608</v>
      </c>
      <c r="AC7" s="44">
        <f>IF('2022 Lønnsgr pensjon tjeneste'!G7=0,0,'2022 Pensjon tjeneste'!G7/'2022 Lønnsgr pensjon tjeneste'!G7)</f>
        <v>0.19640293844465084</v>
      </c>
      <c r="AD7" s="44">
        <f>IF('2022 Lønnsgr pensjon tjeneste'!H7=0,0,'2022 Pensjon tjeneste'!H7/'2022 Lønnsgr pensjon tjeneste'!H7)</f>
        <v>0.20891378518149201</v>
      </c>
      <c r="AE7" s="44">
        <f>IF('2022 Lønnsgr pensjon tjeneste'!I7=0,0,'2022 Pensjon tjeneste'!I7/'2022 Lønnsgr pensjon tjeneste'!I7)</f>
        <v>0.1937702194885377</v>
      </c>
      <c r="AF7" s="44">
        <f>IF('2022 Lønnsgr pensjon tjeneste'!J7=0,0,'2022 Pensjon tjeneste'!J7/'2022 Lønnsgr pensjon tjeneste'!J7)</f>
        <v>0</v>
      </c>
      <c r="AG7" s="44">
        <f>IF('2022 Lønnsgr pensjon tjeneste'!K7=0,0,'2022 Pensjon tjeneste'!K7/'2022 Lønnsgr pensjon tjeneste'!K7)</f>
        <v>0.19268234076374255</v>
      </c>
      <c r="AH7" s="44">
        <f>IF('2022 Lønnsgr pensjon tjeneste'!L7=0,0,'2022 Pensjon tjeneste'!L7/'2022 Lønnsgr pensjon tjeneste'!L7)</f>
        <v>0.19106794009116562</v>
      </c>
      <c r="AI7" s="44">
        <f>IF('2022 Lønnsgr pensjon tjeneste'!M7=0,0,'2022 Pensjon tjeneste'!M7/'2022 Lønnsgr pensjon tjeneste'!M7)</f>
        <v>0.19688492363526389</v>
      </c>
      <c r="AJ7" s="44">
        <f>IF('2022 Lønnsgr pensjon tjeneste'!N7=0,0,'2022 Pensjon tjeneste'!N7/'2022 Lønnsgr pensjon tjeneste'!N7)</f>
        <v>0.20645207748253763</v>
      </c>
      <c r="AK7" s="44">
        <f>IF('2022 Lønnsgr pensjon tjeneste'!O7=0,0,'2022 Pensjon tjeneste'!O7/'2022 Lønnsgr pensjon tjeneste'!O7)</f>
        <v>0</v>
      </c>
      <c r="AL7" s="44">
        <f>IF('2022 Lønnsgr pensjon tjeneste'!P7=0,0,'2022 Pensjon tjeneste'!P7/'2022 Lønnsgr pensjon tjeneste'!P7)</f>
        <v>0</v>
      </c>
      <c r="AM7" s="44">
        <f>IF('2022 Lønnsgr pensjon tjeneste'!Q7=0,0,'2022 Pensjon tjeneste'!Q7/'2022 Lønnsgr pensjon tjeneste'!Q7)</f>
        <v>0</v>
      </c>
    </row>
    <row r="8" spans="1:39" x14ac:dyDescent="0.3">
      <c r="A8" s="41">
        <v>1800</v>
      </c>
      <c r="B8" s="42" t="s">
        <v>141</v>
      </c>
      <c r="C8" s="1">
        <v>92968.804136060004</v>
      </c>
      <c r="D8" s="3">
        <v>1.0739446699999999</v>
      </c>
      <c r="E8" s="3">
        <v>1.75356388</v>
      </c>
      <c r="F8" s="3">
        <v>1.0204600800000001</v>
      </c>
      <c r="G8" s="3">
        <v>5.3669618200000002</v>
      </c>
      <c r="H8" s="3">
        <v>0.98230778000000007</v>
      </c>
      <c r="I8" s="3"/>
      <c r="J8" s="44">
        <f>IF('2022 Lønnsgr arbavg tjeneste'!D8=0,0,'2022 Arbavg tjeneste'!D8/'2022 Lønnsgr arbavg tjeneste'!D8)</f>
        <v>5.6553022298349721E-2</v>
      </c>
      <c r="K8" s="44">
        <f>IF('2022 Lønnsgr arbavg tjeneste'!E8=0,0,'2022 Arbavg tjeneste'!E8/'2022 Lønnsgr arbavg tjeneste'!E8)</f>
        <v>9.3800153513362641E-2</v>
      </c>
      <c r="L8" s="44">
        <f>IF('2022 Lønnsgr arbavg tjeneste'!F8=0,0,'2022 Arbavg tjeneste'!F8/'2022 Lønnsgr arbavg tjeneste'!F8)</f>
        <v>7.5361512791991103E-2</v>
      </c>
      <c r="M8" s="44">
        <f>IF('2022 Lønnsgr arbavg tjeneste'!G8=0,0,'2022 Arbavg tjeneste'!G8/'2022 Lønnsgr arbavg tjeneste'!G8)</f>
        <v>7.0766724366154166E-2</v>
      </c>
      <c r="N8" s="44">
        <f>IF('2022 Lønnsgr arbavg tjeneste'!H8=0,0,'2022 Arbavg tjeneste'!H8/'2022 Lønnsgr arbavg tjeneste'!H8)</f>
        <v>5.3029178587696985E-2</v>
      </c>
      <c r="O8" s="44">
        <f>IF('2022 Lønnsgr arbavg tjeneste'!I8=0,0,'2022 Arbavg tjeneste'!I8/'2022 Lønnsgr arbavg tjeneste'!I8)</f>
        <v>7.1433980188205168E-2</v>
      </c>
      <c r="P8" s="44">
        <f>IF('2022 Lønnsgr arbavg tjeneste'!J8=0,0,'2022 Arbavg tjeneste'!J8/'2022 Lønnsgr arbavg tjeneste'!J8)</f>
        <v>0</v>
      </c>
      <c r="Q8" s="44">
        <f>IF('2022 Lønnsgr arbavg tjeneste'!K8=0,0,'2022 Arbavg tjeneste'!K8/'2022 Lønnsgr arbavg tjeneste'!K8)</f>
        <v>7.4446877160636096E-2</v>
      </c>
      <c r="R8" s="44">
        <f>IF('2022 Lønnsgr arbavg tjeneste'!L8=0,0,'2022 Arbavg tjeneste'!L8/'2022 Lønnsgr arbavg tjeneste'!L8)</f>
        <v>7.1209602954755313E-2</v>
      </c>
      <c r="S8" s="44">
        <f>IF('2022 Lønnsgr arbavg tjeneste'!M8=0,0,'2022 Arbavg tjeneste'!M8/'2022 Lønnsgr arbavg tjeneste'!M8)</f>
        <v>6.902835483635833E-2</v>
      </c>
      <c r="T8" s="44">
        <f>IF('2022 Lønnsgr arbavg tjeneste'!N8=0,0,'2022 Arbavg tjeneste'!N8/'2022 Lønnsgr arbavg tjeneste'!N8)</f>
        <v>5.8853445596586895E-2</v>
      </c>
      <c r="U8" s="44">
        <f>IF('2022 Lønnsgr arbavg tjeneste'!O8=0,0,'2022 Arbavg tjeneste'!O8/'2022 Lønnsgr arbavg tjeneste'!O8)</f>
        <v>0</v>
      </c>
      <c r="V8" s="44">
        <f>IF('2022 Lønnsgr arbavg tjeneste'!P8=0,0,'2022 Arbavg tjeneste'!P8/'2022 Lønnsgr arbavg tjeneste'!P8)</f>
        <v>0</v>
      </c>
      <c r="W8" s="44">
        <f>IF('2022 Lønnsgr arbavg tjeneste'!Q8=0,0,'2022 Arbavg tjeneste'!Q8/'2022 Lønnsgr arbavg tjeneste'!Q8)</f>
        <v>0</v>
      </c>
      <c r="X8" s="44">
        <f>IF('2022 Lønnsgr arbavg tjeneste'!R8=0,0,'2022 Arbavg tjeneste'!R8/'2022 Lønnsgr arbavg tjeneste'!R8)</f>
        <v>-7.726224783861671E-2</v>
      </c>
      <c r="Z8" s="44">
        <f>IF('2022 Lønnsgr pensjon tjeneste'!D8=0,0,'2022 Pensjon tjeneste'!D8/'2022 Lønnsgr pensjon tjeneste'!D8)</f>
        <v>0.11576819843566262</v>
      </c>
      <c r="AA8" s="44">
        <f>IF('2022 Lønnsgr pensjon tjeneste'!E8=0,0,'2022 Pensjon tjeneste'!E8/'2022 Lønnsgr pensjon tjeneste'!E8)</f>
        <v>0.36991277333014699</v>
      </c>
      <c r="AB8" s="44">
        <f>IF('2022 Lønnsgr pensjon tjeneste'!F8=0,0,'2022 Pensjon tjeneste'!F8/'2022 Lønnsgr pensjon tjeneste'!F8)</f>
        <v>0.24014254512012875</v>
      </c>
      <c r="AC8" s="44">
        <f>IF('2022 Lønnsgr pensjon tjeneste'!G8=0,0,'2022 Pensjon tjeneste'!G8/'2022 Lønnsgr pensjon tjeneste'!G8)</f>
        <v>0.23039338511651214</v>
      </c>
      <c r="AD8" s="44">
        <f>IF('2022 Lønnsgr pensjon tjeneste'!H8=0,0,'2022 Pensjon tjeneste'!H8/'2022 Lønnsgr pensjon tjeneste'!H8)</f>
        <v>0.23477255204317657</v>
      </c>
      <c r="AE8" s="44">
        <f>IF('2022 Lønnsgr pensjon tjeneste'!I8=0,0,'2022 Pensjon tjeneste'!I8/'2022 Lønnsgr pensjon tjeneste'!I8)</f>
        <v>0.22802182706573057</v>
      </c>
      <c r="AF8" s="44">
        <f>IF('2022 Lønnsgr pensjon tjeneste'!J8=0,0,'2022 Pensjon tjeneste'!J8/'2022 Lønnsgr pensjon tjeneste'!J8)</f>
        <v>0</v>
      </c>
      <c r="AG8" s="44">
        <f>IF('2022 Lønnsgr pensjon tjeneste'!K8=0,0,'2022 Pensjon tjeneste'!K8/'2022 Lønnsgr pensjon tjeneste'!K8)</f>
        <v>0.22880425932612589</v>
      </c>
      <c r="AH8" s="44">
        <f>IF('2022 Lønnsgr pensjon tjeneste'!L8=0,0,'2022 Pensjon tjeneste'!L8/'2022 Lønnsgr pensjon tjeneste'!L8)</f>
        <v>0.23031831504328268</v>
      </c>
      <c r="AI8" s="44">
        <f>IF('2022 Lønnsgr pensjon tjeneste'!M8=0,0,'2022 Pensjon tjeneste'!M8/'2022 Lønnsgr pensjon tjeneste'!M8)</f>
        <v>0.22316333808844507</v>
      </c>
      <c r="AJ8" s="44">
        <f>IF('2022 Lønnsgr pensjon tjeneste'!N8=0,0,'2022 Pensjon tjeneste'!N8/'2022 Lønnsgr pensjon tjeneste'!N8)</f>
        <v>0.22441707603957656</v>
      </c>
      <c r="AK8" s="44">
        <f>IF('2022 Lønnsgr pensjon tjeneste'!O8=0,0,'2022 Pensjon tjeneste'!O8/'2022 Lønnsgr pensjon tjeneste'!O8)</f>
        <v>0</v>
      </c>
      <c r="AL8" s="44">
        <f>IF('2022 Lønnsgr pensjon tjeneste'!P8=0,0,'2022 Pensjon tjeneste'!P8/'2022 Lønnsgr pensjon tjeneste'!P8)</f>
        <v>0</v>
      </c>
      <c r="AM8" s="44">
        <f>IF('2022 Lønnsgr pensjon tjeneste'!Q8=0,0,'2022 Pensjon tjeneste'!Q8/'2022 Lønnsgr pensjon tjeneste'!Q8)</f>
        <v>0</v>
      </c>
    </row>
    <row r="9" spans="1:39" x14ac:dyDescent="0.3">
      <c r="A9" s="41">
        <v>3000</v>
      </c>
      <c r="B9" s="42" t="s">
        <v>403</v>
      </c>
      <c r="C9" s="1">
        <v>-140588.37528499999</v>
      </c>
      <c r="D9" s="3">
        <v>1.0186378599999999</v>
      </c>
      <c r="E9" s="3">
        <v>0.64148788000000012</v>
      </c>
      <c r="F9" s="3">
        <v>0.65952591999999999</v>
      </c>
      <c r="G9" s="3">
        <v>6.9758440000000005E-2</v>
      </c>
      <c r="H9" s="3">
        <v>1.0247303400000001</v>
      </c>
      <c r="I9" s="3"/>
      <c r="J9" s="44">
        <f>IF('2022 Lønnsgr arbavg tjeneste'!D9=0,0,'2022 Arbavg tjeneste'!D9/'2022 Lønnsgr arbavg tjeneste'!D9)</f>
        <v>0.13997606981618207</v>
      </c>
      <c r="K9" s="44">
        <f>IF('2022 Lønnsgr arbavg tjeneste'!E9=0,0,'2022 Arbavg tjeneste'!E9/'2022 Lønnsgr arbavg tjeneste'!E9)</f>
        <v>0.2676853790315038</v>
      </c>
      <c r="L9" s="44">
        <f>IF('2022 Lønnsgr arbavg tjeneste'!F9=0,0,'2022 Arbavg tjeneste'!F9/'2022 Lønnsgr arbavg tjeneste'!F9)</f>
        <v>0.14169411863446568</v>
      </c>
      <c r="M9" s="44">
        <f>IF('2022 Lønnsgr arbavg tjeneste'!G9=0,0,'2022 Arbavg tjeneste'!G9/'2022 Lønnsgr arbavg tjeneste'!G9)</f>
        <v>0</v>
      </c>
      <c r="N9" s="44">
        <f>IF('2022 Lønnsgr arbavg tjeneste'!H9=0,0,'2022 Arbavg tjeneste'!H9/'2022 Lønnsgr arbavg tjeneste'!H9)</f>
        <v>0.14038742576412425</v>
      </c>
      <c r="O9" s="44">
        <f>IF('2022 Lønnsgr arbavg tjeneste'!I9=0,0,'2022 Arbavg tjeneste'!I9/'2022 Lønnsgr arbavg tjeneste'!I9)</f>
        <v>0.13857227056674348</v>
      </c>
      <c r="P9" s="44">
        <f>IF('2022 Lønnsgr arbavg tjeneste'!J9=0,0,'2022 Arbavg tjeneste'!J9/'2022 Lønnsgr arbavg tjeneste'!J9)</f>
        <v>0</v>
      </c>
      <c r="Q9" s="44">
        <f>IF('2022 Lønnsgr arbavg tjeneste'!K9=0,0,'2022 Arbavg tjeneste'!K9/'2022 Lønnsgr arbavg tjeneste'!K9)</f>
        <v>0.13762306705584954</v>
      </c>
      <c r="R9" s="44">
        <f>IF('2022 Lønnsgr arbavg tjeneste'!L9=0,0,'2022 Arbavg tjeneste'!L9/'2022 Lønnsgr arbavg tjeneste'!L9)</f>
        <v>0.14160960769688488</v>
      </c>
      <c r="S9" s="44">
        <f>IF('2022 Lønnsgr arbavg tjeneste'!M9=0,0,'2022 Arbavg tjeneste'!M9/'2022 Lønnsgr arbavg tjeneste'!M9)</f>
        <v>0.13587015329125338</v>
      </c>
      <c r="T9" s="44">
        <f>IF('2022 Lønnsgr arbavg tjeneste'!N9=0,0,'2022 Arbavg tjeneste'!N9/'2022 Lønnsgr arbavg tjeneste'!N9)</f>
        <v>0.14172013553456853</v>
      </c>
      <c r="U9" s="44">
        <f>IF('2022 Lønnsgr arbavg tjeneste'!O9=0,0,'2022 Arbavg tjeneste'!O9/'2022 Lønnsgr arbavg tjeneste'!O9)</f>
        <v>0.14179843219091956</v>
      </c>
      <c r="V9" s="44">
        <f>IF('2022 Lønnsgr arbavg tjeneste'!P9=0,0,'2022 Arbavg tjeneste'!P9/'2022 Lønnsgr arbavg tjeneste'!P9)</f>
        <v>0.14047619047619048</v>
      </c>
      <c r="W9" s="44">
        <f>IF('2022 Lønnsgr arbavg tjeneste'!Q9=0,0,'2022 Arbavg tjeneste'!Q9/'2022 Lønnsgr arbavg tjeneste'!Q9)</f>
        <v>0</v>
      </c>
      <c r="X9" s="44">
        <f>IF('2022 Lønnsgr arbavg tjeneste'!R9=0,0,'2022 Arbavg tjeneste'!R9/'2022 Lønnsgr arbavg tjeneste'!R9)</f>
        <v>9.5049767380220002E-2</v>
      </c>
      <c r="Z9" s="44">
        <f>IF('2022 Lønnsgr pensjon tjeneste'!D9=0,0,'2022 Pensjon tjeneste'!D9/'2022 Lønnsgr pensjon tjeneste'!D9)</f>
        <v>9.6992334981547593E-2</v>
      </c>
      <c r="AA9" s="44">
        <f>IF('2022 Lønnsgr pensjon tjeneste'!E9=0,0,'2022 Pensjon tjeneste'!E9/'2022 Lønnsgr pensjon tjeneste'!E9)</f>
        <v>0.24166115805834956</v>
      </c>
      <c r="AB9" s="44">
        <f>IF('2022 Lønnsgr pensjon tjeneste'!F9=0,0,'2022 Pensjon tjeneste'!F9/'2022 Lønnsgr pensjon tjeneste'!F9)</f>
        <v>0.1722789324806297</v>
      </c>
      <c r="AC9" s="44">
        <f>IF('2022 Lønnsgr pensjon tjeneste'!G9=0,0,'2022 Pensjon tjeneste'!G9/'2022 Lønnsgr pensjon tjeneste'!G9)</f>
        <v>0</v>
      </c>
      <c r="AD9" s="44">
        <f>IF('2022 Lønnsgr pensjon tjeneste'!H9=0,0,'2022 Pensjon tjeneste'!H9/'2022 Lønnsgr pensjon tjeneste'!H9)</f>
        <v>0.12198548720616033</v>
      </c>
      <c r="AE9" s="44">
        <f>IF('2022 Lønnsgr pensjon tjeneste'!I9=0,0,'2022 Pensjon tjeneste'!I9/'2022 Lønnsgr pensjon tjeneste'!I9)</f>
        <v>0.46315204357942047</v>
      </c>
      <c r="AF9" s="44">
        <f>IF('2022 Lønnsgr pensjon tjeneste'!J9=0,0,'2022 Pensjon tjeneste'!J9/'2022 Lønnsgr pensjon tjeneste'!J9)</f>
        <v>0</v>
      </c>
      <c r="AG9" s="44">
        <f>IF('2022 Lønnsgr pensjon tjeneste'!K9=0,0,'2022 Pensjon tjeneste'!K9/'2022 Lønnsgr pensjon tjeneste'!K9)</f>
        <v>0.66292311847317253</v>
      </c>
      <c r="AH9" s="44">
        <f>IF('2022 Lønnsgr pensjon tjeneste'!L9=0,0,'2022 Pensjon tjeneste'!L9/'2022 Lønnsgr pensjon tjeneste'!L9)</f>
        <v>0.11565001121998654</v>
      </c>
      <c r="AI9" s="44">
        <f>IF('2022 Lønnsgr pensjon tjeneste'!M9=0,0,'2022 Pensjon tjeneste'!M9/'2022 Lønnsgr pensjon tjeneste'!M9)</f>
        <v>0.11425930391447633</v>
      </c>
      <c r="AJ9" s="44">
        <f>IF('2022 Lønnsgr pensjon tjeneste'!N9=0,0,'2022 Pensjon tjeneste'!N9/'2022 Lønnsgr pensjon tjeneste'!N9)</f>
        <v>0.11363563377115514</v>
      </c>
      <c r="AK9" s="44">
        <f>IF('2022 Lønnsgr pensjon tjeneste'!O9=0,0,'2022 Pensjon tjeneste'!O9/'2022 Lønnsgr pensjon tjeneste'!O9)</f>
        <v>0.11974236069502696</v>
      </c>
      <c r="AL9" s="44">
        <f>IF('2022 Lønnsgr pensjon tjeneste'!P9=0,0,'2022 Pensjon tjeneste'!P9/'2022 Lønnsgr pensjon tjeneste'!P9)</f>
        <v>0.1076923076923077</v>
      </c>
      <c r="AM9" s="44">
        <f>IF('2022 Lønnsgr pensjon tjeneste'!Q9=0,0,'2022 Pensjon tjeneste'!Q9/'2022 Lønnsgr pensjon tjeneste'!Q9)</f>
        <v>0</v>
      </c>
    </row>
    <row r="10" spans="1:39" x14ac:dyDescent="0.3">
      <c r="A10" s="41">
        <v>3400</v>
      </c>
      <c r="B10" s="42" t="s">
        <v>404</v>
      </c>
      <c r="C10" s="1">
        <v>66759.002716529998</v>
      </c>
      <c r="D10" s="3">
        <v>1.0114143099999999</v>
      </c>
      <c r="E10" s="3">
        <v>1.5407690200000002</v>
      </c>
      <c r="F10" s="3">
        <v>1.0059225599999999</v>
      </c>
      <c r="G10" s="3">
        <v>3.7465999999999999E-2</v>
      </c>
      <c r="H10" s="3">
        <v>0.9667207000000001</v>
      </c>
      <c r="I10" s="3"/>
      <c r="J10" s="44">
        <f>IF('2022 Lønnsgr arbavg tjeneste'!D10=0,0,'2022 Arbavg tjeneste'!D10/'2022 Lønnsgr arbavg tjeneste'!D10)</f>
        <v>0.12447179974634873</v>
      </c>
      <c r="K10" s="44">
        <f>IF('2022 Lønnsgr arbavg tjeneste'!E10=0,0,'2022 Arbavg tjeneste'!E10/'2022 Lønnsgr arbavg tjeneste'!E10)</f>
        <v>0.12083731546862386</v>
      </c>
      <c r="L10" s="44">
        <f>IF('2022 Lønnsgr arbavg tjeneste'!F10=0,0,'2022 Arbavg tjeneste'!F10/'2022 Lønnsgr arbavg tjeneste'!F10)</f>
        <v>0.1409974282153936</v>
      </c>
      <c r="M10" s="44">
        <f>IF('2022 Lønnsgr arbavg tjeneste'!G10=0,0,'2022 Arbavg tjeneste'!G10/'2022 Lønnsgr arbavg tjeneste'!G10)</f>
        <v>0.13568086678158089</v>
      </c>
      <c r="N10" s="44">
        <f>IF('2022 Lønnsgr arbavg tjeneste'!H10=0,0,'2022 Arbavg tjeneste'!H10/'2022 Lønnsgr arbavg tjeneste'!H10)</f>
        <v>0.11982809186481974</v>
      </c>
      <c r="O10" s="44">
        <f>IF('2022 Lønnsgr arbavg tjeneste'!I10=0,0,'2022 Arbavg tjeneste'!I10/'2022 Lønnsgr arbavg tjeneste'!I10)</f>
        <v>0.14082794844113944</v>
      </c>
      <c r="P10" s="44">
        <f>IF('2022 Lønnsgr arbavg tjeneste'!J10=0,0,'2022 Arbavg tjeneste'!J10/'2022 Lønnsgr arbavg tjeneste'!J10)</f>
        <v>0</v>
      </c>
      <c r="Q10" s="44">
        <f>IF('2022 Lønnsgr arbavg tjeneste'!K10=0,0,'2022 Arbavg tjeneste'!K10/'2022 Lønnsgr arbavg tjeneste'!K10)</f>
        <v>0.14079347831431338</v>
      </c>
      <c r="R10" s="44">
        <f>IF('2022 Lønnsgr arbavg tjeneste'!L10=0,0,'2022 Arbavg tjeneste'!L10/'2022 Lønnsgr arbavg tjeneste'!L10)</f>
        <v>0.1404397839657712</v>
      </c>
      <c r="S10" s="44">
        <f>IF('2022 Lønnsgr arbavg tjeneste'!M10=0,0,'2022 Arbavg tjeneste'!M10/'2022 Lønnsgr arbavg tjeneste'!M10)</f>
        <v>0.14075491133838569</v>
      </c>
      <c r="T10" s="44">
        <f>IF('2022 Lønnsgr arbavg tjeneste'!N10=0,0,'2022 Arbavg tjeneste'!N10/'2022 Lønnsgr arbavg tjeneste'!N10)</f>
        <v>0.14170029141448107</v>
      </c>
      <c r="U10" s="44">
        <f>IF('2022 Lønnsgr arbavg tjeneste'!O10=0,0,'2022 Arbavg tjeneste'!O10/'2022 Lønnsgr arbavg tjeneste'!O10)</f>
        <v>0</v>
      </c>
      <c r="V10" s="44">
        <f>IF('2022 Lønnsgr arbavg tjeneste'!P10=0,0,'2022 Arbavg tjeneste'!P10/'2022 Lønnsgr arbavg tjeneste'!P10)</f>
        <v>0</v>
      </c>
      <c r="W10" s="44">
        <f>IF('2022 Lønnsgr arbavg tjeneste'!Q10=0,0,'2022 Arbavg tjeneste'!Q10/'2022 Lønnsgr arbavg tjeneste'!Q10)</f>
        <v>0</v>
      </c>
      <c r="X10" s="44">
        <f>IF('2022 Lønnsgr arbavg tjeneste'!R10=0,0,'2022 Arbavg tjeneste'!R10/'2022 Lønnsgr arbavg tjeneste'!R10)</f>
        <v>0.14101262874161827</v>
      </c>
      <c r="Z10" s="44">
        <f>IF('2022 Lønnsgr pensjon tjeneste'!D10=0,0,'2022 Pensjon tjeneste'!D10/'2022 Lønnsgr pensjon tjeneste'!D10)</f>
        <v>0.10896167821776431</v>
      </c>
      <c r="AA10" s="44">
        <f>IF('2022 Lønnsgr pensjon tjeneste'!E10=0,0,'2022 Pensjon tjeneste'!E10/'2022 Lønnsgr pensjon tjeneste'!E10)</f>
        <v>0.24796489074676639</v>
      </c>
      <c r="AB10" s="44">
        <f>IF('2022 Lønnsgr pensjon tjeneste'!F10=0,0,'2022 Pensjon tjeneste'!F10/'2022 Lønnsgr pensjon tjeneste'!F10)</f>
        <v>0.24601916088536505</v>
      </c>
      <c r="AC10" s="44">
        <f>IF('2022 Lønnsgr pensjon tjeneste'!G10=0,0,'2022 Pensjon tjeneste'!G10/'2022 Lønnsgr pensjon tjeneste'!G10)</f>
        <v>8.3222192584689256E-2</v>
      </c>
      <c r="AD10" s="44">
        <f>IF('2022 Lønnsgr pensjon tjeneste'!H10=0,0,'2022 Pensjon tjeneste'!H10/'2022 Lønnsgr pensjon tjeneste'!H10)</f>
        <v>0.23659341195834874</v>
      </c>
      <c r="AE10" s="44">
        <f>IF('2022 Lønnsgr pensjon tjeneste'!I10=0,0,'2022 Pensjon tjeneste'!I10/'2022 Lønnsgr pensjon tjeneste'!I10)</f>
        <v>0.21211132732678686</v>
      </c>
      <c r="AF10" s="44">
        <f>IF('2022 Lønnsgr pensjon tjeneste'!J10=0,0,'2022 Pensjon tjeneste'!J10/'2022 Lønnsgr pensjon tjeneste'!J10)</f>
        <v>0</v>
      </c>
      <c r="AG10" s="44">
        <f>IF('2022 Lønnsgr pensjon tjeneste'!K10=0,0,'2022 Pensjon tjeneste'!K10/'2022 Lønnsgr pensjon tjeneste'!K10)</f>
        <v>0.21509012372969452</v>
      </c>
      <c r="AH10" s="44">
        <f>IF('2022 Lønnsgr pensjon tjeneste'!L10=0,0,'2022 Pensjon tjeneste'!L10/'2022 Lønnsgr pensjon tjeneste'!L10)</f>
        <v>0.26931980056980059</v>
      </c>
      <c r="AI10" s="44">
        <f>IF('2022 Lønnsgr pensjon tjeneste'!M10=0,0,'2022 Pensjon tjeneste'!M10/'2022 Lønnsgr pensjon tjeneste'!M10)</f>
        <v>0.22040138284021013</v>
      </c>
      <c r="AJ10" s="44">
        <f>IF('2022 Lønnsgr pensjon tjeneste'!N10=0,0,'2022 Pensjon tjeneste'!N10/'2022 Lønnsgr pensjon tjeneste'!N10)</f>
        <v>0.11084134839854329</v>
      </c>
      <c r="AK10" s="44">
        <f>IF('2022 Lønnsgr pensjon tjeneste'!O10=0,0,'2022 Pensjon tjeneste'!O10/'2022 Lønnsgr pensjon tjeneste'!O10)</f>
        <v>0</v>
      </c>
      <c r="AL10" s="44">
        <f>IF('2022 Lønnsgr pensjon tjeneste'!P10=0,0,'2022 Pensjon tjeneste'!P10/'2022 Lønnsgr pensjon tjeneste'!P10)</f>
        <v>0</v>
      </c>
      <c r="AM10" s="44">
        <f>IF('2022 Lønnsgr pensjon tjeneste'!Q10=0,0,'2022 Pensjon tjeneste'!Q10/'2022 Lønnsgr pensjon tjeneste'!Q10)</f>
        <v>0</v>
      </c>
    </row>
    <row r="11" spans="1:39" x14ac:dyDescent="0.3">
      <c r="A11" s="41">
        <v>3800</v>
      </c>
      <c r="B11" s="42" t="s">
        <v>405</v>
      </c>
      <c r="C11" s="1">
        <v>29974.51339195</v>
      </c>
      <c r="D11" s="3">
        <v>1.01806916</v>
      </c>
      <c r="E11" s="3">
        <v>0.95163352000000012</v>
      </c>
      <c r="F11" s="3">
        <v>0.72960991999999991</v>
      </c>
      <c r="G11" s="3">
        <v>0.13406012</v>
      </c>
      <c r="H11" s="3">
        <v>0.99232936000000005</v>
      </c>
      <c r="I11" s="3"/>
      <c r="J11" s="44">
        <f>IF('2022 Lønnsgr arbavg tjeneste'!D11=0,0,'2022 Arbavg tjeneste'!D11/'2022 Lønnsgr arbavg tjeneste'!D11)</f>
        <v>0.13907801567017219</v>
      </c>
      <c r="K11" s="44">
        <f>IF('2022 Lønnsgr arbavg tjeneste'!E11=0,0,'2022 Arbavg tjeneste'!E11/'2022 Lønnsgr arbavg tjeneste'!E11)</f>
        <v>0.14190362425033559</v>
      </c>
      <c r="L11" s="44">
        <f>IF('2022 Lønnsgr arbavg tjeneste'!F11=0,0,'2022 Arbavg tjeneste'!F11/'2022 Lønnsgr arbavg tjeneste'!F11)</f>
        <v>0.14522229358452865</v>
      </c>
      <c r="M11" s="44">
        <f>IF('2022 Lønnsgr arbavg tjeneste'!G11=0,0,'2022 Arbavg tjeneste'!G11/'2022 Lønnsgr arbavg tjeneste'!G11)</f>
        <v>0</v>
      </c>
      <c r="N11" s="44">
        <f>IF('2022 Lønnsgr arbavg tjeneste'!H11=0,0,'2022 Arbavg tjeneste'!H11/'2022 Lønnsgr arbavg tjeneste'!H11)</f>
        <v>0.13867511118862824</v>
      </c>
      <c r="O11" s="44">
        <f>IF('2022 Lønnsgr arbavg tjeneste'!I11=0,0,'2022 Arbavg tjeneste'!I11/'2022 Lønnsgr arbavg tjeneste'!I11)</f>
        <v>0.1399873225008631</v>
      </c>
      <c r="P11" s="44">
        <f>IF('2022 Lønnsgr arbavg tjeneste'!J11=0,0,'2022 Arbavg tjeneste'!J11/'2022 Lønnsgr arbavg tjeneste'!J11)</f>
        <v>0</v>
      </c>
      <c r="Q11" s="44">
        <f>IF('2022 Lønnsgr arbavg tjeneste'!K11=0,0,'2022 Arbavg tjeneste'!K11/'2022 Lønnsgr arbavg tjeneste'!K11)</f>
        <v>0.14058036663492737</v>
      </c>
      <c r="R11" s="44">
        <f>IF('2022 Lønnsgr arbavg tjeneste'!L11=0,0,'2022 Arbavg tjeneste'!L11/'2022 Lønnsgr arbavg tjeneste'!L11)</f>
        <v>0.1375025283171521</v>
      </c>
      <c r="S11" s="44">
        <f>IF('2022 Lønnsgr arbavg tjeneste'!M11=0,0,'2022 Arbavg tjeneste'!M11/'2022 Lønnsgr arbavg tjeneste'!M11)</f>
        <v>0.14200993748998236</v>
      </c>
      <c r="T11" s="44">
        <f>IF('2022 Lønnsgr arbavg tjeneste'!N11=0,0,'2022 Arbavg tjeneste'!N11/'2022 Lønnsgr arbavg tjeneste'!N11)</f>
        <v>0.14187111547268563</v>
      </c>
      <c r="U11" s="44">
        <f>IF('2022 Lønnsgr arbavg tjeneste'!O11=0,0,'2022 Arbavg tjeneste'!O11/'2022 Lønnsgr arbavg tjeneste'!O11)</f>
        <v>0.10664229128580134</v>
      </c>
      <c r="V11" s="44">
        <f>IF('2022 Lønnsgr arbavg tjeneste'!P11=0,0,'2022 Arbavg tjeneste'!P11/'2022 Lønnsgr arbavg tjeneste'!P11)</f>
        <v>0.15947712418300652</v>
      </c>
      <c r="W11" s="44">
        <f>IF('2022 Lønnsgr arbavg tjeneste'!Q11=0,0,'2022 Arbavg tjeneste'!Q11/'2022 Lønnsgr arbavg tjeneste'!Q11)</f>
        <v>0</v>
      </c>
      <c r="X11" s="44">
        <f>IF('2022 Lønnsgr arbavg tjeneste'!R11=0,0,'2022 Arbavg tjeneste'!R11/'2022 Lønnsgr arbavg tjeneste'!R11)</f>
        <v>0.15987825856821489</v>
      </c>
      <c r="Z11" s="44">
        <f>IF('2022 Lønnsgr pensjon tjeneste'!D11=0,0,'2022 Pensjon tjeneste'!D11/'2022 Lønnsgr pensjon tjeneste'!D11)</f>
        <v>0.11001030050086119</v>
      </c>
      <c r="AA11" s="44">
        <f>IF('2022 Lønnsgr pensjon tjeneste'!E11=0,0,'2022 Pensjon tjeneste'!E11/'2022 Lønnsgr pensjon tjeneste'!E11)</f>
        <v>0.21645144860233095</v>
      </c>
      <c r="AB11" s="44">
        <f>IF('2022 Lønnsgr pensjon tjeneste'!F11=0,0,'2022 Pensjon tjeneste'!F11/'2022 Lønnsgr pensjon tjeneste'!F11)</f>
        <v>0.22085729221118661</v>
      </c>
      <c r="AC11" s="44">
        <f>IF('2022 Lønnsgr pensjon tjeneste'!G11=0,0,'2022 Pensjon tjeneste'!G11/'2022 Lønnsgr pensjon tjeneste'!G11)</f>
        <v>0</v>
      </c>
      <c r="AD11" s="44">
        <f>IF('2022 Lønnsgr pensjon tjeneste'!H11=0,0,'2022 Pensjon tjeneste'!H11/'2022 Lønnsgr pensjon tjeneste'!H11)</f>
        <v>0.23403081848571064</v>
      </c>
      <c r="AE11" s="44">
        <f>IF('2022 Lønnsgr pensjon tjeneste'!I11=0,0,'2022 Pensjon tjeneste'!I11/'2022 Lønnsgr pensjon tjeneste'!I11)</f>
        <v>0.21256686785641982</v>
      </c>
      <c r="AF11" s="44">
        <f>IF('2022 Lønnsgr pensjon tjeneste'!J11=0,0,'2022 Pensjon tjeneste'!J11/'2022 Lønnsgr pensjon tjeneste'!J11)</f>
        <v>0</v>
      </c>
      <c r="AG11" s="44">
        <f>IF('2022 Lønnsgr pensjon tjeneste'!K11=0,0,'2022 Pensjon tjeneste'!K11/'2022 Lønnsgr pensjon tjeneste'!K11)</f>
        <v>0.20730142077478544</v>
      </c>
      <c r="AH11" s="44">
        <f>IF('2022 Lønnsgr pensjon tjeneste'!L11=0,0,'2022 Pensjon tjeneste'!L11/'2022 Lønnsgr pensjon tjeneste'!L11)</f>
        <v>0.21837168468718232</v>
      </c>
      <c r="AI11" s="44">
        <f>IF('2022 Lønnsgr pensjon tjeneste'!M11=0,0,'2022 Pensjon tjeneste'!M11/'2022 Lønnsgr pensjon tjeneste'!M11)</f>
        <v>0.21706900755913192</v>
      </c>
      <c r="AJ11" s="44">
        <f>IF('2022 Lønnsgr pensjon tjeneste'!N11=0,0,'2022 Pensjon tjeneste'!N11/'2022 Lønnsgr pensjon tjeneste'!N11)</f>
        <v>0.23585058214747737</v>
      </c>
      <c r="AK11" s="44">
        <f>IF('2022 Lønnsgr pensjon tjeneste'!O11=0,0,'2022 Pensjon tjeneste'!O11/'2022 Lønnsgr pensjon tjeneste'!O11)</f>
        <v>0.1556338028169014</v>
      </c>
      <c r="AL11" s="44">
        <f>IF('2022 Lønnsgr pensjon tjeneste'!P11=0,0,'2022 Pensjon tjeneste'!P11/'2022 Lønnsgr pensjon tjeneste'!P11)</f>
        <v>0.18055555555555555</v>
      </c>
      <c r="AM11" s="44">
        <f>IF('2022 Lønnsgr pensjon tjeneste'!Q11=0,0,'2022 Pensjon tjeneste'!Q11/'2022 Lønnsgr pensjon tjeneste'!Q11)</f>
        <v>0</v>
      </c>
    </row>
    <row r="12" spans="1:39" x14ac:dyDescent="0.3">
      <c r="A12" s="41">
        <v>4200</v>
      </c>
      <c r="B12" s="42" t="s">
        <v>406</v>
      </c>
      <c r="C12" s="1">
        <v>24368.777747870001</v>
      </c>
      <c r="D12" s="3">
        <v>1.0686202599999999</v>
      </c>
      <c r="E12" s="3">
        <v>1.15154242</v>
      </c>
      <c r="F12" s="3">
        <v>0.82527287999999999</v>
      </c>
      <c r="G12" s="3">
        <v>0.22924375999999999</v>
      </c>
      <c r="H12" s="3">
        <v>1.0503528199999999</v>
      </c>
      <c r="I12" s="3"/>
      <c r="J12" s="44">
        <f>IF('2022 Lønnsgr arbavg tjeneste'!D12=0,0,'2022 Arbavg tjeneste'!D12/'2022 Lønnsgr arbavg tjeneste'!D12)</f>
        <v>0.13994012877627116</v>
      </c>
      <c r="K12" s="44">
        <f>IF('2022 Lønnsgr arbavg tjeneste'!E12=0,0,'2022 Arbavg tjeneste'!E12/'2022 Lønnsgr arbavg tjeneste'!E12)</f>
        <v>0.20079529038972335</v>
      </c>
      <c r="L12" s="44">
        <f>IF('2022 Lønnsgr arbavg tjeneste'!F12=0,0,'2022 Arbavg tjeneste'!F12/'2022 Lønnsgr arbavg tjeneste'!F12)</f>
        <v>0.13391877058177826</v>
      </c>
      <c r="M12" s="44">
        <f>IF('2022 Lønnsgr arbavg tjeneste'!G12=0,0,'2022 Arbavg tjeneste'!G12/'2022 Lønnsgr arbavg tjeneste'!G12)</f>
        <v>7.1874999999999994E-2</v>
      </c>
      <c r="N12" s="44">
        <f>IF('2022 Lønnsgr arbavg tjeneste'!H12=0,0,'2022 Arbavg tjeneste'!H12/'2022 Lønnsgr arbavg tjeneste'!H12)</f>
        <v>0.12893484973786637</v>
      </c>
      <c r="O12" s="44">
        <f>IF('2022 Lønnsgr arbavg tjeneste'!I12=0,0,'2022 Arbavg tjeneste'!I12/'2022 Lønnsgr arbavg tjeneste'!I12)</f>
        <v>0.11128320549649065</v>
      </c>
      <c r="P12" s="44">
        <f>IF('2022 Lønnsgr arbavg tjeneste'!J12=0,0,'2022 Arbavg tjeneste'!J12/'2022 Lønnsgr arbavg tjeneste'!J12)</f>
        <v>0</v>
      </c>
      <c r="Q12" s="44">
        <f>IF('2022 Lønnsgr arbavg tjeneste'!K12=0,0,'2022 Arbavg tjeneste'!K12/'2022 Lønnsgr arbavg tjeneste'!K12)</f>
        <v>0.10224604283539447</v>
      </c>
      <c r="R12" s="44">
        <f>IF('2022 Lønnsgr arbavg tjeneste'!L12=0,0,'2022 Arbavg tjeneste'!L12/'2022 Lønnsgr arbavg tjeneste'!L12)</f>
        <v>0.13511986946152882</v>
      </c>
      <c r="S12" s="44">
        <f>IF('2022 Lønnsgr arbavg tjeneste'!M12=0,0,'2022 Arbavg tjeneste'!M12/'2022 Lønnsgr arbavg tjeneste'!M12)</f>
        <v>9.8952270081490101E-2</v>
      </c>
      <c r="T12" s="44">
        <f>IF('2022 Lønnsgr arbavg tjeneste'!N12=0,0,'2022 Arbavg tjeneste'!N12/'2022 Lønnsgr arbavg tjeneste'!N12)</f>
        <v>0.12595442794444778</v>
      </c>
      <c r="U12" s="44">
        <f>IF('2022 Lønnsgr arbavg tjeneste'!O12=0,0,'2022 Arbavg tjeneste'!O12/'2022 Lønnsgr arbavg tjeneste'!O12)</f>
        <v>0</v>
      </c>
      <c r="V12" s="44">
        <f>IF('2022 Lønnsgr arbavg tjeneste'!P12=0,0,'2022 Arbavg tjeneste'!P12/'2022 Lønnsgr arbavg tjeneste'!P12)</f>
        <v>0.15670650730411687</v>
      </c>
      <c r="W12" s="44">
        <f>IF('2022 Lønnsgr arbavg tjeneste'!Q12=0,0,'2022 Arbavg tjeneste'!Q12/'2022 Lønnsgr arbavg tjeneste'!Q12)</f>
        <v>0</v>
      </c>
      <c r="X12" s="44">
        <f>IF('2022 Lønnsgr arbavg tjeneste'!R12=0,0,'2022 Arbavg tjeneste'!R12/'2022 Lønnsgr arbavg tjeneste'!R12)</f>
        <v>-9.262032085561497</v>
      </c>
      <c r="Z12" s="44">
        <f>IF('2022 Lønnsgr pensjon tjeneste'!D12=0,0,'2022 Pensjon tjeneste'!D12/'2022 Lønnsgr pensjon tjeneste'!D12)</f>
        <v>7.0782090927257513E-2</v>
      </c>
      <c r="AA12" s="44">
        <f>IF('2022 Lønnsgr pensjon tjeneste'!E12=0,0,'2022 Pensjon tjeneste'!E12/'2022 Lønnsgr pensjon tjeneste'!E12)</f>
        <v>0.27450359313444062</v>
      </c>
      <c r="AB12" s="44">
        <f>IF('2022 Lønnsgr pensjon tjeneste'!F12=0,0,'2022 Pensjon tjeneste'!F12/'2022 Lønnsgr pensjon tjeneste'!F12)</f>
        <v>0.17776341305753071</v>
      </c>
      <c r="AC12" s="44">
        <f>IF('2022 Lønnsgr pensjon tjeneste'!G12=0,0,'2022 Pensjon tjeneste'!G12/'2022 Lønnsgr pensjon tjeneste'!G12)</f>
        <v>0.17863720073664824</v>
      </c>
      <c r="AD12" s="44">
        <f>IF('2022 Lønnsgr pensjon tjeneste'!H12=0,0,'2022 Pensjon tjeneste'!H12/'2022 Lønnsgr pensjon tjeneste'!H12)</f>
        <v>0.19530775299953748</v>
      </c>
      <c r="AE12" s="44">
        <f>IF('2022 Lønnsgr pensjon tjeneste'!I12=0,0,'2022 Pensjon tjeneste'!I12/'2022 Lønnsgr pensjon tjeneste'!I12)</f>
        <v>0.46905657914772358</v>
      </c>
      <c r="AF12" s="44">
        <f>IF('2022 Lønnsgr pensjon tjeneste'!J12=0,0,'2022 Pensjon tjeneste'!J12/'2022 Lønnsgr pensjon tjeneste'!J12)</f>
        <v>0</v>
      </c>
      <c r="AG12" s="44">
        <f>IF('2022 Lønnsgr pensjon tjeneste'!K12=0,0,'2022 Pensjon tjeneste'!K12/'2022 Lønnsgr pensjon tjeneste'!K12)</f>
        <v>0.63376490630323679</v>
      </c>
      <c r="AH12" s="44">
        <f>IF('2022 Lønnsgr pensjon tjeneste'!L12=0,0,'2022 Pensjon tjeneste'!L12/'2022 Lønnsgr pensjon tjeneste'!L12)</f>
        <v>0.17905610394991933</v>
      </c>
      <c r="AI12" s="44">
        <f>IF('2022 Lønnsgr pensjon tjeneste'!M12=0,0,'2022 Pensjon tjeneste'!M12/'2022 Lønnsgr pensjon tjeneste'!M12)</f>
        <v>0.17832647462277093</v>
      </c>
      <c r="AJ12" s="44">
        <f>IF('2022 Lønnsgr pensjon tjeneste'!N12=0,0,'2022 Pensjon tjeneste'!N12/'2022 Lønnsgr pensjon tjeneste'!N12)</f>
        <v>0.17981273939565895</v>
      </c>
      <c r="AK12" s="44">
        <f>IF('2022 Lønnsgr pensjon tjeneste'!O12=0,0,'2022 Pensjon tjeneste'!O12/'2022 Lønnsgr pensjon tjeneste'!O12)</f>
        <v>0</v>
      </c>
      <c r="AL12" s="44">
        <f>IF('2022 Lønnsgr pensjon tjeneste'!P12=0,0,'2022 Pensjon tjeneste'!P12/'2022 Lønnsgr pensjon tjeneste'!P12)</f>
        <v>6.5063649222065062E-2</v>
      </c>
      <c r="AM12" s="44">
        <f>IF('2022 Lønnsgr pensjon tjeneste'!Q12=0,0,'2022 Pensjon tjeneste'!Q12/'2022 Lønnsgr pensjon tjeneste'!Q12)</f>
        <v>0</v>
      </c>
    </row>
    <row r="13" spans="1:39" x14ac:dyDescent="0.3">
      <c r="A13" s="41">
        <v>4600</v>
      </c>
      <c r="B13" s="42" t="s">
        <v>407</v>
      </c>
      <c r="C13" s="1">
        <v>-101926.1441014</v>
      </c>
      <c r="D13" s="3">
        <v>1.0600025</v>
      </c>
      <c r="E13" s="3">
        <v>1.1855225199999999</v>
      </c>
      <c r="F13" s="3">
        <v>1.0005352000000001</v>
      </c>
      <c r="G13" s="3">
        <v>2.1551446599999999</v>
      </c>
      <c r="H13" s="3">
        <v>1.0314929100000001</v>
      </c>
      <c r="I13" s="3"/>
      <c r="J13" s="44">
        <f>IF('2022 Lønnsgr arbavg tjeneste'!D13=0,0,'2022 Arbavg tjeneste'!D13/'2022 Lønnsgr arbavg tjeneste'!D13)</f>
        <v>0.13547527877845636</v>
      </c>
      <c r="K13" s="44">
        <f>IF('2022 Lønnsgr arbavg tjeneste'!E13=0,0,'2022 Arbavg tjeneste'!E13/'2022 Lønnsgr arbavg tjeneste'!E13)</f>
        <v>0.42710824222151578</v>
      </c>
      <c r="L13" s="44">
        <f>IF('2022 Lønnsgr arbavg tjeneste'!F13=0,0,'2022 Arbavg tjeneste'!F13/'2022 Lønnsgr arbavg tjeneste'!F13)</f>
        <v>0.14083962339636732</v>
      </c>
      <c r="M13" s="44">
        <f>IF('2022 Lønnsgr arbavg tjeneste'!G13=0,0,'2022 Arbavg tjeneste'!G13/'2022 Lønnsgr arbavg tjeneste'!G13)</f>
        <v>0</v>
      </c>
      <c r="N13" s="44">
        <f>IF('2022 Lønnsgr arbavg tjeneste'!H13=0,0,'2022 Arbavg tjeneste'!H13/'2022 Lønnsgr arbavg tjeneste'!H13)</f>
        <v>0.13332883158238915</v>
      </c>
      <c r="O13" s="44">
        <f>IF('2022 Lønnsgr arbavg tjeneste'!I13=0,0,'2022 Arbavg tjeneste'!I13/'2022 Lønnsgr arbavg tjeneste'!I13)</f>
        <v>0.10401501932481871</v>
      </c>
      <c r="P13" s="44">
        <f>IF('2022 Lønnsgr arbavg tjeneste'!J13=0,0,'2022 Arbavg tjeneste'!J13/'2022 Lønnsgr arbavg tjeneste'!J13)</f>
        <v>0</v>
      </c>
      <c r="Q13" s="44">
        <f>IF('2022 Lønnsgr arbavg tjeneste'!K13=0,0,'2022 Arbavg tjeneste'!K13/'2022 Lønnsgr arbavg tjeneste'!K13)</f>
        <v>9.3694719695307793E-2</v>
      </c>
      <c r="R13" s="44">
        <f>IF('2022 Lønnsgr arbavg tjeneste'!L13=0,0,'2022 Arbavg tjeneste'!L13/'2022 Lønnsgr arbavg tjeneste'!L13)</f>
        <v>0.13411581162470068</v>
      </c>
      <c r="S13" s="44">
        <f>IF('2022 Lønnsgr arbavg tjeneste'!M13=0,0,'2022 Arbavg tjeneste'!M13/'2022 Lønnsgr arbavg tjeneste'!M13)</f>
        <v>0.1339577125017738</v>
      </c>
      <c r="T13" s="44">
        <f>IF('2022 Lønnsgr arbavg tjeneste'!N13=0,0,'2022 Arbavg tjeneste'!N13/'2022 Lønnsgr arbavg tjeneste'!N13)</f>
        <v>0.12988502880514752</v>
      </c>
      <c r="U13" s="44">
        <f>IF('2022 Lønnsgr arbavg tjeneste'!O13=0,0,'2022 Arbavg tjeneste'!O13/'2022 Lønnsgr arbavg tjeneste'!O13)</f>
        <v>0</v>
      </c>
      <c r="V13" s="44">
        <f>IF('2022 Lønnsgr arbavg tjeneste'!P13=0,0,'2022 Arbavg tjeneste'!P13/'2022 Lønnsgr arbavg tjeneste'!P13)</f>
        <v>0.14076246334310852</v>
      </c>
      <c r="W13" s="44">
        <f>IF('2022 Lønnsgr arbavg tjeneste'!Q13=0,0,'2022 Arbavg tjeneste'!Q13/'2022 Lønnsgr arbavg tjeneste'!Q13)</f>
        <v>0</v>
      </c>
      <c r="X13" s="44">
        <f>IF('2022 Lønnsgr arbavg tjeneste'!R13=0,0,'2022 Arbavg tjeneste'!R13/'2022 Lønnsgr arbavg tjeneste'!R13)</f>
        <v>0.14987573637702503</v>
      </c>
      <c r="Z13" s="44">
        <f>IF('2022 Lønnsgr pensjon tjeneste'!D13=0,0,'2022 Pensjon tjeneste'!D13/'2022 Lønnsgr pensjon tjeneste'!D13)</f>
        <v>4.2195528286738386E-2</v>
      </c>
      <c r="AA13" s="44">
        <f>IF('2022 Lønnsgr pensjon tjeneste'!E13=0,0,'2022 Pensjon tjeneste'!E13/'2022 Lønnsgr pensjon tjeneste'!E13)</f>
        <v>0.47124496685240169</v>
      </c>
      <c r="AB13" s="44">
        <f>IF('2022 Lønnsgr pensjon tjeneste'!F13=0,0,'2022 Pensjon tjeneste'!F13/'2022 Lønnsgr pensjon tjeneste'!F13)</f>
        <v>0.10237864220399283</v>
      </c>
      <c r="AC13" s="44">
        <f>IF('2022 Lønnsgr pensjon tjeneste'!G13=0,0,'2022 Pensjon tjeneste'!G13/'2022 Lønnsgr pensjon tjeneste'!G13)</f>
        <v>0</v>
      </c>
      <c r="AD13" s="44">
        <f>IF('2022 Lønnsgr pensjon tjeneste'!H13=0,0,'2022 Pensjon tjeneste'!H13/'2022 Lønnsgr pensjon tjeneste'!H13)</f>
        <v>0.11797964867946868</v>
      </c>
      <c r="AE13" s="44">
        <f>IF('2022 Lønnsgr pensjon tjeneste'!I13=0,0,'2022 Pensjon tjeneste'!I13/'2022 Lønnsgr pensjon tjeneste'!I13)</f>
        <v>0.41072369267519404</v>
      </c>
      <c r="AF13" s="44">
        <f>IF('2022 Lønnsgr pensjon tjeneste'!J13=0,0,'2022 Pensjon tjeneste'!J13/'2022 Lønnsgr pensjon tjeneste'!J13)</f>
        <v>0</v>
      </c>
      <c r="AG13" s="44">
        <f>IF('2022 Lønnsgr pensjon tjeneste'!K13=0,0,'2022 Pensjon tjeneste'!K13/'2022 Lønnsgr pensjon tjeneste'!K13)</f>
        <v>0.56105255871734439</v>
      </c>
      <c r="AH13" s="44">
        <f>IF('2022 Lønnsgr pensjon tjeneste'!L13=0,0,'2022 Pensjon tjeneste'!L13/'2022 Lønnsgr pensjon tjeneste'!L13)</f>
        <v>0.10737459571305169</v>
      </c>
      <c r="AI13" s="44">
        <f>IF('2022 Lønnsgr pensjon tjeneste'!M13=0,0,'2022 Pensjon tjeneste'!M13/'2022 Lønnsgr pensjon tjeneste'!M13)</f>
        <v>0.11184301350951582</v>
      </c>
      <c r="AJ13" s="44">
        <f>IF('2022 Lønnsgr pensjon tjeneste'!N13=0,0,'2022 Pensjon tjeneste'!N13/'2022 Lønnsgr pensjon tjeneste'!N13)</f>
        <v>0.11269286269286269</v>
      </c>
      <c r="AK13" s="44">
        <f>IF('2022 Lønnsgr pensjon tjeneste'!O13=0,0,'2022 Pensjon tjeneste'!O13/'2022 Lønnsgr pensjon tjeneste'!O13)</f>
        <v>0</v>
      </c>
      <c r="AL13" s="44">
        <f>IF('2022 Lønnsgr pensjon tjeneste'!P13=0,0,'2022 Pensjon tjeneste'!P13/'2022 Lønnsgr pensjon tjeneste'!P13)</f>
        <v>0.1168122270742358</v>
      </c>
      <c r="AM13" s="44">
        <f>IF('2022 Lønnsgr pensjon tjeneste'!Q13=0,0,'2022 Pensjon tjeneste'!Q13/'2022 Lønnsgr pensjon tjeneste'!Q13)</f>
        <v>0</v>
      </c>
    </row>
    <row r="14" spans="1:39" x14ac:dyDescent="0.3">
      <c r="A14" s="41">
        <v>5000</v>
      </c>
      <c r="B14" s="42" t="s">
        <v>388</v>
      </c>
      <c r="C14" s="1">
        <v>11658.04532899</v>
      </c>
      <c r="D14" s="3">
        <v>1.02035371</v>
      </c>
      <c r="E14" s="3">
        <v>1.2804020200000001</v>
      </c>
      <c r="F14" s="3">
        <v>1.0615868000000002</v>
      </c>
      <c r="G14" s="3">
        <v>1.2282993799999999</v>
      </c>
      <c r="H14" s="3">
        <v>1.0043769899999999</v>
      </c>
      <c r="I14" s="3"/>
      <c r="J14" s="44">
        <f>IF('2022 Lønnsgr arbavg tjeneste'!D14=0,0,'2022 Arbavg tjeneste'!D14/'2022 Lønnsgr arbavg tjeneste'!D14)</f>
        <v>0.12812878709205261</v>
      </c>
      <c r="K14" s="44">
        <f>IF('2022 Lønnsgr arbavg tjeneste'!E14=0,0,'2022 Arbavg tjeneste'!E14/'2022 Lønnsgr arbavg tjeneste'!E14)</f>
        <v>0.29025552187093978</v>
      </c>
      <c r="L14" s="44">
        <f>IF('2022 Lønnsgr arbavg tjeneste'!F14=0,0,'2022 Arbavg tjeneste'!F14/'2022 Lønnsgr arbavg tjeneste'!F14)</f>
        <v>0.14369951058435049</v>
      </c>
      <c r="M14" s="44">
        <f>IF('2022 Lønnsgr arbavg tjeneste'!G14=0,0,'2022 Arbavg tjeneste'!G14/'2022 Lønnsgr arbavg tjeneste'!G14)</f>
        <v>0.11941340782122906</v>
      </c>
      <c r="N14" s="44">
        <f>IF('2022 Lønnsgr arbavg tjeneste'!H14=0,0,'2022 Arbavg tjeneste'!H14/'2022 Lønnsgr arbavg tjeneste'!H14)</f>
        <v>0.12556505669485146</v>
      </c>
      <c r="O14" s="44">
        <f>IF('2022 Lønnsgr arbavg tjeneste'!I14=0,0,'2022 Arbavg tjeneste'!I14/'2022 Lønnsgr arbavg tjeneste'!I14)</f>
        <v>9.0884366724717891E-2</v>
      </c>
      <c r="P14" s="44">
        <f>IF('2022 Lønnsgr arbavg tjeneste'!J14=0,0,'2022 Arbavg tjeneste'!J14/'2022 Lønnsgr arbavg tjeneste'!J14)</f>
        <v>0</v>
      </c>
      <c r="Q14" s="44">
        <f>IF('2022 Lønnsgr arbavg tjeneste'!K14=0,0,'2022 Arbavg tjeneste'!K14/'2022 Lønnsgr arbavg tjeneste'!K14)</f>
        <v>6.9134901476449781E-2</v>
      </c>
      <c r="R14" s="44">
        <f>IF('2022 Lønnsgr arbavg tjeneste'!L14=0,0,'2022 Arbavg tjeneste'!L14/'2022 Lønnsgr arbavg tjeneste'!L14)</f>
        <v>0.13800101471334347</v>
      </c>
      <c r="S14" s="44">
        <f>IF('2022 Lønnsgr arbavg tjeneste'!M14=0,0,'2022 Arbavg tjeneste'!M14/'2022 Lønnsgr arbavg tjeneste'!M14)</f>
        <v>0.12330395572863291</v>
      </c>
      <c r="T14" s="44">
        <f>IF('2022 Lønnsgr arbavg tjeneste'!N14=0,0,'2022 Arbavg tjeneste'!N14/'2022 Lønnsgr arbavg tjeneste'!N14)</f>
        <v>0.14327877649584117</v>
      </c>
      <c r="U14" s="44">
        <f>IF('2022 Lønnsgr arbavg tjeneste'!O14=0,0,'2022 Arbavg tjeneste'!O14/'2022 Lønnsgr arbavg tjeneste'!O14)</f>
        <v>0</v>
      </c>
      <c r="V14" s="44">
        <f>IF('2022 Lønnsgr arbavg tjeneste'!P14=0,0,'2022 Arbavg tjeneste'!P14/'2022 Lønnsgr arbavg tjeneste'!P14)</f>
        <v>0</v>
      </c>
      <c r="W14" s="44">
        <f>IF('2022 Lønnsgr arbavg tjeneste'!Q14=0,0,'2022 Arbavg tjeneste'!Q14/'2022 Lønnsgr arbavg tjeneste'!Q14)</f>
        <v>0</v>
      </c>
      <c r="X14" s="44">
        <f>IF('2022 Lønnsgr arbavg tjeneste'!R14=0,0,'2022 Arbavg tjeneste'!R14/'2022 Lønnsgr arbavg tjeneste'!R14)</f>
        <v>-0.31579765086072958</v>
      </c>
      <c r="Z14" s="44">
        <f>IF('2022 Lønnsgr pensjon tjeneste'!D14=0,0,'2022 Pensjon tjeneste'!D14/'2022 Lønnsgr pensjon tjeneste'!D14)</f>
        <v>9.1580446880081115E-2</v>
      </c>
      <c r="AA14" s="44">
        <f>IF('2022 Lønnsgr pensjon tjeneste'!E14=0,0,'2022 Pensjon tjeneste'!E14/'2022 Lønnsgr pensjon tjeneste'!E14)</f>
        <v>0.29355742296918769</v>
      </c>
      <c r="AB14" s="44">
        <f>IF('2022 Lønnsgr pensjon tjeneste'!F14=0,0,'2022 Pensjon tjeneste'!F14/'2022 Lønnsgr pensjon tjeneste'!F14)</f>
        <v>0.14148212963586188</v>
      </c>
      <c r="AC14" s="44">
        <f>IF('2022 Lønnsgr pensjon tjeneste'!G14=0,0,'2022 Pensjon tjeneste'!G14/'2022 Lønnsgr pensjon tjeneste'!G14)</f>
        <v>0.11483067341377969</v>
      </c>
      <c r="AD14" s="44">
        <f>IF('2022 Lønnsgr pensjon tjeneste'!H14=0,0,'2022 Pensjon tjeneste'!H14/'2022 Lønnsgr pensjon tjeneste'!H14)</f>
        <v>0.13953171732391745</v>
      </c>
      <c r="AE14" s="44">
        <f>IF('2022 Lønnsgr pensjon tjeneste'!I14=0,0,'2022 Pensjon tjeneste'!I14/'2022 Lønnsgr pensjon tjeneste'!I14)</f>
        <v>0.52701983956401044</v>
      </c>
      <c r="AF14" s="44">
        <f>IF('2022 Lønnsgr pensjon tjeneste'!J14=0,0,'2022 Pensjon tjeneste'!J14/'2022 Lønnsgr pensjon tjeneste'!J14)</f>
        <v>0</v>
      </c>
      <c r="AG14" s="44">
        <f>IF('2022 Lønnsgr pensjon tjeneste'!K14=0,0,'2022 Pensjon tjeneste'!K14/'2022 Lønnsgr pensjon tjeneste'!K14)</f>
        <v>0.83716118219615177</v>
      </c>
      <c r="AH14" s="44">
        <f>IF('2022 Lønnsgr pensjon tjeneste'!L14=0,0,'2022 Pensjon tjeneste'!L14/'2022 Lønnsgr pensjon tjeneste'!L14)</f>
        <v>0.12908153523009355</v>
      </c>
      <c r="AI14" s="44">
        <f>IF('2022 Lønnsgr pensjon tjeneste'!M14=0,0,'2022 Pensjon tjeneste'!M14/'2022 Lønnsgr pensjon tjeneste'!M14)</f>
        <v>0.1134185303514377</v>
      </c>
      <c r="AJ14" s="44">
        <f>IF('2022 Lønnsgr pensjon tjeneste'!N14=0,0,'2022 Pensjon tjeneste'!N14/'2022 Lønnsgr pensjon tjeneste'!N14)</f>
        <v>0.12230865746549562</v>
      </c>
      <c r="AK14" s="44">
        <f>IF('2022 Lønnsgr pensjon tjeneste'!O14=0,0,'2022 Pensjon tjeneste'!O14/'2022 Lønnsgr pensjon tjeneste'!O14)</f>
        <v>0</v>
      </c>
      <c r="AL14" s="44">
        <f>IF('2022 Lønnsgr pensjon tjeneste'!P14=0,0,'2022 Pensjon tjeneste'!P14/'2022 Lønnsgr pensjon tjeneste'!P14)</f>
        <v>0</v>
      </c>
      <c r="AM14" s="44">
        <f>IF('2022 Lønnsgr pensjon tjeneste'!Q14=0,0,'2022 Pensjon tjeneste'!Q14/'2022 Lønnsgr pensjon tjeneste'!Q14)</f>
        <v>0</v>
      </c>
    </row>
    <row r="15" spans="1:39" x14ac:dyDescent="0.3">
      <c r="A15" s="41">
        <v>5400</v>
      </c>
      <c r="B15" s="42" t="s">
        <v>408</v>
      </c>
      <c r="C15" s="1">
        <v>59148.731018749997</v>
      </c>
      <c r="D15" s="3">
        <v>1.0642349100000001</v>
      </c>
      <c r="E15" s="3">
        <v>2.0654747200000001</v>
      </c>
      <c r="F15" s="3">
        <v>1.1215987199999999</v>
      </c>
      <c r="G15" s="3">
        <v>3.1805990999999998</v>
      </c>
      <c r="H15" s="3">
        <v>0.97130740000000015</v>
      </c>
      <c r="I15" s="3"/>
      <c r="J15" s="44">
        <f>IF('2022 Lønnsgr arbavg tjeneste'!D15=0,0,'2022 Arbavg tjeneste'!D15/'2022 Lønnsgr arbavg tjeneste'!D15)</f>
        <v>3.9730046909424541E-2</v>
      </c>
      <c r="K15" s="44">
        <f>IF('2022 Lønnsgr arbavg tjeneste'!E15=0,0,'2022 Arbavg tjeneste'!E15/'2022 Lønnsgr arbavg tjeneste'!E15)</f>
        <v>4.0600137726919755E-2</v>
      </c>
      <c r="L15" s="44">
        <f>IF('2022 Lønnsgr arbavg tjeneste'!F15=0,0,'2022 Arbavg tjeneste'!F15/'2022 Lønnsgr arbavg tjeneste'!F15)</f>
        <v>6.13703012529992E-2</v>
      </c>
      <c r="M15" s="44">
        <f>IF('2022 Lønnsgr arbavg tjeneste'!G15=0,0,'2022 Arbavg tjeneste'!G15/'2022 Lønnsgr arbavg tjeneste'!G15)</f>
        <v>2.5688756515264335E-2</v>
      </c>
      <c r="N15" s="44">
        <f>IF('2022 Lønnsgr arbavg tjeneste'!H15=0,0,'2022 Arbavg tjeneste'!H15/'2022 Lønnsgr arbavg tjeneste'!H15)</f>
        <v>3.6037500877656531E-2</v>
      </c>
      <c r="O15" s="44">
        <f>IF('2022 Lønnsgr arbavg tjeneste'!I15=0,0,'2022 Arbavg tjeneste'!I15/'2022 Lønnsgr arbavg tjeneste'!I15)</f>
        <v>5.2994693518780535E-2</v>
      </c>
      <c r="P15" s="44">
        <f>IF('2022 Lønnsgr arbavg tjeneste'!J15=0,0,'2022 Arbavg tjeneste'!J15/'2022 Lønnsgr arbavg tjeneste'!J15)</f>
        <v>0</v>
      </c>
      <c r="Q15" s="44">
        <f>IF('2022 Lønnsgr arbavg tjeneste'!K15=0,0,'2022 Arbavg tjeneste'!K15/'2022 Lønnsgr arbavg tjeneste'!K15)</f>
        <v>5.2777863561965351E-2</v>
      </c>
      <c r="R15" s="44">
        <f>IF('2022 Lønnsgr arbavg tjeneste'!L15=0,0,'2022 Arbavg tjeneste'!L15/'2022 Lønnsgr arbavg tjeneste'!L15)</f>
        <v>5.2147360907324421E-2</v>
      </c>
      <c r="S15" s="44">
        <f>IF('2022 Lønnsgr arbavg tjeneste'!M15=0,0,'2022 Arbavg tjeneste'!M15/'2022 Lønnsgr arbavg tjeneste'!M15)</f>
        <v>5.0435636274389496E-2</v>
      </c>
      <c r="T15" s="44">
        <f>IF('2022 Lønnsgr arbavg tjeneste'!N15=0,0,'2022 Arbavg tjeneste'!N15/'2022 Lønnsgr arbavg tjeneste'!N15)</f>
        <v>3.3131526871607989E-2</v>
      </c>
      <c r="U15" s="44">
        <f>IF('2022 Lønnsgr arbavg tjeneste'!O15=0,0,'2022 Arbavg tjeneste'!O15/'2022 Lønnsgr arbavg tjeneste'!O15)</f>
        <v>0</v>
      </c>
      <c r="V15" s="44">
        <f>IF('2022 Lønnsgr arbavg tjeneste'!P15=0,0,'2022 Arbavg tjeneste'!P15/'2022 Lønnsgr arbavg tjeneste'!P15)</f>
        <v>7.7991270112975006E-2</v>
      </c>
      <c r="W15" s="44">
        <f>IF('2022 Lønnsgr arbavg tjeneste'!Q15=0,0,'2022 Arbavg tjeneste'!Q15/'2022 Lønnsgr arbavg tjeneste'!Q15)</f>
        <v>0</v>
      </c>
      <c r="X15" s="44">
        <f>IF('2022 Lønnsgr arbavg tjeneste'!R15=0,0,'2022 Arbavg tjeneste'!R15/'2022 Lønnsgr arbavg tjeneste'!R15)</f>
        <v>3.2286531556204735E-2</v>
      </c>
      <c r="Z15" s="44">
        <f>IF('2022 Lønnsgr pensjon tjeneste'!D15=0,0,'2022 Pensjon tjeneste'!D15/'2022 Lønnsgr pensjon tjeneste'!D15)</f>
        <v>0.1180442701244527</v>
      </c>
      <c r="AA15" s="44">
        <f>IF('2022 Lønnsgr pensjon tjeneste'!E15=0,0,'2022 Pensjon tjeneste'!E15/'2022 Lønnsgr pensjon tjeneste'!E15)</f>
        <v>0.2870990250249873</v>
      </c>
      <c r="AB15" s="44">
        <f>IF('2022 Lønnsgr pensjon tjeneste'!F15=0,0,'2022 Pensjon tjeneste'!F15/'2022 Lønnsgr pensjon tjeneste'!F15)</f>
        <v>0.22114789855780187</v>
      </c>
      <c r="AC15" s="44">
        <f>IF('2022 Lønnsgr pensjon tjeneste'!G15=0,0,'2022 Pensjon tjeneste'!G15/'2022 Lønnsgr pensjon tjeneste'!G15)</f>
        <v>0.2110009017132552</v>
      </c>
      <c r="AD15" s="44">
        <f>IF('2022 Lønnsgr pensjon tjeneste'!H15=0,0,'2022 Pensjon tjeneste'!H15/'2022 Lønnsgr pensjon tjeneste'!H15)</f>
        <v>0.2314255680292695</v>
      </c>
      <c r="AE15" s="44">
        <f>IF('2022 Lønnsgr pensjon tjeneste'!I15=0,0,'2022 Pensjon tjeneste'!I15/'2022 Lønnsgr pensjon tjeneste'!I15)</f>
        <v>0.21837681159420289</v>
      </c>
      <c r="AF15" s="44">
        <f>IF('2022 Lønnsgr pensjon tjeneste'!J15=0,0,'2022 Pensjon tjeneste'!J15/'2022 Lønnsgr pensjon tjeneste'!J15)</f>
        <v>0</v>
      </c>
      <c r="AG15" s="44">
        <f>IF('2022 Lønnsgr pensjon tjeneste'!K15=0,0,'2022 Pensjon tjeneste'!K15/'2022 Lønnsgr pensjon tjeneste'!K15)</f>
        <v>0.21138450356467181</v>
      </c>
      <c r="AH15" s="44">
        <f>IF('2022 Lønnsgr pensjon tjeneste'!L15=0,0,'2022 Pensjon tjeneste'!L15/'2022 Lønnsgr pensjon tjeneste'!L15)</f>
        <v>0.22282028901173503</v>
      </c>
      <c r="AI15" s="44">
        <f>IF('2022 Lønnsgr pensjon tjeneste'!M15=0,0,'2022 Pensjon tjeneste'!M15/'2022 Lønnsgr pensjon tjeneste'!M15)</f>
        <v>0.22161702978213071</v>
      </c>
      <c r="AJ15" s="44">
        <f>IF('2022 Lønnsgr pensjon tjeneste'!N15=0,0,'2022 Pensjon tjeneste'!N15/'2022 Lønnsgr pensjon tjeneste'!N15)</f>
        <v>0.22560272788396887</v>
      </c>
      <c r="AK15" s="44">
        <f>IF('2022 Lønnsgr pensjon tjeneste'!O15=0,0,'2022 Pensjon tjeneste'!O15/'2022 Lønnsgr pensjon tjeneste'!O15)</f>
        <v>0</v>
      </c>
      <c r="AL15" s="44">
        <f>IF('2022 Lønnsgr pensjon tjeneste'!P15=0,0,'2022 Pensjon tjeneste'!P15/'2022 Lønnsgr pensjon tjeneste'!P15)</f>
        <v>0.238499046003816</v>
      </c>
      <c r="AM15" s="44">
        <f>IF('2022 Lønnsgr pensjon tjeneste'!Q15=0,0,'2022 Pensjon tjeneste'!Q15/'2022 Lønnsgr pensjon tjeneste'!Q15)</f>
        <v>0</v>
      </c>
    </row>
    <row r="16" spans="1:39" x14ac:dyDescent="0.3">
      <c r="C16" s="4"/>
      <c r="D16" s="4"/>
      <c r="E16" s="4"/>
      <c r="F16" s="4"/>
      <c r="G16" s="4"/>
      <c r="H16" s="4"/>
      <c r="I16" s="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2:39" x14ac:dyDescent="0.3">
      <c r="B17" s="1" t="s">
        <v>3</v>
      </c>
      <c r="C17" s="1">
        <f>SUM(C5:C15)</f>
        <v>1.0011717677116394E-8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44">
        <f>IF('2022 Lønnsgr arbavg tjeneste'!D17=0,0,'2022 Arbavg tjeneste'!D17/'2022 Lønnsgr arbavg tjeneste'!D17)</f>
        <v>0.12626374654216765</v>
      </c>
      <c r="K17" s="44">
        <f>IF('2022 Lønnsgr arbavg tjeneste'!E17=0,0,'2022 Arbavg tjeneste'!E17/'2022 Lønnsgr arbavg tjeneste'!E17)</f>
        <v>0.19908815116982434</v>
      </c>
      <c r="L17" s="44">
        <f>IF('2022 Lønnsgr arbavg tjeneste'!F17=0,0,'2022 Arbavg tjeneste'!F17/'2022 Lønnsgr arbavg tjeneste'!F17)</f>
        <v>0.13102675882546369</v>
      </c>
      <c r="M17" s="44">
        <f>IF('2022 Lønnsgr arbavg tjeneste'!G17=0,0,'2022 Arbavg tjeneste'!G17/'2022 Lønnsgr arbavg tjeneste'!G17)</f>
        <v>0.10992898577114169</v>
      </c>
      <c r="N17" s="44">
        <f>IF('2022 Lønnsgr arbavg tjeneste'!H17=0,0,'2022 Arbavg tjeneste'!H17/'2022 Lønnsgr arbavg tjeneste'!H17)</f>
        <v>0.11588746540269655</v>
      </c>
      <c r="O17" s="44">
        <f>IF('2022 Lønnsgr arbavg tjeneste'!I17=0,0,'2022 Arbavg tjeneste'!I17/'2022 Lønnsgr arbavg tjeneste'!I17)</f>
        <v>0.11500380182839852</v>
      </c>
      <c r="P17" s="44">
        <f>IF('2022 Lønnsgr arbavg tjeneste'!J17=0,0,'2022 Arbavg tjeneste'!J17/'2022 Lønnsgr arbavg tjeneste'!J17)</f>
        <v>0</v>
      </c>
      <c r="Q17" s="44">
        <f>IF('2022 Lønnsgr arbavg tjeneste'!K17=0,0,'2022 Arbavg tjeneste'!K17/'2022 Lønnsgr arbavg tjeneste'!K17)</f>
        <v>0.11208774074129961</v>
      </c>
      <c r="R17" s="44">
        <f>IF('2022 Lønnsgr arbavg tjeneste'!L17=0,0,'2022 Arbavg tjeneste'!L17/'2022 Lønnsgr arbavg tjeneste'!L17)</f>
        <v>0.12627635884177554</v>
      </c>
      <c r="S17" s="44">
        <f>IF('2022 Lønnsgr arbavg tjeneste'!M17=0,0,'2022 Arbavg tjeneste'!M17/'2022 Lønnsgr arbavg tjeneste'!M17)</f>
        <v>0.11968051508791948</v>
      </c>
      <c r="T17" s="44">
        <f>IF('2022 Lønnsgr arbavg tjeneste'!N17=0,0,'2022 Arbavg tjeneste'!N17/'2022 Lønnsgr arbavg tjeneste'!N17)</f>
        <v>0.11604736581814949</v>
      </c>
      <c r="U17" s="44">
        <f>IF('2022 Lønnsgr arbavg tjeneste'!O17=0,0,'2022 Arbavg tjeneste'!O17/'2022 Lønnsgr arbavg tjeneste'!O17)</f>
        <v>0.14034503088872369</v>
      </c>
      <c r="V17" s="44">
        <f>IF('2022 Lønnsgr arbavg tjeneste'!P17=0,0,'2022 Arbavg tjeneste'!P17/'2022 Lønnsgr arbavg tjeneste'!P17)</f>
        <v>8.5062890489771018E-2</v>
      </c>
      <c r="W17" s="44">
        <f>IF('2022 Lønnsgr arbavg tjeneste'!Q17=0,0,'2022 Arbavg tjeneste'!Q17/'2022 Lønnsgr arbavg tjeneste'!Q17)</f>
        <v>0</v>
      </c>
      <c r="X17" s="44">
        <f>IF('2022 Lønnsgr arbavg tjeneste'!R17=0,0,'2022 Arbavg tjeneste'!R17/'2022 Lønnsgr arbavg tjeneste'!R17)</f>
        <v>1.8216128377319309E-2</v>
      </c>
      <c r="Z17" s="44">
        <f>IF('2022 Lønnsgr pensjon tjeneste'!D17=0,0,'2022 Pensjon tjeneste'!D17/'2022 Lønnsgr pensjon tjeneste'!D17)</f>
        <v>9.5976604241459387E-2</v>
      </c>
      <c r="AA17" s="44">
        <f>IF('2022 Lønnsgr pensjon tjeneste'!E17=0,0,'2022 Pensjon tjeneste'!E17/'2022 Lønnsgr pensjon tjeneste'!E17)</f>
        <v>0.27795112073488876</v>
      </c>
      <c r="AB17" s="44">
        <f>IF('2022 Lønnsgr pensjon tjeneste'!F17=0,0,'2022 Pensjon tjeneste'!F17/'2022 Lønnsgr pensjon tjeneste'!F17)</f>
        <v>0.18485900551633686</v>
      </c>
      <c r="AC17" s="44">
        <f>IF('2022 Lønnsgr pensjon tjeneste'!G17=0,0,'2022 Pensjon tjeneste'!G17/'2022 Lønnsgr pensjon tjeneste'!G17)</f>
        <v>0.17307985719080896</v>
      </c>
      <c r="AD17" s="44">
        <f>IF('2022 Lønnsgr pensjon tjeneste'!H17=0,0,'2022 Pensjon tjeneste'!H17/'2022 Lønnsgr pensjon tjeneste'!H17)</f>
        <v>0.19201333414194519</v>
      </c>
      <c r="AE17" s="44">
        <f>IF('2022 Lønnsgr pensjon tjeneste'!I17=0,0,'2022 Pensjon tjeneste'!I17/'2022 Lønnsgr pensjon tjeneste'!I17)</f>
        <v>0.34042147408286411</v>
      </c>
      <c r="AF17" s="44">
        <f>IF('2022 Lønnsgr pensjon tjeneste'!J17=0,0,'2022 Pensjon tjeneste'!J17/'2022 Lønnsgr pensjon tjeneste'!J17)</f>
        <v>0</v>
      </c>
      <c r="AG17" s="44">
        <f>IF('2022 Lønnsgr pensjon tjeneste'!K17=0,0,'2022 Pensjon tjeneste'!K17/'2022 Lønnsgr pensjon tjeneste'!K17)</f>
        <v>0.44417671432885353</v>
      </c>
      <c r="AH17" s="44">
        <f>IF('2022 Lønnsgr pensjon tjeneste'!L17=0,0,'2022 Pensjon tjeneste'!L17/'2022 Lønnsgr pensjon tjeneste'!L17)</f>
        <v>0.1741065138568603</v>
      </c>
      <c r="AI17" s="44">
        <f>IF('2022 Lønnsgr pensjon tjeneste'!M17=0,0,'2022 Pensjon tjeneste'!M17/'2022 Lønnsgr pensjon tjeneste'!M17)</f>
        <v>0.16631495898327964</v>
      </c>
      <c r="AJ17" s="44">
        <f>IF('2022 Lønnsgr pensjon tjeneste'!N17=0,0,'2022 Pensjon tjeneste'!N17/'2022 Lønnsgr pensjon tjeneste'!N17)</f>
        <v>0.16109114605175717</v>
      </c>
      <c r="AK17" s="44">
        <f>IF('2022 Lønnsgr pensjon tjeneste'!O17=0,0,'2022 Pensjon tjeneste'!O17/'2022 Lønnsgr pensjon tjeneste'!O17)</f>
        <v>0.12123128215445636</v>
      </c>
      <c r="AL17" s="44">
        <f>IF('2022 Lønnsgr pensjon tjeneste'!P17=0,0,'2022 Pensjon tjeneste'!P17/'2022 Lønnsgr pensjon tjeneste'!P17)</f>
        <v>0.20409297524762302</v>
      </c>
      <c r="AM17" s="44">
        <f>IF('2022 Lønnsgr pensjon tjeneste'!Q17=0,0,'2022 Pensjon tjeneste'!Q17/'2022 Lønnsgr pensjon tjeneste'!Q17)</f>
        <v>0</v>
      </c>
    </row>
    <row r="18" spans="2:39" x14ac:dyDescent="0.3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2:39" x14ac:dyDescent="0.3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2:39" x14ac:dyDescent="0.3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2:39" x14ac:dyDescent="0.3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</sheetData>
  <sheetProtection algorithmName="SHA-512" hashValue="IBoyF4SLvivnGTeG9HnUlfeG0l/d+NMOlTkDKUjTj92FdV+JlkPAYxbbkPklnUiPasD79WLPrKZ3Qx/AQc1uvQ==" saltValue="I431PdMEQdYJcJMRtpIsow==" spinCount="100000" sheet="1" selectLockedCells="1" selectUnlockedCells="1"/>
  <mergeCells count="3">
    <mergeCell ref="D1:H1"/>
    <mergeCell ref="J1:X1"/>
    <mergeCell ref="Z1:AM1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EB2E-9CB1-4EF6-BF7D-ECFBFB87302F}">
  <sheetPr>
    <tabColor rgb="FF92D050"/>
  </sheetPr>
  <dimension ref="A1:Y17"/>
  <sheetViews>
    <sheetView workbookViewId="0">
      <pane xSplit="2" ySplit="3" topLeftCell="G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7.109375" customWidth="1"/>
    <col min="20" max="21" width="13.109375" customWidth="1"/>
    <col min="24" max="24" width="14" customWidth="1"/>
    <col min="25" max="25" width="14.109375" customWidth="1"/>
  </cols>
  <sheetData>
    <row r="1" spans="1:25" x14ac:dyDescent="0.3">
      <c r="D1" s="5"/>
      <c r="E1" s="5"/>
      <c r="F1" s="5"/>
      <c r="G1" s="5"/>
      <c r="H1" s="5"/>
      <c r="J1" s="5"/>
      <c r="K1" s="5"/>
      <c r="L1" s="5"/>
      <c r="M1" s="5"/>
    </row>
    <row r="2" spans="1:25" ht="104.25" customHeight="1" x14ac:dyDescent="0.3">
      <c r="A2" s="22" t="s">
        <v>2</v>
      </c>
      <c r="B2" s="22" t="s">
        <v>1</v>
      </c>
      <c r="C2" s="22" t="s">
        <v>107</v>
      </c>
      <c r="D2" s="22" t="s">
        <v>247</v>
      </c>
      <c r="E2" s="22" t="s">
        <v>248</v>
      </c>
      <c r="F2" s="22" t="s">
        <v>304</v>
      </c>
      <c r="G2" s="22" t="s">
        <v>305</v>
      </c>
      <c r="H2" s="22" t="s">
        <v>249</v>
      </c>
      <c r="I2" s="11" t="s">
        <v>250</v>
      </c>
      <c r="J2" s="22" t="s">
        <v>251</v>
      </c>
      <c r="K2" s="22" t="s">
        <v>252</v>
      </c>
      <c r="L2" s="22" t="s">
        <v>253</v>
      </c>
      <c r="M2" s="22" t="s">
        <v>254</v>
      </c>
      <c r="N2" s="22" t="s">
        <v>255</v>
      </c>
      <c r="O2" s="22" t="s">
        <v>256</v>
      </c>
      <c r="P2" s="22" t="s">
        <v>257</v>
      </c>
      <c r="Q2" s="22" t="s">
        <v>258</v>
      </c>
      <c r="R2" s="22" t="s">
        <v>106</v>
      </c>
      <c r="S2" s="22"/>
      <c r="T2" s="22" t="s">
        <v>412</v>
      </c>
      <c r="U2" s="22" t="s">
        <v>413</v>
      </c>
      <c r="V2" s="22"/>
      <c r="W2" s="22"/>
      <c r="X2" s="22"/>
      <c r="Y2" s="22"/>
    </row>
    <row r="3" spans="1:25" x14ac:dyDescent="0.3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ref="J3:Y3" si="1">+I3+1</f>
        <v>10</v>
      </c>
      <c r="K3" s="107">
        <f t="shared" si="1"/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07">
        <f t="shared" si="1"/>
        <v>25</v>
      </c>
    </row>
    <row r="4" spans="1:25" x14ac:dyDescent="0.3">
      <c r="C4" s="5"/>
      <c r="I4" s="19"/>
    </row>
    <row r="5" spans="1:25" x14ac:dyDescent="0.3">
      <c r="A5" s="41">
        <v>300</v>
      </c>
      <c r="B5" s="42" t="s">
        <v>0</v>
      </c>
      <c r="C5" s="1">
        <f t="shared" ref="C5:C15" si="2">SUM(D5:I5)+R5</f>
        <v>8237501.8520716522</v>
      </c>
      <c r="D5" s="1">
        <v>4352772</v>
      </c>
      <c r="E5" s="1">
        <v>0</v>
      </c>
      <c r="F5" s="116">
        <f>3102753+129450+27576+361839</f>
        <v>3621618</v>
      </c>
      <c r="G5" s="116">
        <f>24877+3855</f>
        <v>28732</v>
      </c>
      <c r="H5" s="1">
        <v>262702</v>
      </c>
      <c r="I5" s="9">
        <f t="shared" ref="I5:I15" si="3">SUM(J5:Q5)</f>
        <v>377633</v>
      </c>
      <c r="J5" s="1"/>
      <c r="K5" s="1">
        <v>134958</v>
      </c>
      <c r="L5" s="1">
        <v>0</v>
      </c>
      <c r="M5" s="1">
        <v>47813</v>
      </c>
      <c r="N5" s="1">
        <v>194862</v>
      </c>
      <c r="O5" s="1">
        <v>0</v>
      </c>
      <c r="P5" s="1">
        <v>0</v>
      </c>
      <c r="Q5" s="1"/>
      <c r="R5" s="117">
        <v>-405955.14792834799</v>
      </c>
      <c r="S5" s="1"/>
      <c r="T5" s="1">
        <f>+'2022 Nto driftsutg'!V5</f>
        <v>699827</v>
      </c>
      <c r="U5" s="1">
        <f>+'2022 Nto driftsutg'!W5</f>
        <v>699827</v>
      </c>
      <c r="W5" s="5"/>
      <c r="X5" s="1"/>
      <c r="Y5" s="1"/>
    </row>
    <row r="6" spans="1:25" x14ac:dyDescent="0.3">
      <c r="A6" s="41">
        <v>1100</v>
      </c>
      <c r="B6" s="42" t="s">
        <v>139</v>
      </c>
      <c r="C6" s="1">
        <f t="shared" si="2"/>
        <v>8661240</v>
      </c>
      <c r="D6" s="1">
        <v>4124509</v>
      </c>
      <c r="E6" s="1">
        <v>1174026</v>
      </c>
      <c r="F6" s="1">
        <v>1174650</v>
      </c>
      <c r="G6" s="1">
        <v>473299</v>
      </c>
      <c r="H6" s="1">
        <v>445393</v>
      </c>
      <c r="I6" s="9">
        <f t="shared" si="3"/>
        <v>1290125</v>
      </c>
      <c r="J6" s="1"/>
      <c r="K6" s="1">
        <v>354089</v>
      </c>
      <c r="L6" s="1">
        <v>153805</v>
      </c>
      <c r="M6" s="1">
        <v>196146</v>
      </c>
      <c r="N6" s="1">
        <v>381334</v>
      </c>
      <c r="O6" s="1">
        <v>0</v>
      </c>
      <c r="P6" s="1">
        <v>204751</v>
      </c>
      <c r="Q6" s="1"/>
      <c r="R6" s="1">
        <v>-20762</v>
      </c>
      <c r="S6" s="1"/>
      <c r="T6" s="1">
        <f>+'2022 Nto driftsutg'!V6</f>
        <v>485797</v>
      </c>
      <c r="U6" s="1">
        <f>+'2022 Nto driftsutg'!W6</f>
        <v>485797</v>
      </c>
      <c r="X6" s="1"/>
      <c r="Y6" s="1"/>
    </row>
    <row r="7" spans="1:25" x14ac:dyDescent="0.3">
      <c r="A7" s="41">
        <v>1500</v>
      </c>
      <c r="B7" s="42" t="s">
        <v>140</v>
      </c>
      <c r="C7" s="1">
        <f t="shared" si="2"/>
        <v>6662702</v>
      </c>
      <c r="D7" s="1">
        <v>2223795</v>
      </c>
      <c r="E7" s="1">
        <v>1232910</v>
      </c>
      <c r="F7" s="1">
        <v>870337</v>
      </c>
      <c r="G7" s="1">
        <v>1240107</v>
      </c>
      <c r="H7" s="1">
        <v>202803</v>
      </c>
      <c r="I7" s="9">
        <f t="shared" si="3"/>
        <v>880288</v>
      </c>
      <c r="J7" s="1"/>
      <c r="K7" s="1">
        <v>275021</v>
      </c>
      <c r="L7" s="1">
        <v>203315</v>
      </c>
      <c r="M7" s="1">
        <v>141035</v>
      </c>
      <c r="N7" s="1">
        <v>251289</v>
      </c>
      <c r="O7" s="1">
        <v>1137</v>
      </c>
      <c r="P7" s="1">
        <v>8491</v>
      </c>
      <c r="Q7" s="1"/>
      <c r="R7" s="1">
        <v>12462</v>
      </c>
      <c r="S7" s="1"/>
      <c r="T7" s="1">
        <f>+'2022 Nto driftsutg'!V7</f>
        <v>265848</v>
      </c>
      <c r="U7" s="1">
        <f>+'2022 Nto driftsutg'!W7</f>
        <v>265848</v>
      </c>
      <c r="X7" s="1"/>
      <c r="Y7" s="1"/>
    </row>
    <row r="8" spans="1:25" x14ac:dyDescent="0.3">
      <c r="A8" s="41">
        <v>1800</v>
      </c>
      <c r="B8" s="42" t="s">
        <v>141</v>
      </c>
      <c r="C8" s="1">
        <f t="shared" si="2"/>
        <v>6868750</v>
      </c>
      <c r="D8" s="1">
        <v>2421381</v>
      </c>
      <c r="E8" s="1">
        <v>1025300</v>
      </c>
      <c r="F8" s="1">
        <v>660090</v>
      </c>
      <c r="G8" s="1">
        <v>1364405</v>
      </c>
      <c r="H8" s="1">
        <v>316795</v>
      </c>
      <c r="I8" s="9">
        <f t="shared" si="3"/>
        <v>1112798</v>
      </c>
      <c r="J8" s="1"/>
      <c r="K8" s="1">
        <v>341336</v>
      </c>
      <c r="L8" s="1">
        <v>149161</v>
      </c>
      <c r="M8" s="1">
        <v>274606</v>
      </c>
      <c r="N8" s="1">
        <v>347315</v>
      </c>
      <c r="O8" s="1">
        <v>14</v>
      </c>
      <c r="P8" s="1">
        <v>366</v>
      </c>
      <c r="Q8" s="1"/>
      <c r="R8" s="1">
        <v>-32019</v>
      </c>
      <c r="S8" s="1"/>
      <c r="T8" s="1">
        <f>+'2022 Nto driftsutg'!V8</f>
        <v>240190</v>
      </c>
      <c r="U8" s="1">
        <f>+'2022 Nto driftsutg'!W8</f>
        <v>240190</v>
      </c>
      <c r="X8" s="1"/>
      <c r="Y8" s="1"/>
    </row>
    <row r="9" spans="1:25" x14ac:dyDescent="0.3">
      <c r="A9" s="41">
        <v>3000</v>
      </c>
      <c r="B9" s="42" t="s">
        <v>403</v>
      </c>
      <c r="C9" s="1">
        <f t="shared" si="2"/>
        <v>18678651</v>
      </c>
      <c r="D9" s="1">
        <v>9923869</v>
      </c>
      <c r="E9" s="1">
        <v>1998902</v>
      </c>
      <c r="F9" s="1">
        <v>3528421</v>
      </c>
      <c r="G9" s="1">
        <v>51365</v>
      </c>
      <c r="H9" s="1">
        <v>600331</v>
      </c>
      <c r="I9" s="9">
        <f t="shared" si="3"/>
        <v>2732584</v>
      </c>
      <c r="J9" s="1"/>
      <c r="K9" s="1">
        <v>1211793</v>
      </c>
      <c r="L9" s="1">
        <v>435780</v>
      </c>
      <c r="M9" s="1">
        <v>224161</v>
      </c>
      <c r="N9" s="1">
        <v>786428</v>
      </c>
      <c r="O9" s="1">
        <v>71464</v>
      </c>
      <c r="P9" s="1">
        <v>2958</v>
      </c>
      <c r="Q9" s="1"/>
      <c r="R9" s="1">
        <v>-156821</v>
      </c>
      <c r="S9" s="1"/>
      <c r="T9" s="1">
        <f>+'2022 Nto driftsutg'!V9</f>
        <v>1269230</v>
      </c>
      <c r="U9" s="1">
        <f>+'2022 Nto driftsutg'!W9</f>
        <v>1269230</v>
      </c>
      <c r="X9" s="1"/>
      <c r="Y9" s="1"/>
    </row>
    <row r="10" spans="1:25" x14ac:dyDescent="0.3">
      <c r="A10" s="41">
        <v>3400</v>
      </c>
      <c r="B10" s="42" t="s">
        <v>404</v>
      </c>
      <c r="C10" s="1">
        <f t="shared" si="2"/>
        <v>7214836</v>
      </c>
      <c r="D10" s="1">
        <v>3265202</v>
      </c>
      <c r="E10" s="1">
        <v>1243821</v>
      </c>
      <c r="F10" s="1">
        <v>1152596</v>
      </c>
      <c r="G10" s="1">
        <v>15238</v>
      </c>
      <c r="H10" s="1">
        <v>284899</v>
      </c>
      <c r="I10" s="9">
        <f t="shared" si="3"/>
        <v>1184398</v>
      </c>
      <c r="J10" s="1"/>
      <c r="K10" s="1">
        <v>417784</v>
      </c>
      <c r="L10" s="1">
        <v>220822</v>
      </c>
      <c r="M10" s="1">
        <v>254021</v>
      </c>
      <c r="N10" s="1">
        <v>291767</v>
      </c>
      <c r="O10" s="1">
        <v>0</v>
      </c>
      <c r="P10" s="1">
        <v>4</v>
      </c>
      <c r="Q10" s="1"/>
      <c r="R10" s="1">
        <v>68682</v>
      </c>
      <c r="S10" s="1"/>
      <c r="T10" s="1">
        <f>+'2022 Nto driftsutg'!V10</f>
        <v>371253</v>
      </c>
      <c r="U10" s="1">
        <f>+'2022 Nto driftsutg'!W10</f>
        <v>371253</v>
      </c>
      <c r="X10" s="1"/>
      <c r="Y10" s="1"/>
    </row>
    <row r="11" spans="1:25" x14ac:dyDescent="0.3">
      <c r="A11" s="41">
        <v>3800</v>
      </c>
      <c r="B11" s="42" t="s">
        <v>405</v>
      </c>
      <c r="C11" s="1">
        <f t="shared" si="2"/>
        <v>7130865</v>
      </c>
      <c r="D11" s="1">
        <v>3546548</v>
      </c>
      <c r="E11" s="1">
        <v>993148</v>
      </c>
      <c r="F11" s="1">
        <v>891343</v>
      </c>
      <c r="G11" s="1">
        <v>41405</v>
      </c>
      <c r="H11" s="1">
        <v>295365</v>
      </c>
      <c r="I11" s="9">
        <f t="shared" si="3"/>
        <v>1406781</v>
      </c>
      <c r="J11" s="1"/>
      <c r="K11" s="1">
        <v>427337</v>
      </c>
      <c r="L11" s="1">
        <v>378447</v>
      </c>
      <c r="M11" s="1">
        <v>188679</v>
      </c>
      <c r="N11" s="1">
        <v>395976</v>
      </c>
      <c r="O11" s="1">
        <v>5536</v>
      </c>
      <c r="P11" s="1">
        <v>10806</v>
      </c>
      <c r="Q11" s="1"/>
      <c r="R11" s="1">
        <v>-43725</v>
      </c>
      <c r="S11" s="1"/>
      <c r="T11" s="1">
        <f>+'2022 Nto driftsutg'!V11</f>
        <v>424832</v>
      </c>
      <c r="U11" s="1">
        <f>+'2022 Nto driftsutg'!W11</f>
        <v>424832</v>
      </c>
      <c r="X11" s="1"/>
      <c r="Y11" s="1"/>
    </row>
    <row r="12" spans="1:25" x14ac:dyDescent="0.3">
      <c r="A12" s="41">
        <v>4200</v>
      </c>
      <c r="B12" s="42" t="s">
        <v>406</v>
      </c>
      <c r="C12" s="1">
        <f t="shared" si="2"/>
        <v>5728553</v>
      </c>
      <c r="D12" s="1">
        <v>2815074</v>
      </c>
      <c r="E12" s="1">
        <v>1035979</v>
      </c>
      <c r="F12" s="1">
        <v>583144</v>
      </c>
      <c r="G12" s="1">
        <v>60857</v>
      </c>
      <c r="H12" s="1">
        <v>214724</v>
      </c>
      <c r="I12" s="9">
        <f t="shared" si="3"/>
        <v>1009504</v>
      </c>
      <c r="J12" s="1"/>
      <c r="K12" s="1">
        <v>373484</v>
      </c>
      <c r="L12" s="1">
        <v>299935</v>
      </c>
      <c r="M12" s="1">
        <v>109396</v>
      </c>
      <c r="N12" s="1">
        <v>225577</v>
      </c>
      <c r="O12" s="1">
        <v>0</v>
      </c>
      <c r="P12" s="1">
        <v>1112</v>
      </c>
      <c r="Q12" s="1"/>
      <c r="R12" s="1">
        <v>9271</v>
      </c>
      <c r="S12" s="1"/>
      <c r="T12" s="1">
        <f>+'2022 Nto driftsutg'!V12</f>
        <v>311134</v>
      </c>
      <c r="U12" s="1">
        <f>+'2022 Nto driftsutg'!W12</f>
        <v>311134</v>
      </c>
      <c r="X12" s="1"/>
      <c r="Y12" s="1"/>
    </row>
    <row r="13" spans="1:25" x14ac:dyDescent="0.3">
      <c r="A13" s="41">
        <v>4600</v>
      </c>
      <c r="B13" s="42" t="s">
        <v>407</v>
      </c>
      <c r="C13" s="1">
        <f t="shared" si="2"/>
        <v>15367123</v>
      </c>
      <c r="D13" s="1">
        <v>4896467</v>
      </c>
      <c r="E13" s="1">
        <v>2184274</v>
      </c>
      <c r="F13" s="1">
        <v>3282737</v>
      </c>
      <c r="G13" s="1">
        <v>1500911</v>
      </c>
      <c r="H13" s="1">
        <v>488277</v>
      </c>
      <c r="I13" s="9">
        <f t="shared" si="3"/>
        <v>2964488</v>
      </c>
      <c r="J13" s="1"/>
      <c r="K13" s="1">
        <v>822194</v>
      </c>
      <c r="L13" s="1">
        <v>354923</v>
      </c>
      <c r="M13" s="1">
        <v>1282475</v>
      </c>
      <c r="N13" s="1">
        <v>503233</v>
      </c>
      <c r="O13" s="1">
        <v>0</v>
      </c>
      <c r="P13" s="1">
        <v>1663</v>
      </c>
      <c r="Q13" s="1"/>
      <c r="R13" s="1">
        <v>49969</v>
      </c>
      <c r="S13" s="1"/>
      <c r="T13" s="1">
        <f>+'2022 Nto driftsutg'!V13</f>
        <v>641292</v>
      </c>
      <c r="U13" s="1">
        <f>+'2022 Nto driftsutg'!W13</f>
        <v>641292</v>
      </c>
      <c r="X13" s="1"/>
      <c r="Y13" s="1"/>
    </row>
    <row r="14" spans="1:25" x14ac:dyDescent="0.3">
      <c r="A14" s="41">
        <v>5000</v>
      </c>
      <c r="B14" s="42" t="s">
        <v>388</v>
      </c>
      <c r="C14" s="1">
        <f t="shared" si="2"/>
        <v>9329002</v>
      </c>
      <c r="D14" s="1">
        <v>4043858</v>
      </c>
      <c r="E14" s="1">
        <v>1613043</v>
      </c>
      <c r="F14" s="1">
        <v>1249165</v>
      </c>
      <c r="G14" s="1">
        <v>512771</v>
      </c>
      <c r="H14" s="1">
        <v>427518</v>
      </c>
      <c r="I14" s="9">
        <f t="shared" si="3"/>
        <v>1504666</v>
      </c>
      <c r="J14" s="1"/>
      <c r="K14" s="1">
        <v>494998</v>
      </c>
      <c r="L14" s="1">
        <v>247125</v>
      </c>
      <c r="M14" s="1">
        <v>265670</v>
      </c>
      <c r="N14" s="1">
        <v>496873</v>
      </c>
      <c r="O14" s="1">
        <v>0</v>
      </c>
      <c r="P14" s="1">
        <v>0</v>
      </c>
      <c r="Q14" s="1"/>
      <c r="R14" s="1">
        <v>-22019</v>
      </c>
      <c r="S14" s="1"/>
      <c r="T14" s="1">
        <f>+'2022 Nto driftsutg'!V14</f>
        <v>474131</v>
      </c>
      <c r="U14" s="1">
        <f>+'2022 Nto driftsutg'!W14</f>
        <v>474131</v>
      </c>
      <c r="X14" s="1"/>
      <c r="Y14" s="1"/>
    </row>
    <row r="15" spans="1:25" x14ac:dyDescent="0.3">
      <c r="A15" s="41">
        <v>5400</v>
      </c>
      <c r="B15" s="42" t="s">
        <v>408</v>
      </c>
      <c r="C15" s="1">
        <f t="shared" si="2"/>
        <v>7284696</v>
      </c>
      <c r="D15" s="1">
        <v>2363375</v>
      </c>
      <c r="E15" s="1">
        <v>1161775</v>
      </c>
      <c r="F15" s="1">
        <v>1122884</v>
      </c>
      <c r="G15" s="1">
        <v>858556</v>
      </c>
      <c r="H15" s="1">
        <v>411025</v>
      </c>
      <c r="I15" s="9">
        <f t="shared" si="3"/>
        <v>1434823</v>
      </c>
      <c r="J15" s="1"/>
      <c r="K15" s="1">
        <v>418747</v>
      </c>
      <c r="L15" s="1">
        <v>210900</v>
      </c>
      <c r="M15" s="1">
        <v>280387</v>
      </c>
      <c r="N15" s="1">
        <v>371136</v>
      </c>
      <c r="O15" s="1">
        <v>0</v>
      </c>
      <c r="P15" s="1">
        <v>153653</v>
      </c>
      <c r="Q15" s="1"/>
      <c r="R15" s="1">
        <v>-67742</v>
      </c>
      <c r="S15" s="1"/>
      <c r="T15" s="1">
        <f>+'2022 Nto driftsutg'!V15</f>
        <v>241736</v>
      </c>
      <c r="U15" s="1">
        <f>+'2022 Nto driftsutg'!W15</f>
        <v>241736</v>
      </c>
      <c r="X15" s="1"/>
      <c r="Y15" s="1"/>
    </row>
    <row r="16" spans="1:25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</row>
    <row r="17" spans="2:25" x14ac:dyDescent="0.3">
      <c r="B17" s="1" t="s">
        <v>3</v>
      </c>
      <c r="C17" s="1">
        <f t="shared" ref="C17:R17" si="4">SUM(C5:C15)</f>
        <v>101163919.85207164</v>
      </c>
      <c r="D17" s="1">
        <f t="shared" si="4"/>
        <v>43976850</v>
      </c>
      <c r="E17" s="1">
        <f t="shared" si="4"/>
        <v>13663178</v>
      </c>
      <c r="F17" s="1">
        <f t="shared" si="4"/>
        <v>18136985</v>
      </c>
      <c r="G17" s="1">
        <f t="shared" si="4"/>
        <v>6147646</v>
      </c>
      <c r="H17" s="1">
        <f t="shared" si="4"/>
        <v>3949832</v>
      </c>
      <c r="I17" s="9">
        <f t="shared" si="4"/>
        <v>15898088</v>
      </c>
      <c r="J17" s="1">
        <f t="shared" si="4"/>
        <v>0</v>
      </c>
      <c r="K17" s="1">
        <f t="shared" si="4"/>
        <v>5271741</v>
      </c>
      <c r="L17" s="1">
        <f t="shared" si="4"/>
        <v>2654213</v>
      </c>
      <c r="M17" s="1">
        <f t="shared" si="4"/>
        <v>3264389</v>
      </c>
      <c r="N17" s="1">
        <f t="shared" si="4"/>
        <v>4245790</v>
      </c>
      <c r="O17" s="1">
        <f t="shared" si="4"/>
        <v>78151</v>
      </c>
      <c r="P17" s="1">
        <f t="shared" si="4"/>
        <v>383804</v>
      </c>
      <c r="Q17" s="1">
        <f t="shared" si="4"/>
        <v>0</v>
      </c>
      <c r="R17" s="1">
        <f t="shared" si="4"/>
        <v>-608659.14792834804</v>
      </c>
      <c r="S17" s="1"/>
      <c r="T17" s="1">
        <f>SUM(T5:T15)</f>
        <v>5425270</v>
      </c>
      <c r="U17" s="1">
        <f>SUM(U5:U15)</f>
        <v>5425270</v>
      </c>
      <c r="X17" s="1">
        <f>SUM(X5:X15)</f>
        <v>0</v>
      </c>
      <c r="Y17" s="1">
        <f>SUM(Y5:Y15)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F766-F7BB-4968-9CD6-395F55A219B1}">
  <sheetPr>
    <tabColor rgb="FFFFC000"/>
  </sheetPr>
  <dimension ref="A1:U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6.44140625" customWidth="1"/>
    <col min="20" max="20" width="13.5546875" customWidth="1"/>
    <col min="21" max="21" width="13.88671875" customWidth="1"/>
  </cols>
  <sheetData>
    <row r="1" spans="1:21" x14ac:dyDescent="0.3">
      <c r="I1" s="5"/>
    </row>
    <row r="2" spans="1:21" ht="104.25" customHeight="1" x14ac:dyDescent="0.3">
      <c r="A2" s="22" t="s">
        <v>2</v>
      </c>
      <c r="B2" s="22" t="s">
        <v>1</v>
      </c>
      <c r="C2" s="22" t="s">
        <v>274</v>
      </c>
      <c r="D2" s="22" t="s">
        <v>259</v>
      </c>
      <c r="E2" s="22" t="s">
        <v>260</v>
      </c>
      <c r="F2" s="22" t="s">
        <v>306</v>
      </c>
      <c r="G2" s="22" t="s">
        <v>307</v>
      </c>
      <c r="H2" s="22" t="s">
        <v>261</v>
      </c>
      <c r="I2" s="11" t="s">
        <v>108</v>
      </c>
      <c r="J2" s="22" t="s">
        <v>109</v>
      </c>
      <c r="K2" s="22" t="s">
        <v>262</v>
      </c>
      <c r="L2" s="22" t="s">
        <v>263</v>
      </c>
      <c r="M2" s="22" t="s">
        <v>110</v>
      </c>
      <c r="N2" s="22" t="s">
        <v>264</v>
      </c>
      <c r="O2" s="22" t="s">
        <v>111</v>
      </c>
      <c r="P2" s="22" t="s">
        <v>112</v>
      </c>
      <c r="Q2" s="22" t="s">
        <v>265</v>
      </c>
      <c r="R2" s="22" t="s">
        <v>113</v>
      </c>
      <c r="S2" s="22"/>
      <c r="T2" s="22"/>
      <c r="U2" s="22"/>
    </row>
    <row r="3" spans="1:21" x14ac:dyDescent="0.3">
      <c r="A3" s="107">
        <v>1</v>
      </c>
      <c r="B3" s="107">
        <f t="shared" ref="B3:U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19"/>
    </row>
    <row r="5" spans="1:21" x14ac:dyDescent="0.3">
      <c r="A5" s="41">
        <v>300</v>
      </c>
      <c r="B5" s="42" t="s">
        <v>0</v>
      </c>
      <c r="C5" s="1">
        <f t="shared" ref="C5:C15" si="1">SUM(D5:I5)+R5</f>
        <v>7992056.8520716522</v>
      </c>
      <c r="D5" s="1">
        <f>+'2022 Bto driftsutg'!D5-'2022 Avskrivning'!D5</f>
        <v>4118393</v>
      </c>
      <c r="E5" s="1">
        <f>+'2022 Bto driftsutg'!E5-'2022 Avskrivning'!E5</f>
        <v>0</v>
      </c>
      <c r="F5" s="1">
        <f>+'2022 Bto driftsutg'!F5-'2022 Avskrivning'!F5</f>
        <v>3620055</v>
      </c>
      <c r="G5" s="1">
        <f>+'2022 Bto driftsutg'!G5-'2022 Avskrivning'!G5</f>
        <v>28732</v>
      </c>
      <c r="H5" s="1">
        <f>+'2022 Bto driftsutg'!H5-'2022 Avskrivning'!H5</f>
        <v>257591</v>
      </c>
      <c r="I5" s="9">
        <f>+'2022 Bto driftsutg'!I5-'2022 Avskrivning'!I5</f>
        <v>373241</v>
      </c>
      <c r="J5" s="1">
        <f>+'2022 Bto driftsutg'!J5-'2022 Avskrivning'!J5</f>
        <v>0</v>
      </c>
      <c r="K5" s="1">
        <f>+'2022 Bto driftsutg'!K5-'2022 Avskrivning'!K5</f>
        <v>130566</v>
      </c>
      <c r="L5" s="1">
        <f>+'2022 Bto driftsutg'!L5-'2022 Avskrivning'!L5</f>
        <v>0</v>
      </c>
      <c r="M5" s="1">
        <f>+'2022 Bto driftsutg'!M5-'2022 Avskrivning'!M5</f>
        <v>47813</v>
      </c>
      <c r="N5" s="1">
        <f>+'2022 Bto driftsutg'!N5-'2022 Avskrivning'!N5</f>
        <v>194862</v>
      </c>
      <c r="O5" s="1">
        <f>+'2022 Bto driftsutg'!O5-'2022 Avskrivning'!O5</f>
        <v>0</v>
      </c>
      <c r="P5" s="1">
        <f>+'2022 Bto driftsutg'!P5-'2022 Avskrivning'!P5</f>
        <v>0</v>
      </c>
      <c r="Q5" s="1">
        <f>+'2022 Bto driftsutg'!Q5-'2022 Avskrivning'!Q5</f>
        <v>0</v>
      </c>
      <c r="R5" s="1">
        <f>+'2022 Bto driftsutg'!R5-'2022 Avskrivning'!R5</f>
        <v>-405955.14792834799</v>
      </c>
      <c r="S5" s="1"/>
      <c r="T5" s="1"/>
      <c r="U5" s="1"/>
    </row>
    <row r="6" spans="1:21" x14ac:dyDescent="0.3">
      <c r="A6" s="41">
        <v>1100</v>
      </c>
      <c r="B6" s="42" t="s">
        <v>139</v>
      </c>
      <c r="C6" s="1">
        <f t="shared" si="1"/>
        <v>8010417</v>
      </c>
      <c r="D6" s="1">
        <f>+'2022 Bto driftsutg'!D6-'2022 Avskrivning'!D6</f>
        <v>3900387</v>
      </c>
      <c r="E6" s="1">
        <f>+'2022 Bto driftsutg'!E6-'2022 Avskrivning'!E6</f>
        <v>800606</v>
      </c>
      <c r="F6" s="1">
        <f>+'2022 Bto driftsutg'!F6-'2022 Avskrivning'!F6</f>
        <v>1174650</v>
      </c>
      <c r="G6" s="1">
        <f>+'2022 Bto driftsutg'!G6-'2022 Avskrivning'!G6</f>
        <v>473299</v>
      </c>
      <c r="H6" s="1">
        <f>+'2022 Bto driftsutg'!H6-'2022 Avskrivning'!H6</f>
        <v>425290</v>
      </c>
      <c r="I6" s="9">
        <f>+'2022 Bto driftsutg'!I6-'2022 Avskrivning'!I6</f>
        <v>1256947</v>
      </c>
      <c r="J6" s="1">
        <f>+'2022 Bto driftsutg'!J6-'2022 Avskrivning'!J6</f>
        <v>0</v>
      </c>
      <c r="K6" s="1">
        <f>+'2022 Bto driftsutg'!K6-'2022 Avskrivning'!K6</f>
        <v>320949</v>
      </c>
      <c r="L6" s="1">
        <f>+'2022 Bto driftsutg'!L6-'2022 Avskrivning'!L6</f>
        <v>153767</v>
      </c>
      <c r="M6" s="1">
        <f>+'2022 Bto driftsutg'!M6-'2022 Avskrivning'!M6</f>
        <v>196146</v>
      </c>
      <c r="N6" s="1">
        <f>+'2022 Bto driftsutg'!N6-'2022 Avskrivning'!N6</f>
        <v>381334</v>
      </c>
      <c r="O6" s="1">
        <f>+'2022 Bto driftsutg'!O6-'2022 Avskrivning'!O6</f>
        <v>0</v>
      </c>
      <c r="P6" s="1">
        <f>+'2022 Bto driftsutg'!P6-'2022 Avskrivning'!P6</f>
        <v>204751</v>
      </c>
      <c r="Q6" s="1">
        <f>+'2022 Bto driftsutg'!Q6-'2022 Avskrivning'!Q6</f>
        <v>0</v>
      </c>
      <c r="R6" s="1">
        <f>+'2022 Bto driftsutg'!R6-'2022 Avskrivning'!R6</f>
        <v>-20762</v>
      </c>
      <c r="T6" s="1"/>
      <c r="U6" s="1"/>
    </row>
    <row r="7" spans="1:21" x14ac:dyDescent="0.3">
      <c r="A7" s="41">
        <v>1500</v>
      </c>
      <c r="B7" s="42" t="s">
        <v>140</v>
      </c>
      <c r="C7" s="1">
        <f t="shared" si="1"/>
        <v>6180925</v>
      </c>
      <c r="D7" s="1">
        <f>+'2022 Bto driftsutg'!D7-'2022 Avskrivning'!D7</f>
        <v>2102782</v>
      </c>
      <c r="E7" s="1">
        <f>+'2022 Bto driftsutg'!E7-'2022 Avskrivning'!E7</f>
        <v>892656</v>
      </c>
      <c r="F7" s="1">
        <f>+'2022 Bto driftsutg'!F7-'2022 Avskrivning'!F7</f>
        <v>863703</v>
      </c>
      <c r="G7" s="1">
        <f>+'2022 Bto driftsutg'!G7-'2022 Avskrivning'!G7</f>
        <v>1239357</v>
      </c>
      <c r="H7" s="1">
        <f>+'2022 Bto driftsutg'!H7-'2022 Avskrivning'!H7</f>
        <v>193191</v>
      </c>
      <c r="I7" s="9">
        <f>+'2022 Bto driftsutg'!I7-'2022 Avskrivning'!I7</f>
        <v>876774</v>
      </c>
      <c r="J7" s="1">
        <f>+'2022 Bto driftsutg'!J7-'2022 Avskrivning'!J7</f>
        <v>0</v>
      </c>
      <c r="K7" s="1">
        <f>+'2022 Bto driftsutg'!K7-'2022 Avskrivning'!K7</f>
        <v>272239</v>
      </c>
      <c r="L7" s="1">
        <f>+'2022 Bto driftsutg'!L7-'2022 Avskrivning'!L7</f>
        <v>203253</v>
      </c>
      <c r="M7" s="1">
        <f>+'2022 Bto driftsutg'!M7-'2022 Avskrivning'!M7</f>
        <v>140970</v>
      </c>
      <c r="N7" s="1">
        <f>+'2022 Bto driftsutg'!N7-'2022 Avskrivning'!N7</f>
        <v>250684</v>
      </c>
      <c r="O7" s="1">
        <f>+'2022 Bto driftsutg'!O7-'2022 Avskrivning'!O7</f>
        <v>1137</v>
      </c>
      <c r="P7" s="1">
        <f>+'2022 Bto driftsutg'!P7-'2022 Avskrivning'!P7</f>
        <v>8491</v>
      </c>
      <c r="Q7" s="1">
        <f>+'2022 Bto driftsutg'!Q7-'2022 Avskrivning'!Q7</f>
        <v>0</v>
      </c>
      <c r="R7" s="1">
        <f>+'2022 Bto driftsutg'!R7-'2022 Avskrivning'!R7</f>
        <v>12462</v>
      </c>
      <c r="T7" s="1"/>
      <c r="U7" s="1"/>
    </row>
    <row r="8" spans="1:21" x14ac:dyDescent="0.3">
      <c r="A8" s="41">
        <v>1800</v>
      </c>
      <c r="B8" s="42" t="s">
        <v>141</v>
      </c>
      <c r="C8" s="1">
        <f t="shared" si="1"/>
        <v>6423296</v>
      </c>
      <c r="D8" s="1">
        <f>+'2022 Bto driftsutg'!D8-'2022 Avskrivning'!D8</f>
        <v>2250960</v>
      </c>
      <c r="E8" s="1">
        <f>+'2022 Bto driftsutg'!E8-'2022 Avskrivning'!E8</f>
        <v>785156</v>
      </c>
      <c r="F8" s="1">
        <f>+'2022 Bto driftsutg'!F8-'2022 Avskrivning'!F8</f>
        <v>656353</v>
      </c>
      <c r="G8" s="1">
        <f>+'2022 Bto driftsutg'!G8-'2022 Avskrivning'!G8</f>
        <v>1362157</v>
      </c>
      <c r="H8" s="1">
        <f>+'2022 Bto driftsutg'!H8-'2022 Avskrivning'!H8</f>
        <v>303288</v>
      </c>
      <c r="I8" s="9">
        <f>+'2022 Bto driftsutg'!I8-'2022 Avskrivning'!I8</f>
        <v>1097401</v>
      </c>
      <c r="J8" s="1">
        <f>+'2022 Bto driftsutg'!J8-'2022 Avskrivning'!J8</f>
        <v>0</v>
      </c>
      <c r="K8" s="1">
        <f>+'2022 Bto driftsutg'!K8-'2022 Avskrivning'!K8</f>
        <v>335666</v>
      </c>
      <c r="L8" s="1">
        <f>+'2022 Bto driftsutg'!L8-'2022 Avskrivning'!L8</f>
        <v>148834</v>
      </c>
      <c r="M8" s="1">
        <f>+'2022 Bto driftsutg'!M8-'2022 Avskrivning'!M8</f>
        <v>269249</v>
      </c>
      <c r="N8" s="1">
        <f>+'2022 Bto driftsutg'!N8-'2022 Avskrivning'!N8</f>
        <v>343638</v>
      </c>
      <c r="O8" s="1">
        <f>+'2022 Bto driftsutg'!O8-'2022 Avskrivning'!O8</f>
        <v>14</v>
      </c>
      <c r="P8" s="1">
        <f>+'2022 Bto driftsutg'!P8-'2022 Avskrivning'!P8</f>
        <v>0</v>
      </c>
      <c r="Q8" s="1">
        <f>+'2022 Bto driftsutg'!Q8-'2022 Avskrivning'!Q8</f>
        <v>0</v>
      </c>
      <c r="R8" s="1">
        <f>+'2022 Bto driftsutg'!R8-'2022 Avskrivning'!R8</f>
        <v>-32019</v>
      </c>
      <c r="T8" s="1"/>
      <c r="U8" s="1"/>
    </row>
    <row r="9" spans="1:21" x14ac:dyDescent="0.3">
      <c r="A9" s="41">
        <v>3000</v>
      </c>
      <c r="B9" s="42" t="s">
        <v>403</v>
      </c>
      <c r="C9" s="1">
        <f t="shared" si="1"/>
        <v>17609706</v>
      </c>
      <c r="D9" s="1">
        <f>+'2022 Bto driftsutg'!D9-'2022 Avskrivning'!D9</f>
        <v>9439150</v>
      </c>
      <c r="E9" s="1">
        <f>+'2022 Bto driftsutg'!E9-'2022 Avskrivning'!E9</f>
        <v>1573540</v>
      </c>
      <c r="F9" s="1">
        <f>+'2022 Bto driftsutg'!F9-'2022 Avskrivning'!F9</f>
        <v>3462092</v>
      </c>
      <c r="G9" s="1">
        <f>+'2022 Bto driftsutg'!G9-'2022 Avskrivning'!G9</f>
        <v>51365</v>
      </c>
      <c r="H9" s="1">
        <f>+'2022 Bto driftsutg'!H9-'2022 Avskrivning'!H9</f>
        <v>571483</v>
      </c>
      <c r="I9" s="9">
        <f>+'2022 Bto driftsutg'!I9-'2022 Avskrivning'!I9</f>
        <v>2668897</v>
      </c>
      <c r="J9" s="1">
        <f>+'2022 Bto driftsutg'!J9-'2022 Avskrivning'!J9</f>
        <v>0</v>
      </c>
      <c r="K9" s="1">
        <f>+'2022 Bto driftsutg'!K9-'2022 Avskrivning'!K9</f>
        <v>1150176</v>
      </c>
      <c r="L9" s="1">
        <f>+'2022 Bto driftsutg'!L9-'2022 Avskrivning'!L9</f>
        <v>435512</v>
      </c>
      <c r="M9" s="1">
        <f>+'2022 Bto driftsutg'!M9-'2022 Avskrivning'!M9</f>
        <v>224161</v>
      </c>
      <c r="N9" s="1">
        <f>+'2022 Bto driftsutg'!N9-'2022 Avskrivning'!N9</f>
        <v>784626</v>
      </c>
      <c r="O9" s="1">
        <f>+'2022 Bto driftsutg'!O9-'2022 Avskrivning'!O9</f>
        <v>71464</v>
      </c>
      <c r="P9" s="1">
        <f>+'2022 Bto driftsutg'!P9-'2022 Avskrivning'!P9</f>
        <v>2958</v>
      </c>
      <c r="Q9" s="1">
        <f>+'2022 Bto driftsutg'!Q9-'2022 Avskrivning'!Q9</f>
        <v>0</v>
      </c>
      <c r="R9" s="1">
        <f>+'2022 Bto driftsutg'!R9-'2022 Avskrivning'!R9</f>
        <v>-156821</v>
      </c>
      <c r="T9" s="1"/>
      <c r="U9" s="1"/>
    </row>
    <row r="10" spans="1:21" x14ac:dyDescent="0.3">
      <c r="A10" s="41">
        <v>3400</v>
      </c>
      <c r="B10" s="42" t="s">
        <v>404</v>
      </c>
      <c r="C10" s="1">
        <f t="shared" si="1"/>
        <v>6811350</v>
      </c>
      <c r="D10" s="1">
        <f>+'2022 Bto driftsutg'!D10-'2022 Avskrivning'!D10</f>
        <v>3067225</v>
      </c>
      <c r="E10" s="1">
        <f>+'2022 Bto driftsutg'!E10-'2022 Avskrivning'!E10</f>
        <v>1060253</v>
      </c>
      <c r="F10" s="1">
        <f>+'2022 Bto driftsutg'!F10-'2022 Avskrivning'!F10</f>
        <v>1147822</v>
      </c>
      <c r="G10" s="1">
        <f>+'2022 Bto driftsutg'!G10-'2022 Avskrivning'!G10</f>
        <v>14516</v>
      </c>
      <c r="H10" s="1">
        <f>+'2022 Bto driftsutg'!H10-'2022 Avskrivning'!H10</f>
        <v>277846</v>
      </c>
      <c r="I10" s="9">
        <f>+'2022 Bto driftsutg'!I10-'2022 Avskrivning'!I10</f>
        <v>1175006</v>
      </c>
      <c r="J10" s="1">
        <f>+'2022 Bto driftsutg'!J10-'2022 Avskrivning'!J10</f>
        <v>0</v>
      </c>
      <c r="K10" s="1">
        <f>+'2022 Bto driftsutg'!K10-'2022 Avskrivning'!K10</f>
        <v>409854</v>
      </c>
      <c r="L10" s="1">
        <f>+'2022 Bto driftsutg'!L10-'2022 Avskrivning'!L10</f>
        <v>220815</v>
      </c>
      <c r="M10" s="1">
        <f>+'2022 Bto driftsutg'!M10-'2022 Avskrivning'!M10</f>
        <v>253136</v>
      </c>
      <c r="N10" s="1">
        <f>+'2022 Bto driftsutg'!N10-'2022 Avskrivning'!N10</f>
        <v>291197</v>
      </c>
      <c r="O10" s="1">
        <f>+'2022 Bto driftsutg'!O10-'2022 Avskrivning'!O10</f>
        <v>0</v>
      </c>
      <c r="P10" s="1">
        <f>+'2022 Bto driftsutg'!P10-'2022 Avskrivning'!P10</f>
        <v>4</v>
      </c>
      <c r="Q10" s="1">
        <f>+'2022 Bto driftsutg'!Q10-'2022 Avskrivning'!Q10</f>
        <v>0</v>
      </c>
      <c r="R10" s="1">
        <f>+'2022 Bto driftsutg'!R10-'2022 Avskrivning'!R10</f>
        <v>68682</v>
      </c>
      <c r="T10" s="1"/>
      <c r="U10" s="1"/>
    </row>
    <row r="11" spans="1:21" x14ac:dyDescent="0.3">
      <c r="A11" s="41">
        <v>3800</v>
      </c>
      <c r="B11" s="42" t="s">
        <v>405</v>
      </c>
      <c r="C11" s="1">
        <f t="shared" si="1"/>
        <v>6770925</v>
      </c>
      <c r="D11" s="1">
        <f>+'2022 Bto driftsutg'!D11-'2022 Avskrivning'!D11</f>
        <v>3371090</v>
      </c>
      <c r="E11" s="1">
        <f>+'2022 Bto driftsutg'!E11-'2022 Avskrivning'!E11</f>
        <v>840588</v>
      </c>
      <c r="F11" s="1">
        <f>+'2022 Bto driftsutg'!F11-'2022 Avskrivning'!F11</f>
        <v>889336</v>
      </c>
      <c r="G11" s="1">
        <f>+'2022 Bto driftsutg'!G11-'2022 Avskrivning'!G11</f>
        <v>41405</v>
      </c>
      <c r="H11" s="1">
        <f>+'2022 Bto driftsutg'!H11-'2022 Avskrivning'!H11</f>
        <v>291099</v>
      </c>
      <c r="I11" s="9">
        <f>+'2022 Bto driftsutg'!I11-'2022 Avskrivning'!I11</f>
        <v>1381132</v>
      </c>
      <c r="J11" s="1">
        <f>+'2022 Bto driftsutg'!J11-'2022 Avskrivning'!J11</f>
        <v>0</v>
      </c>
      <c r="K11" s="1">
        <f>+'2022 Bto driftsutg'!K11-'2022 Avskrivning'!K11</f>
        <v>410708</v>
      </c>
      <c r="L11" s="1">
        <f>+'2022 Bto driftsutg'!L11-'2022 Avskrivning'!L11</f>
        <v>371503</v>
      </c>
      <c r="M11" s="1">
        <f>+'2022 Bto driftsutg'!M11-'2022 Avskrivning'!M11</f>
        <v>188679</v>
      </c>
      <c r="N11" s="1">
        <f>+'2022 Bto driftsutg'!N11-'2022 Avskrivning'!N11</f>
        <v>393900</v>
      </c>
      <c r="O11" s="1">
        <f>+'2022 Bto driftsutg'!O11-'2022 Avskrivning'!O11</f>
        <v>5536</v>
      </c>
      <c r="P11" s="1">
        <f>+'2022 Bto driftsutg'!P11-'2022 Avskrivning'!P11</f>
        <v>10806</v>
      </c>
      <c r="Q11" s="1">
        <f>+'2022 Bto driftsutg'!Q11-'2022 Avskrivning'!Q11</f>
        <v>0</v>
      </c>
      <c r="R11" s="1">
        <f>+'2022 Bto driftsutg'!R11-'2022 Avskrivning'!R11</f>
        <v>-43725</v>
      </c>
      <c r="T11" s="1"/>
      <c r="U11" s="1"/>
    </row>
    <row r="12" spans="1:21" x14ac:dyDescent="0.3">
      <c r="A12" s="41">
        <v>4200</v>
      </c>
      <c r="B12" s="42" t="s">
        <v>406</v>
      </c>
      <c r="C12" s="1">
        <f t="shared" si="1"/>
        <v>5333020</v>
      </c>
      <c r="D12" s="1">
        <f>+'2022 Bto driftsutg'!D12-'2022 Avskrivning'!D12</f>
        <v>2643794</v>
      </c>
      <c r="E12" s="1">
        <f>+'2022 Bto driftsutg'!E12-'2022 Avskrivning'!E12</f>
        <v>847621</v>
      </c>
      <c r="F12" s="1">
        <f>+'2022 Bto driftsutg'!F12-'2022 Avskrivning'!F12</f>
        <v>578088</v>
      </c>
      <c r="G12" s="1">
        <f>+'2022 Bto driftsutg'!G12-'2022 Avskrivning'!G12</f>
        <v>60857</v>
      </c>
      <c r="H12" s="1">
        <f>+'2022 Bto driftsutg'!H12-'2022 Avskrivning'!H12</f>
        <v>205936</v>
      </c>
      <c r="I12" s="9">
        <f>+'2022 Bto driftsutg'!I12-'2022 Avskrivning'!I12</f>
        <v>987453</v>
      </c>
      <c r="J12" s="1">
        <f>+'2022 Bto driftsutg'!J12-'2022 Avskrivning'!J12</f>
        <v>0</v>
      </c>
      <c r="K12" s="1">
        <f>+'2022 Bto driftsutg'!K12-'2022 Avskrivning'!K12</f>
        <v>358175</v>
      </c>
      <c r="L12" s="1">
        <f>+'2022 Bto driftsutg'!L12-'2022 Avskrivning'!L12</f>
        <v>297990</v>
      </c>
      <c r="M12" s="1">
        <f>+'2022 Bto driftsutg'!M12-'2022 Avskrivning'!M12</f>
        <v>104798</v>
      </c>
      <c r="N12" s="1">
        <f>+'2022 Bto driftsutg'!N12-'2022 Avskrivning'!N12</f>
        <v>225577</v>
      </c>
      <c r="O12" s="1">
        <f>+'2022 Bto driftsutg'!O12-'2022 Avskrivning'!O12</f>
        <v>0</v>
      </c>
      <c r="P12" s="1">
        <f>+'2022 Bto driftsutg'!P12-'2022 Avskrivning'!P12</f>
        <v>913</v>
      </c>
      <c r="Q12" s="1">
        <f>+'2022 Bto driftsutg'!Q12-'2022 Avskrivning'!Q12</f>
        <v>0</v>
      </c>
      <c r="R12" s="1">
        <f>+'2022 Bto driftsutg'!R12-'2022 Avskrivning'!R12</f>
        <v>9271</v>
      </c>
      <c r="T12" s="1"/>
      <c r="U12" s="1"/>
    </row>
    <row r="13" spans="1:21" x14ac:dyDescent="0.3">
      <c r="A13" s="41">
        <v>4600</v>
      </c>
      <c r="B13" s="42" t="s">
        <v>407</v>
      </c>
      <c r="C13" s="1">
        <f t="shared" si="1"/>
        <v>14107471</v>
      </c>
      <c r="D13" s="1">
        <f>+'2022 Bto driftsutg'!D13-'2022 Avskrivning'!D13</f>
        <v>4592769</v>
      </c>
      <c r="E13" s="1">
        <f>+'2022 Bto driftsutg'!E13-'2022 Avskrivning'!E13</f>
        <v>1536573</v>
      </c>
      <c r="F13" s="1">
        <f>+'2022 Bto driftsutg'!F13-'2022 Avskrivning'!F13</f>
        <v>3032482</v>
      </c>
      <c r="G13" s="1">
        <f>+'2022 Bto driftsutg'!G13-'2022 Avskrivning'!G13</f>
        <v>1499942</v>
      </c>
      <c r="H13" s="1">
        <f>+'2022 Bto driftsutg'!H13-'2022 Avskrivning'!H13</f>
        <v>473268</v>
      </c>
      <c r="I13" s="9">
        <f>+'2022 Bto driftsutg'!I13-'2022 Avskrivning'!I13</f>
        <v>2922468</v>
      </c>
      <c r="J13" s="1">
        <f>+'2022 Bto driftsutg'!J13-'2022 Avskrivning'!J13</f>
        <v>0</v>
      </c>
      <c r="K13" s="1">
        <f>+'2022 Bto driftsutg'!K13-'2022 Avskrivning'!K13</f>
        <v>783259</v>
      </c>
      <c r="L13" s="1">
        <f>+'2022 Bto driftsutg'!L13-'2022 Avskrivning'!L13</f>
        <v>354867</v>
      </c>
      <c r="M13" s="1">
        <f>+'2022 Bto driftsutg'!M13-'2022 Avskrivning'!M13</f>
        <v>1282358</v>
      </c>
      <c r="N13" s="1">
        <f>+'2022 Bto driftsutg'!N13-'2022 Avskrivning'!N13</f>
        <v>500321</v>
      </c>
      <c r="O13" s="1">
        <f>+'2022 Bto driftsutg'!O13-'2022 Avskrivning'!O13</f>
        <v>0</v>
      </c>
      <c r="P13" s="1">
        <f>+'2022 Bto driftsutg'!P13-'2022 Avskrivning'!P13</f>
        <v>1663</v>
      </c>
      <c r="Q13" s="1">
        <f>+'2022 Bto driftsutg'!Q13-'2022 Avskrivning'!Q13</f>
        <v>0</v>
      </c>
      <c r="R13" s="1">
        <f>+'2022 Bto driftsutg'!R13-'2022 Avskrivning'!R13</f>
        <v>49969</v>
      </c>
      <c r="T13" s="1"/>
      <c r="U13" s="1"/>
    </row>
    <row r="14" spans="1:21" x14ac:dyDescent="0.3">
      <c r="A14" s="41">
        <v>5000</v>
      </c>
      <c r="B14" s="42" t="s">
        <v>388</v>
      </c>
      <c r="C14" s="1">
        <f t="shared" si="1"/>
        <v>8585280</v>
      </c>
      <c r="D14" s="1">
        <f>+'2022 Bto driftsutg'!D14-'2022 Avskrivning'!D14</f>
        <v>3747320</v>
      </c>
      <c r="E14" s="1">
        <f>+'2022 Bto driftsutg'!E14-'2022 Avskrivning'!E14</f>
        <v>1195707</v>
      </c>
      <c r="F14" s="1">
        <f>+'2022 Bto driftsutg'!F14-'2022 Avskrivning'!F14</f>
        <v>1243100</v>
      </c>
      <c r="G14" s="1">
        <f>+'2022 Bto driftsutg'!G14-'2022 Avskrivning'!G14</f>
        <v>508063</v>
      </c>
      <c r="H14" s="1">
        <f>+'2022 Bto driftsutg'!H14-'2022 Avskrivning'!H14</f>
        <v>420319</v>
      </c>
      <c r="I14" s="9">
        <f>+'2022 Bto driftsutg'!I14-'2022 Avskrivning'!I14</f>
        <v>1492790</v>
      </c>
      <c r="J14" s="1">
        <f>+'2022 Bto driftsutg'!J14-'2022 Avskrivning'!J14</f>
        <v>0</v>
      </c>
      <c r="K14" s="1">
        <f>+'2022 Bto driftsutg'!K14-'2022 Avskrivning'!K14</f>
        <v>491344</v>
      </c>
      <c r="L14" s="1">
        <f>+'2022 Bto driftsutg'!L14-'2022 Avskrivning'!L14</f>
        <v>246993</v>
      </c>
      <c r="M14" s="1">
        <f>+'2022 Bto driftsutg'!M14-'2022 Avskrivning'!M14</f>
        <v>258175</v>
      </c>
      <c r="N14" s="1">
        <f>+'2022 Bto driftsutg'!N14-'2022 Avskrivning'!N14</f>
        <v>496278</v>
      </c>
      <c r="O14" s="1">
        <f>+'2022 Bto driftsutg'!O14-'2022 Avskrivning'!O14</f>
        <v>0</v>
      </c>
      <c r="P14" s="1">
        <f>+'2022 Bto driftsutg'!P14-'2022 Avskrivning'!P14</f>
        <v>0</v>
      </c>
      <c r="Q14" s="1">
        <f>+'2022 Bto driftsutg'!Q14-'2022 Avskrivning'!Q14</f>
        <v>0</v>
      </c>
      <c r="R14" s="1">
        <f>+'2022 Bto driftsutg'!R14-'2022 Avskrivning'!R14</f>
        <v>-22019</v>
      </c>
      <c r="T14" s="1"/>
      <c r="U14" s="1"/>
    </row>
    <row r="15" spans="1:21" x14ac:dyDescent="0.3">
      <c r="A15" s="41">
        <v>5400</v>
      </c>
      <c r="B15" s="42" t="s">
        <v>408</v>
      </c>
      <c r="C15" s="1">
        <f t="shared" si="1"/>
        <v>6904246</v>
      </c>
      <c r="D15" s="1">
        <f>+'2022 Bto driftsutg'!D15-'2022 Avskrivning'!D15</f>
        <v>2260834</v>
      </c>
      <c r="E15" s="1">
        <f>+'2022 Bto driftsutg'!E15-'2022 Avskrivning'!E15</f>
        <v>945281</v>
      </c>
      <c r="F15" s="1">
        <f>+'2022 Bto driftsutg'!F15-'2022 Avskrivning'!F15</f>
        <v>1112958</v>
      </c>
      <c r="G15" s="1">
        <f>+'2022 Bto driftsutg'!G15-'2022 Avskrivning'!G15</f>
        <v>852912</v>
      </c>
      <c r="H15" s="1">
        <f>+'2022 Bto driftsutg'!H15-'2022 Avskrivning'!H15</f>
        <v>393792</v>
      </c>
      <c r="I15" s="9">
        <f>+'2022 Bto driftsutg'!I15-'2022 Avskrivning'!I15</f>
        <v>1406211</v>
      </c>
      <c r="J15" s="1">
        <f>+'2022 Bto driftsutg'!J15-'2022 Avskrivning'!J15</f>
        <v>0</v>
      </c>
      <c r="K15" s="1">
        <f>+'2022 Bto driftsutg'!K15-'2022 Avskrivning'!K15</f>
        <v>397018</v>
      </c>
      <c r="L15" s="1">
        <f>+'2022 Bto driftsutg'!L15-'2022 Avskrivning'!L15</f>
        <v>210900</v>
      </c>
      <c r="M15" s="1">
        <f>+'2022 Bto driftsutg'!M15-'2022 Avskrivning'!M15</f>
        <v>280387</v>
      </c>
      <c r="N15" s="1">
        <f>+'2022 Bto driftsutg'!N15-'2022 Avskrivning'!N15</f>
        <v>369920</v>
      </c>
      <c r="O15" s="1">
        <f>+'2022 Bto driftsutg'!O15-'2022 Avskrivning'!O15</f>
        <v>0</v>
      </c>
      <c r="P15" s="1">
        <f>+'2022 Bto driftsutg'!P15-'2022 Avskrivning'!P15</f>
        <v>147986</v>
      </c>
      <c r="Q15" s="1">
        <f>+'2022 Bto driftsutg'!Q15-'2022 Avskrivning'!Q15</f>
        <v>0</v>
      </c>
      <c r="R15" s="1">
        <f>+'2022 Bto driftsutg'!R15-'2022 Avskrivning'!R15</f>
        <v>-67742</v>
      </c>
      <c r="T15" s="1"/>
      <c r="U15" s="1"/>
    </row>
    <row r="16" spans="1:21" x14ac:dyDescent="0.3">
      <c r="C16" s="1"/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>SUM(C5:C16)</f>
        <v>94728692.852071643</v>
      </c>
      <c r="D17" s="1">
        <f t="shared" ref="D17:R17" si="2">SUM(D5:D15)</f>
        <v>41494704</v>
      </c>
      <c r="E17" s="1">
        <f t="shared" si="2"/>
        <v>10477981</v>
      </c>
      <c r="F17" s="1">
        <f t="shared" si="2"/>
        <v>17780639</v>
      </c>
      <c r="G17" s="1">
        <f t="shared" si="2"/>
        <v>6132605</v>
      </c>
      <c r="H17" s="1">
        <f t="shared" si="2"/>
        <v>3813103</v>
      </c>
      <c r="I17" s="9">
        <f t="shared" si="2"/>
        <v>15638320</v>
      </c>
      <c r="J17" s="1">
        <f t="shared" si="2"/>
        <v>0</v>
      </c>
      <c r="K17" s="1">
        <f t="shared" si="2"/>
        <v>5059954</v>
      </c>
      <c r="L17" s="1">
        <f t="shared" si="2"/>
        <v>2644434</v>
      </c>
      <c r="M17" s="1">
        <f t="shared" si="2"/>
        <v>3245872</v>
      </c>
      <c r="N17" s="1">
        <f t="shared" si="2"/>
        <v>4232337</v>
      </c>
      <c r="O17" s="1">
        <f t="shared" si="2"/>
        <v>78151</v>
      </c>
      <c r="P17" s="1">
        <f t="shared" si="2"/>
        <v>377572</v>
      </c>
      <c r="Q17" s="1">
        <f t="shared" si="2"/>
        <v>0</v>
      </c>
      <c r="R17" s="1">
        <f t="shared" si="2"/>
        <v>-608659.14792834804</v>
      </c>
      <c r="S17" s="1"/>
      <c r="T17" s="1"/>
      <c r="U17" s="1"/>
    </row>
    <row r="18" spans="2:21" x14ac:dyDescent="0.3">
      <c r="C18" s="5"/>
      <c r="I18" s="5">
        <f>SUM(J17:Q17)</f>
        <v>15638320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58B08-DA85-4A0C-AF17-D5E24B02CDDD}">
  <dimension ref="A2:AW22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4.5546875" customWidth="1"/>
    <col min="4" max="4" width="4" customWidth="1"/>
    <col min="5" max="9" width="13.109375" customWidth="1"/>
    <col min="10" max="10" width="14.5546875" customWidth="1"/>
    <col min="11" max="11" width="3.5546875" customWidth="1"/>
    <col min="17" max="17" width="14.5546875" customWidth="1"/>
    <col min="26" max="26" width="14.5546875" customWidth="1"/>
    <col min="27" max="27" width="4.88671875" customWidth="1"/>
    <col min="33" max="33" width="14.5546875" customWidth="1"/>
    <col min="42" max="42" width="14.5546875" customWidth="1"/>
    <col min="43" max="43" width="5.44140625" customWidth="1"/>
    <col min="44" max="44" width="14.5546875" customWidth="1"/>
    <col min="45" max="45" width="6" customWidth="1"/>
    <col min="46" max="46" width="14.5546875" customWidth="1"/>
    <col min="47" max="47" width="6" customWidth="1"/>
    <col min="48" max="48" width="14.5546875" customWidth="1"/>
    <col min="49" max="49" width="16.44140625" customWidth="1"/>
  </cols>
  <sheetData>
    <row r="2" spans="1:49" ht="104.25" customHeight="1" x14ac:dyDescent="0.3">
      <c r="A2" s="22" t="s">
        <v>2</v>
      </c>
      <c r="B2" s="22" t="s">
        <v>1</v>
      </c>
      <c r="C2" s="11" t="s">
        <v>16</v>
      </c>
      <c r="D2" s="22"/>
      <c r="E2" s="22" t="s">
        <v>176</v>
      </c>
      <c r="F2" s="22" t="s">
        <v>177</v>
      </c>
      <c r="G2" s="22" t="s">
        <v>465</v>
      </c>
      <c r="H2" s="22" t="s">
        <v>466</v>
      </c>
      <c r="I2" s="22" t="s">
        <v>178</v>
      </c>
      <c r="J2" s="11" t="s">
        <v>89</v>
      </c>
      <c r="K2" s="22"/>
      <c r="L2" s="22" t="s">
        <v>179</v>
      </c>
      <c r="M2" s="22" t="s">
        <v>180</v>
      </c>
      <c r="N2" s="22" t="s">
        <v>467</v>
      </c>
      <c r="O2" s="22" t="s">
        <v>468</v>
      </c>
      <c r="P2" s="22" t="s">
        <v>181</v>
      </c>
      <c r="Q2" s="45" t="s">
        <v>82</v>
      </c>
      <c r="R2" s="22" t="s">
        <v>84</v>
      </c>
      <c r="S2" s="22" t="s">
        <v>182</v>
      </c>
      <c r="T2" s="22" t="s">
        <v>183</v>
      </c>
      <c r="U2" s="22" t="s">
        <v>85</v>
      </c>
      <c r="V2" s="22" t="s">
        <v>184</v>
      </c>
      <c r="W2" s="22" t="s">
        <v>86</v>
      </c>
      <c r="X2" s="22" t="s">
        <v>87</v>
      </c>
      <c r="Y2" s="22"/>
      <c r="Z2" s="11" t="s">
        <v>90</v>
      </c>
      <c r="AA2" s="22"/>
      <c r="AB2" s="22" t="s">
        <v>185</v>
      </c>
      <c r="AC2" s="22" t="s">
        <v>186</v>
      </c>
      <c r="AD2" s="22" t="s">
        <v>469</v>
      </c>
      <c r="AE2" s="22" t="s">
        <v>470</v>
      </c>
      <c r="AF2" s="22" t="s">
        <v>187</v>
      </c>
      <c r="AG2" s="45" t="s">
        <v>99</v>
      </c>
      <c r="AH2" s="22"/>
      <c r="AI2" s="22" t="s">
        <v>188</v>
      </c>
      <c r="AJ2" s="22" t="s">
        <v>189</v>
      </c>
      <c r="AK2" s="22" t="s">
        <v>100</v>
      </c>
      <c r="AL2" s="22" t="s">
        <v>190</v>
      </c>
      <c r="AM2" s="22" t="s">
        <v>101</v>
      </c>
      <c r="AN2" s="22" t="s">
        <v>102</v>
      </c>
      <c r="AO2" s="22"/>
      <c r="AP2" s="11" t="s">
        <v>103</v>
      </c>
      <c r="AQ2" s="109"/>
      <c r="AR2" s="11" t="s">
        <v>120</v>
      </c>
      <c r="AS2" s="109"/>
      <c r="AT2" s="11"/>
      <c r="AU2" s="109"/>
      <c r="AV2" s="11" t="s">
        <v>104</v>
      </c>
    </row>
    <row r="3" spans="1:49" x14ac:dyDescent="0.3">
      <c r="A3" s="107">
        <v>1</v>
      </c>
      <c r="B3" s="107">
        <f>+A3+1</f>
        <v>2</v>
      </c>
      <c r="C3" s="10">
        <f>+B3+1</f>
        <v>3</v>
      </c>
      <c r="D3" s="107">
        <f t="shared" ref="D3:AV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46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  <c r="AE3" s="107">
        <f t="shared" si="0"/>
        <v>31</v>
      </c>
      <c r="AF3" s="107">
        <f t="shared" si="0"/>
        <v>32</v>
      </c>
      <c r="AG3" s="46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7">
        <f t="shared" si="0"/>
        <v>39</v>
      </c>
      <c r="AN3" s="107">
        <f t="shared" si="0"/>
        <v>40</v>
      </c>
      <c r="AO3" s="107">
        <f t="shared" si="0"/>
        <v>41</v>
      </c>
      <c r="AP3" s="10">
        <f t="shared" si="0"/>
        <v>42</v>
      </c>
      <c r="AQ3" s="110">
        <f t="shared" si="0"/>
        <v>43</v>
      </c>
      <c r="AR3" s="10">
        <f t="shared" si="0"/>
        <v>44</v>
      </c>
      <c r="AS3" s="110">
        <f t="shared" si="0"/>
        <v>45</v>
      </c>
      <c r="AT3" s="10">
        <f t="shared" si="0"/>
        <v>46</v>
      </c>
      <c r="AU3" s="110">
        <f t="shared" si="0"/>
        <v>47</v>
      </c>
      <c r="AV3" s="10">
        <f t="shared" si="0"/>
        <v>48</v>
      </c>
    </row>
    <row r="4" spans="1:49" x14ac:dyDescent="0.3">
      <c r="C4" s="19"/>
      <c r="J4" s="19"/>
      <c r="Q4" s="47"/>
      <c r="Z4" s="19"/>
      <c r="AG4" s="47"/>
      <c r="AP4" s="19"/>
      <c r="AR4" s="19"/>
      <c r="AT4" s="19"/>
      <c r="AV4" s="19"/>
    </row>
    <row r="5" spans="1:49" x14ac:dyDescent="0.3">
      <c r="A5" s="41">
        <v>300</v>
      </c>
      <c r="B5" s="42" t="s">
        <v>0</v>
      </c>
      <c r="C5" s="9">
        <f>+'[2]2023 Grunnlag korreksjoner'!C5*1000/'[2]2023 Nto driftsutg'!W5</f>
        <v>-98.90262817227547</v>
      </c>
      <c r="D5" s="1"/>
      <c r="E5" s="1">
        <f>+'2023 Nto driftsutg landet'!$C$5*'[2]2023 Revekting utgiftsbehov'!Z5-'2023 Nto driftsutg landet'!$C$5</f>
        <v>-2047.7910069498612</v>
      </c>
      <c r="F5" s="1">
        <f>+'2023 Nto driftsutg landet'!$C$6*'[2]2023 Revekting utgiftsbehov'!AA5-'2023 Nto driftsutg landet'!$C$6</f>
        <v>-1580.6928667436378</v>
      </c>
      <c r="G5" s="1">
        <f>+'2023 Nto driftsutg landet'!$C$7*'[2]2023 Revekting utgiftsbehov'!AB5-'2023 Nto driftsutg landet'!$C$7</f>
        <v>1494.1685001508481</v>
      </c>
      <c r="H5" s="1">
        <f>+'2023 Nto driftsutg landet'!$C$8*'[2]2023 Revekting utgiftsbehov'!AC5-'2023 Nto driftsutg landet'!$C$8</f>
        <v>-753.05201833278443</v>
      </c>
      <c r="I5" s="1">
        <f>+'2023 Nto driftsutg landet'!$C$9*'[2]2023 Revekting utgiftsbehov'!AD5-'2023 Nto driftsutg landet'!$C$9</f>
        <v>-119.11600010889595</v>
      </c>
      <c r="J5" s="9">
        <f t="shared" ref="J5:J15" si="1">SUM(E5:I5)</f>
        <v>-3006.4833919843313</v>
      </c>
      <c r="L5" s="1">
        <f>'[2]2023 Korr med revekting arbavg'!I5</f>
        <v>34.829081665940826</v>
      </c>
      <c r="M5" s="1">
        <f>'[2]2023 Korr med revekting arbavg'!P5</f>
        <v>-2.8606765424281901</v>
      </c>
      <c r="N5" s="1">
        <f>'[2]2023 Korr med revekting arbavg'!W5</f>
        <v>0.61720906323744273</v>
      </c>
      <c r="O5" s="1">
        <f>'[2]2023 Korr med revekting arbavg'!AD5</f>
        <v>0</v>
      </c>
      <c r="P5" s="1">
        <f>'[2]2023 Korr med revekting arbavg'!AK5</f>
        <v>0.25294181961620188</v>
      </c>
      <c r="Q5" s="48">
        <f t="shared" ref="Q5:Q17" si="2">SUM(R5:Y5)</f>
        <v>28.070086118135976</v>
      </c>
      <c r="R5" s="1"/>
      <c r="S5" s="1">
        <f>'[2]2023 Korr med revekting arbavg'!AR5</f>
        <v>28.184309082474932</v>
      </c>
      <c r="T5" s="1">
        <f>'[2]2023 Korr med revekting arbavg'!AY5</f>
        <v>0</v>
      </c>
      <c r="U5" s="1">
        <f>'[2]2023 Korr med revekting arbavg'!BF5</f>
        <v>0</v>
      </c>
      <c r="V5" s="1">
        <f>'[2]2023 Korr med revekting arbavg'!BM5</f>
        <v>-0.11422296433895783</v>
      </c>
      <c r="W5" s="1">
        <f>'[2]2023 Korr med revekting arbavg'!BT5</f>
        <v>0</v>
      </c>
      <c r="X5" s="1">
        <f>'[2]2023 Korr med revekting arbavg'!CA5</f>
        <v>0</v>
      </c>
      <c r="Y5" s="1"/>
      <c r="Z5" s="9">
        <f>SUM(L5:P5)+Q5</f>
        <v>60.908642124502258</v>
      </c>
      <c r="AB5" s="1">
        <f>+'[2]2023 Korr med revekting pensjon'!I5</f>
        <v>8.3786563781276069</v>
      </c>
      <c r="AC5" s="1">
        <f>+'[2]2023 Korr med revekting pensjon'!P5</f>
        <v>-7.9042854440117907</v>
      </c>
      <c r="AD5" s="1">
        <f>+'[2]2023 Korr med revekting pensjon'!W5</f>
        <v>1.1333786043811436</v>
      </c>
      <c r="AE5" s="1">
        <f>+'[2]2023 Korr med revekting pensjon'!AD5</f>
        <v>0</v>
      </c>
      <c r="AF5" s="1">
        <f>+'[2]2023 Korr med revekting pensjon'!AK5</f>
        <v>49.76978040405335</v>
      </c>
      <c r="AG5" s="48">
        <f t="shared" ref="AG5:AG15" si="3">SUM(AH5:AO5)</f>
        <v>44.823792701200041</v>
      </c>
      <c r="AH5" s="1"/>
      <c r="AI5" s="1">
        <f>+'[2]2023 Korr med revekting pensjon'!AR5</f>
        <v>39.736260644737733</v>
      </c>
      <c r="AJ5" s="1">
        <f>+'[2]2023 Korr med revekting pensjon'!AY5</f>
        <v>0</v>
      </c>
      <c r="AK5" s="1">
        <f>+'[2]2023 Korr med revekting pensjon'!BF5</f>
        <v>0</v>
      </c>
      <c r="AL5" s="1">
        <f>+'[2]2023 Korr med revekting pensjon'!BM5</f>
        <v>5.0875320564623108</v>
      </c>
      <c r="AM5" s="1">
        <f>+'[2]2023 Korr med revekting pensjon'!BT5</f>
        <v>0</v>
      </c>
      <c r="AN5" s="1">
        <f>+'[2]2023 Korr med revekting pensjon'!CA5</f>
        <v>0</v>
      </c>
      <c r="AO5" s="1"/>
      <c r="AP5" s="9">
        <f>SUM(AB5:AF5)+AG5</f>
        <v>96.201322643750359</v>
      </c>
      <c r="AQ5" s="1"/>
      <c r="AR5" s="9">
        <f>+'[2]2023 Korr med revekt premieavv'!J5</f>
        <v>-662.89771612027437</v>
      </c>
      <c r="AT5" s="9"/>
      <c r="AV5" s="9">
        <f>+C5+J5+Z5+AP5+AR5+AT5</f>
        <v>-3611.1737715086283</v>
      </c>
      <c r="AW5" s="1">
        <f>+AV5*'[2]2023 Nto driftsutg'!W5</f>
        <v>-2570859609.0648794</v>
      </c>
    </row>
    <row r="6" spans="1:49" x14ac:dyDescent="0.3">
      <c r="A6" s="41">
        <v>1100</v>
      </c>
      <c r="B6" s="42" t="s">
        <v>139</v>
      </c>
      <c r="C6" s="9">
        <f>+'[2]2023 Grunnlag korreksjoner'!C6*1000/'[2]2023 Nto driftsutg'!W6</f>
        <v>-107.97925674108305</v>
      </c>
      <c r="D6" s="1"/>
      <c r="E6" s="1">
        <f>+'2023 Nto driftsutg landet'!$C$5*'[2]2023 Revekting utgiftsbehov'!Z6-'2023 Nto driftsutg landet'!$C$5</f>
        <v>548.17830390375912</v>
      </c>
      <c r="F6" s="1">
        <f>+'2023 Nto driftsutg landet'!$C$6*'[2]2023 Revekting utgiftsbehov'!AA6-'2023 Nto driftsutg landet'!$C$6</f>
        <v>-403.75726052377581</v>
      </c>
      <c r="G6" s="1">
        <f>+'2023 Nto driftsutg landet'!$C$7*'[2]2023 Revekting utgiftsbehov'!AB6-'2023 Nto driftsutg landet'!$C$7</f>
        <v>-168.03306530729378</v>
      </c>
      <c r="H6" s="1">
        <f>+'2023 Nto driftsutg landet'!$C$8*'[2]2023 Revekting utgiftsbehov'!AC6-'2023 Nto driftsutg landet'!$C$8</f>
        <v>-264.54456326376288</v>
      </c>
      <c r="I6" s="1">
        <f>+'2023 Nto driftsutg landet'!$C$9*'[2]2023 Revekting utgiftsbehov'!AD6-'2023 Nto driftsutg landet'!$C$9</f>
        <v>10.774530271298772</v>
      </c>
      <c r="J6" s="9">
        <f t="shared" si="1"/>
        <v>-277.38205491977459</v>
      </c>
      <c r="L6" s="1">
        <f>'[2]2023 Korr med revekting arbavg'!I6</f>
        <v>52.689119234458268</v>
      </c>
      <c r="M6" s="1">
        <f>'[2]2023 Korr med revekting arbavg'!P6</f>
        <v>-11.018448621775503</v>
      </c>
      <c r="N6" s="1">
        <f>'[2]2023 Korr med revekting arbavg'!W6</f>
        <v>0.56405314290042552</v>
      </c>
      <c r="O6" s="1">
        <f>'[2]2023 Korr med revekting arbavg'!AD6</f>
        <v>0.10227557336517784</v>
      </c>
      <c r="P6" s="1">
        <f>'[2]2023 Korr med revekting arbavg'!AK6</f>
        <v>6.5374661882425418</v>
      </c>
      <c r="Q6" s="48">
        <f t="shared" si="2"/>
        <v>12.68006502964379</v>
      </c>
      <c r="R6" s="1"/>
      <c r="S6" s="1">
        <f>'[2]2023 Korr med revekting arbavg'!AR6</f>
        <v>11.583225473680683</v>
      </c>
      <c r="T6" s="1">
        <f>'[2]2023 Korr med revekting arbavg'!AY6</f>
        <v>0.6957404141877348</v>
      </c>
      <c r="U6" s="1">
        <f>'[2]2023 Korr med revekting arbavg'!BF6</f>
        <v>-4.2099226666867898E-2</v>
      </c>
      <c r="V6" s="1">
        <f>'[2]2023 Korr med revekting arbavg'!BM6</f>
        <v>0.46724922922931622</v>
      </c>
      <c r="W6" s="1">
        <f>'[2]2023 Korr med revekting arbavg'!BT6</f>
        <v>0</v>
      </c>
      <c r="X6" s="1">
        <f>'[2]2023 Korr med revekting arbavg'!CA6</f>
        <v>-2.4050860787075811E-2</v>
      </c>
      <c r="Y6" s="1"/>
      <c r="Z6" s="9">
        <f t="shared" ref="Z6:Z15" si="4">SUM(L6:P6)+Q6</f>
        <v>61.554530546834698</v>
      </c>
      <c r="AB6" s="1">
        <f>+'[2]2023 Korr med revekting pensjon'!I6</f>
        <v>50.526811254242766</v>
      </c>
      <c r="AC6" s="1">
        <f>+'[2]2023 Korr med revekting pensjon'!P6</f>
        <v>-20.412780125731203</v>
      </c>
      <c r="AD6" s="1">
        <f>+'[2]2023 Korr med revekting pensjon'!W6</f>
        <v>1.72326016474491</v>
      </c>
      <c r="AE6" s="1">
        <f>+'[2]2023 Korr med revekting pensjon'!AD6</f>
        <v>-0.12591244793790901</v>
      </c>
      <c r="AF6" s="1">
        <f>+'[2]2023 Korr med revekting pensjon'!AK6</f>
        <v>4.4242585693644862</v>
      </c>
      <c r="AG6" s="48">
        <f t="shared" si="3"/>
        <v>-77.080124044460007</v>
      </c>
      <c r="AH6" s="1"/>
      <c r="AI6" s="1">
        <f>+'[2]2023 Korr med revekting pensjon'!AR6</f>
        <v>-84.520544647134003</v>
      </c>
      <c r="AJ6" s="1">
        <f>+'[2]2023 Korr med revekting pensjon'!AY6</f>
        <v>6.0871497449255285</v>
      </c>
      <c r="AK6" s="1">
        <f>+'[2]2023 Korr med revekting pensjon'!BF6</f>
        <v>-0.24927915563131853</v>
      </c>
      <c r="AL6" s="1">
        <f>+'[2]2023 Korr med revekting pensjon'!BM6</f>
        <v>1.7791028288735455</v>
      </c>
      <c r="AM6" s="1">
        <f>+'[2]2023 Korr med revekting pensjon'!BT6</f>
        <v>0</v>
      </c>
      <c r="AN6" s="1">
        <f>+'[2]2023 Korr med revekting pensjon'!CA6</f>
        <v>-0.17655281549377005</v>
      </c>
      <c r="AO6" s="1"/>
      <c r="AP6" s="9">
        <f t="shared" ref="AP6:AP15" si="5">SUM(AB6:AF6)+AG6</f>
        <v>-40.944486629776961</v>
      </c>
      <c r="AQ6" s="1"/>
      <c r="AR6" s="9">
        <f>+'[2]2023 Korr med revekt premieavv'!J6</f>
        <v>59.51463619505445</v>
      </c>
      <c r="AT6" s="9"/>
      <c r="AV6" s="9">
        <f t="shared" ref="AV6:AV15" si="6">+C6+J6+Z6+AP6+AR6+AT6</f>
        <v>-305.23663154874544</v>
      </c>
      <c r="AW6" s="1">
        <f>+AV6*'[2]2023 Nto driftsutg'!W6</f>
        <v>-151258486.58082306</v>
      </c>
    </row>
    <row r="7" spans="1:49" x14ac:dyDescent="0.3">
      <c r="A7" s="41">
        <v>1500</v>
      </c>
      <c r="B7" s="42" t="s">
        <v>140</v>
      </c>
      <c r="C7" s="9">
        <f>+'[2]2023 Grunnlag korreksjoner'!C7*1000/'[2]2023 Nto driftsutg'!W7</f>
        <v>269.4312349449778</v>
      </c>
      <c r="D7" s="1"/>
      <c r="E7" s="1">
        <f>+'2023 Nto driftsutg landet'!$C$5*'[2]2023 Revekting utgiftsbehov'!Z7-'2023 Nto driftsutg landet'!$C$5</f>
        <v>699.90077430265774</v>
      </c>
      <c r="F7" s="1">
        <f>+'2023 Nto driftsutg landet'!$C$6*'[2]2023 Revekting utgiftsbehov'!AA7-'2023 Nto driftsutg landet'!$C$6</f>
        <v>1117.4516786980387</v>
      </c>
      <c r="G7" s="1">
        <f>+'2023 Nto driftsutg landet'!$C$7*'[2]2023 Revekting utgiftsbehov'!AB7-'2023 Nto driftsutg landet'!$C$7</f>
        <v>212.73862419139687</v>
      </c>
      <c r="H7" s="1">
        <f>+'2023 Nto driftsutg landet'!$C$8*'[2]2023 Revekting utgiftsbehov'!AC7-'2023 Nto driftsutg landet'!$C$8</f>
        <v>1996.2416019009106</v>
      </c>
      <c r="I7" s="1">
        <f>+'2023 Nto driftsutg landet'!$C$9*'[2]2023 Revekting utgiftsbehov'!AD7-'2023 Nto driftsutg landet'!$C$9</f>
        <v>50.010441460031416</v>
      </c>
      <c r="J7" s="9">
        <f t="shared" si="1"/>
        <v>4076.3431205530355</v>
      </c>
      <c r="L7" s="1">
        <f>'[2]2023 Korr med revekting arbavg'!I7</f>
        <v>29.037787602752616</v>
      </c>
      <c r="M7" s="1">
        <f>'[2]2023 Korr med revekting arbavg'!P7</f>
        <v>22.475663147571794</v>
      </c>
      <c r="N7" s="1">
        <f>'[2]2023 Korr med revekting arbavg'!W7</f>
        <v>1.3165300613334343</v>
      </c>
      <c r="O7" s="1">
        <f>'[2]2023 Korr med revekting arbavg'!AD7</f>
        <v>0.65613843754207424</v>
      </c>
      <c r="P7" s="1">
        <f>'[2]2023 Korr med revekting arbavg'!AK7</f>
        <v>0.36177955859631394</v>
      </c>
      <c r="Q7" s="48">
        <f t="shared" si="2"/>
        <v>10.718366117396371</v>
      </c>
      <c r="R7" s="1"/>
      <c r="S7" s="1">
        <f>'[2]2023 Korr med revekting arbavg'!AR7</f>
        <v>10.260260668387842</v>
      </c>
      <c r="T7" s="1">
        <f>'[2]2023 Korr med revekting arbavg'!AY7</f>
        <v>0.29037998284880912</v>
      </c>
      <c r="U7" s="1">
        <f>'[2]2023 Korr med revekting arbavg'!BF7</f>
        <v>-2.0626545718036581E-2</v>
      </c>
      <c r="V7" s="1">
        <f>'[2]2023 Korr med revekting arbavg'!BM7</f>
        <v>0.18835201187775788</v>
      </c>
      <c r="W7" s="1">
        <f>'[2]2023 Korr med revekting arbavg'!BT7</f>
        <v>0</v>
      </c>
      <c r="X7" s="1">
        <f>'[2]2023 Korr med revekting arbavg'!CA7</f>
        <v>0</v>
      </c>
      <c r="Y7" s="1"/>
      <c r="Z7" s="9">
        <f t="shared" si="4"/>
        <v>64.566264925192598</v>
      </c>
      <c r="AB7" s="1">
        <f>+'[2]2023 Korr med revekting pensjon'!I7</f>
        <v>97.354293033143392</v>
      </c>
      <c r="AC7" s="1">
        <f>+'[2]2023 Korr med revekting pensjon'!P7</f>
        <v>56.852378277667995</v>
      </c>
      <c r="AD7" s="1">
        <f>+'[2]2023 Korr med revekting pensjon'!W7</f>
        <v>3.7422291273086201</v>
      </c>
      <c r="AE7" s="1">
        <f>+'[2]2023 Korr med revekting pensjon'!AD7</f>
        <v>0.3097759291328393</v>
      </c>
      <c r="AF7" s="1">
        <f>+'[2]2023 Korr med revekting pensjon'!AK7</f>
        <v>16.856506542334284</v>
      </c>
      <c r="AG7" s="48">
        <f t="shared" si="3"/>
        <v>-73.20916038635383</v>
      </c>
      <c r="AH7" s="1"/>
      <c r="AI7" s="1">
        <f>+'[2]2023 Korr med revekting pensjon'!AR7</f>
        <v>-77.368684048112044</v>
      </c>
      <c r="AJ7" s="1">
        <f>+'[2]2023 Korr med revekting pensjon'!AY7</f>
        <v>1.9776596870666976</v>
      </c>
      <c r="AK7" s="1">
        <f>+'[2]2023 Korr med revekting pensjon'!BF7</f>
        <v>-0.2307258830720845</v>
      </c>
      <c r="AL7" s="1">
        <f>+'[2]2023 Korr med revekting pensjon'!BM7</f>
        <v>2.4125898577636113</v>
      </c>
      <c r="AM7" s="1">
        <f>+'[2]2023 Korr med revekting pensjon'!BT7</f>
        <v>0</v>
      </c>
      <c r="AN7" s="1">
        <f>+'[2]2023 Korr med revekting pensjon'!CA7</f>
        <v>0</v>
      </c>
      <c r="AO7" s="1"/>
      <c r="AP7" s="9">
        <f t="shared" si="5"/>
        <v>101.90602252323328</v>
      </c>
      <c r="AQ7" s="1"/>
      <c r="AR7" s="9">
        <f>+'[2]2023 Korr med revekt premieavv'!J7</f>
        <v>-35.175481583448402</v>
      </c>
      <c r="AT7" s="9"/>
      <c r="AV7" s="9">
        <f t="shared" si="6"/>
        <v>4477.071161362991</v>
      </c>
      <c r="AW7" s="1">
        <f>+AV7*'[2]2023 Nto driftsutg'!W7</f>
        <v>1205066382.0771081</v>
      </c>
    </row>
    <row r="8" spans="1:49" x14ac:dyDescent="0.3">
      <c r="A8" s="41">
        <v>1800</v>
      </c>
      <c r="B8" s="42" t="s">
        <v>141</v>
      </c>
      <c r="C8" s="9">
        <f>+'[2]2023 Grunnlag korreksjoner'!C8*1000/'[2]2023 Nto driftsutg'!W8</f>
        <v>426.23145482521909</v>
      </c>
      <c r="D8" s="1"/>
      <c r="E8" s="1">
        <f>+'2023 Nto driftsutg landet'!$C$5*'[2]2023 Revekting utgiftsbehov'!Z8-'2023 Nto driftsutg landet'!$C$5</f>
        <v>603.7044993481959</v>
      </c>
      <c r="F8" s="1">
        <f>+'2023 Nto driftsutg landet'!$C$6*'[2]2023 Revekting utgiftsbehov'!AA8-'2023 Nto driftsutg landet'!$C$6</f>
        <v>1888.2527170920487</v>
      </c>
      <c r="G8" s="1">
        <f>+'2023 Nto driftsutg landet'!$C$7*'[2]2023 Revekting utgiftsbehov'!AB8-'2023 Nto driftsutg landet'!$C$7</f>
        <v>1036.502346343706</v>
      </c>
      <c r="H8" s="1">
        <f>+'2023 Nto driftsutg landet'!$C$8*'[2]2023 Revekting utgiftsbehov'!AC8-'2023 Nto driftsutg landet'!$C$8</f>
        <v>3204.1437202197963</v>
      </c>
      <c r="I8" s="1">
        <f>+'2023 Nto driftsutg landet'!$C$9*'[2]2023 Revekting utgiftsbehov'!AD8-'2023 Nto driftsutg landet'!$C$9</f>
        <v>99.763480321881843</v>
      </c>
      <c r="J8" s="9">
        <f t="shared" si="1"/>
        <v>6832.3667633256282</v>
      </c>
      <c r="L8" s="1">
        <f>'[2]2023 Korr med revekting arbavg'!I8</f>
        <v>-340.12405256722741</v>
      </c>
      <c r="M8" s="1">
        <f>'[2]2023 Korr med revekting arbavg'!P8</f>
        <v>-42.621253064532283</v>
      </c>
      <c r="N8" s="1">
        <f>'[2]2023 Korr med revekting arbavg'!W8</f>
        <v>-4.0658577305602766</v>
      </c>
      <c r="O8" s="1">
        <f>'[2]2023 Korr med revekting arbavg'!AD8</f>
        <v>-0.5713581752945085</v>
      </c>
      <c r="P8" s="1">
        <f>'[2]2023 Korr med revekting arbavg'!AK8</f>
        <v>-31.694480285384508</v>
      </c>
      <c r="Q8" s="48">
        <f t="shared" si="2"/>
        <v>-30.530735807525904</v>
      </c>
      <c r="R8" s="1"/>
      <c r="S8" s="1">
        <f>'[2]2023 Korr med revekting arbavg'!AR8</f>
        <v>-24.319676607356044</v>
      </c>
      <c r="T8" s="1">
        <f>'[2]2023 Korr med revekting arbavg'!AY8</f>
        <v>-4.0257977065586736</v>
      </c>
      <c r="U8" s="1">
        <f>'[2]2023 Korr med revekting arbavg'!BF8</f>
        <v>0.29863097439263747</v>
      </c>
      <c r="V8" s="1">
        <f>'[2]2023 Korr med revekting arbavg'!BM8</f>
        <v>-2.4838924680038228</v>
      </c>
      <c r="W8" s="1">
        <f>'[2]2023 Korr med revekting arbavg'!BT8</f>
        <v>0</v>
      </c>
      <c r="X8" s="1">
        <f>'[2]2023 Korr med revekting arbavg'!CA8</f>
        <v>0</v>
      </c>
      <c r="Y8" s="1"/>
      <c r="Z8" s="9">
        <f t="shared" si="4"/>
        <v>-449.60773763052487</v>
      </c>
      <c r="AB8" s="1">
        <f>+'[2]2023 Korr med revekting pensjon'!I8</f>
        <v>89.58451876783657</v>
      </c>
      <c r="AC8" s="1">
        <f>+'[2]2023 Korr med revekting pensjon'!P8</f>
        <v>28.523490297794115</v>
      </c>
      <c r="AD8" s="1">
        <f>+'[2]2023 Korr med revekting pensjon'!W8</f>
        <v>5.5613983544938881</v>
      </c>
      <c r="AE8" s="1">
        <f>+'[2]2023 Korr med revekting pensjon'!AD8</f>
        <v>1.2352058798105245</v>
      </c>
      <c r="AF8" s="1">
        <f>+'[2]2023 Korr med revekting pensjon'!AK8</f>
        <v>29.149146004268228</v>
      </c>
      <c r="AG8" s="48">
        <f t="shared" si="3"/>
        <v>-54.191189572391551</v>
      </c>
      <c r="AH8" s="1"/>
      <c r="AI8" s="1">
        <f>+'[2]2023 Korr med revekting pensjon'!AR8</f>
        <v>-58.303837213948974</v>
      </c>
      <c r="AJ8" s="1">
        <f>+'[2]2023 Korr med revekting pensjon'!AY8</f>
        <v>1.5596248862874549</v>
      </c>
      <c r="AK8" s="1">
        <f>+'[2]2023 Korr med revekting pensjon'!BF8</f>
        <v>-0.37988582930153503</v>
      </c>
      <c r="AL8" s="1">
        <f>+'[2]2023 Korr med revekting pensjon'!BM8</f>
        <v>2.9329085845715102</v>
      </c>
      <c r="AM8" s="1">
        <f>+'[2]2023 Korr med revekting pensjon'!BT8</f>
        <v>0</v>
      </c>
      <c r="AN8" s="1">
        <f>+'[2]2023 Korr med revekting pensjon'!CA8</f>
        <v>0</v>
      </c>
      <c r="AO8" s="1"/>
      <c r="AP8" s="9">
        <f t="shared" si="5"/>
        <v>99.86256973181176</v>
      </c>
      <c r="AQ8" s="1"/>
      <c r="AR8" s="9">
        <f>+'[2]2023 Korr med revekt premieavv'!J8</f>
        <v>3.2645082027318431</v>
      </c>
      <c r="AT8" s="9"/>
      <c r="AV8" s="9">
        <f t="shared" si="6"/>
        <v>6912.1175584548664</v>
      </c>
      <c r="AW8" s="1">
        <f>+AV8*'[2]2023 Nto driftsutg'!W8</f>
        <v>1672455964.4437394</v>
      </c>
    </row>
    <row r="9" spans="1:49" x14ac:dyDescent="0.3">
      <c r="A9" s="41">
        <v>3000</v>
      </c>
      <c r="B9" s="42" t="s">
        <v>403</v>
      </c>
      <c r="C9" s="9">
        <f>+'[2]2023 Grunnlag korreksjoner'!C9*1000/'[2]2023 Nto driftsutg'!W9</f>
        <v>-145.08075168592168</v>
      </c>
      <c r="D9" s="1"/>
      <c r="E9" s="1">
        <f>+'2023 Nto driftsutg landet'!$C$5*'[2]2023 Revekting utgiftsbehov'!Z9-'2023 Nto driftsutg landet'!$C$5</f>
        <v>77.469158277857787</v>
      </c>
      <c r="F9" s="1">
        <f>+'2023 Nto driftsutg landet'!$C$6*'[2]2023 Revekting utgiftsbehov'!AA9-'2023 Nto driftsutg landet'!$C$6</f>
        <v>-792.42138328105329</v>
      </c>
      <c r="G9" s="1">
        <f>+'2023 Nto driftsutg landet'!$C$7*'[2]2023 Revekting utgiftsbehov'!AB9-'2023 Nto driftsutg landet'!$C$7</f>
        <v>-1013.2688224897711</v>
      </c>
      <c r="H9" s="1">
        <f>+'2023 Nto driftsutg landet'!$C$8*'[2]2023 Revekting utgiftsbehov'!AC9-'2023 Nto driftsutg landet'!$C$8</f>
        <v>-733.33725871579713</v>
      </c>
      <c r="I9" s="1">
        <f>+'2023 Nto driftsutg landet'!$C$9*'[2]2023 Revekting utgiftsbehov'!AD9-'2023 Nto driftsutg landet'!$C$9</f>
        <v>-21.996568353007547</v>
      </c>
      <c r="J9" s="9">
        <f t="shared" si="1"/>
        <v>-2483.5548745617712</v>
      </c>
      <c r="L9" s="1">
        <f>'[2]2023 Korr med revekting arbavg'!I9</f>
        <v>63.597928827574776</v>
      </c>
      <c r="M9" s="1">
        <f>'[2]2023 Korr med revekting arbavg'!P9</f>
        <v>3.7596244112094768</v>
      </c>
      <c r="N9" s="1">
        <f>'[2]2023 Korr med revekting arbavg'!W9</f>
        <v>0.15600710553995367</v>
      </c>
      <c r="O9" s="1">
        <f>'[2]2023 Korr med revekting arbavg'!AD9</f>
        <v>0</v>
      </c>
      <c r="P9" s="1">
        <f>'[2]2023 Korr med revekting arbavg'!AK9</f>
        <v>5.9889667847064798</v>
      </c>
      <c r="Q9" s="48">
        <f t="shared" si="2"/>
        <v>-30.896438251919925</v>
      </c>
      <c r="R9" s="1"/>
      <c r="S9" s="1">
        <f>'[2]2023 Korr med revekting arbavg'!AR9</f>
        <v>-32.098074667801605</v>
      </c>
      <c r="T9" s="1">
        <f>'[2]2023 Korr med revekting arbavg'!AY9</f>
        <v>0.77946454885653516</v>
      </c>
      <c r="U9" s="1">
        <f>'[2]2023 Korr med revekting arbavg'!BF9</f>
        <v>-7.6876003036193144E-2</v>
      </c>
      <c r="V9" s="1">
        <f>'[2]2023 Korr med revekting arbavg'!BM9</f>
        <v>0.50613257922647104</v>
      </c>
      <c r="W9" s="1">
        <f>'[2]2023 Korr med revekting arbavg'!BT9</f>
        <v>4.187712986532117E-3</v>
      </c>
      <c r="X9" s="1">
        <f>'[2]2023 Korr med revekting arbavg'!CA9</f>
        <v>-1.1272422151664085E-2</v>
      </c>
      <c r="Y9" s="1"/>
      <c r="Z9" s="9">
        <f t="shared" si="4"/>
        <v>42.606088877110757</v>
      </c>
      <c r="AB9" s="1">
        <f>+'[2]2023 Korr med revekting pensjon'!I9</f>
        <v>-118.39275612815726</v>
      </c>
      <c r="AC9" s="1">
        <f>+'[2]2023 Korr med revekting pensjon'!P9</f>
        <v>-19.476616035427313</v>
      </c>
      <c r="AD9" s="1">
        <f>+'[2]2023 Korr med revekting pensjon'!W9</f>
        <v>-1.4135278658136174</v>
      </c>
      <c r="AE9" s="1">
        <f>+'[2]2023 Korr med revekting pensjon'!AD9</f>
        <v>0</v>
      </c>
      <c r="AF9" s="1">
        <f>+'[2]2023 Korr med revekting pensjon'!AK9</f>
        <v>-38.084656143150873</v>
      </c>
      <c r="AG9" s="48">
        <f t="shared" si="3"/>
        <v>199.6514097226069</v>
      </c>
      <c r="AH9" s="1"/>
      <c r="AI9" s="1">
        <f>+'[2]2023 Korr med revekting pensjon'!AR9</f>
        <v>208.45004421729365</v>
      </c>
      <c r="AJ9" s="1">
        <f>+'[2]2023 Korr med revekting pensjon'!AY9</f>
        <v>-6.1858344362803832</v>
      </c>
      <c r="AK9" s="1">
        <f>+'[2]2023 Korr med revekting pensjon'!BF9</f>
        <v>0.38182369719301579</v>
      </c>
      <c r="AL9" s="1">
        <f>+'[2]2023 Korr med revekting pensjon'!BM9</f>
        <v>-3.3102704643254355</v>
      </c>
      <c r="AM9" s="1">
        <f>+'[2]2023 Korr med revekting pensjon'!BT9</f>
        <v>-5.4935444625606152E-3</v>
      </c>
      <c r="AN9" s="1">
        <f>+'[2]2023 Korr med revekting pensjon'!CA9</f>
        <v>0.32114025318858991</v>
      </c>
      <c r="AO9" s="1"/>
      <c r="AP9" s="9">
        <f t="shared" si="5"/>
        <v>22.283853550057842</v>
      </c>
      <c r="AQ9" s="1"/>
      <c r="AR9" s="9">
        <f>+'[2]2023 Korr med revekt premieavv'!J9</f>
        <v>97.031600270738252</v>
      </c>
      <c r="AT9" s="9"/>
      <c r="AV9" s="9">
        <f t="shared" si="6"/>
        <v>-2466.7140835497862</v>
      </c>
      <c r="AW9" s="1">
        <f>+AV9*'[2]2023 Nto driftsutg'!W9</f>
        <v>-3206965113.1667428</v>
      </c>
    </row>
    <row r="10" spans="1:49" x14ac:dyDescent="0.3">
      <c r="A10" s="41">
        <v>3400</v>
      </c>
      <c r="B10" s="42" t="s">
        <v>404</v>
      </c>
      <c r="C10" s="9">
        <f>+'[2]2023 Grunnlag korreksjoner'!C10*1000/'[2]2023 Nto driftsutg'!W10</f>
        <v>195.92468174292091</v>
      </c>
      <c r="D10" s="1"/>
      <c r="E10" s="1">
        <f>+'2023 Nto driftsutg landet'!$C$5*'[2]2023 Revekting utgiftsbehov'!Z10-'2023 Nto driftsutg landet'!$C$5</f>
        <v>44.142427589253202</v>
      </c>
      <c r="F10" s="1">
        <f>+'2023 Nto driftsutg landet'!$C$6*'[2]2023 Revekting utgiftsbehov'!AA10-'2023 Nto driftsutg landet'!$C$6</f>
        <v>1041.464824429783</v>
      </c>
      <c r="G10" s="1">
        <f>+'2023 Nto driftsutg landet'!$C$7*'[2]2023 Revekting utgiftsbehov'!AB10-'2023 Nto driftsutg landet'!$C$7</f>
        <v>-166.23918115611423</v>
      </c>
      <c r="H10" s="1">
        <f>+'2023 Nto driftsutg landet'!$C$8*'[2]2023 Revekting utgiftsbehov'!AC10-'2023 Nto driftsutg landet'!$C$8</f>
        <v>-708.27326231486484</v>
      </c>
      <c r="I10" s="1">
        <f>+'2023 Nto driftsutg landet'!$C$9*'[2]2023 Revekting utgiftsbehov'!AD10-'2023 Nto driftsutg landet'!$C$9</f>
        <v>13.447260882970568</v>
      </c>
      <c r="J10" s="9">
        <f t="shared" si="1"/>
        <v>224.5420694310277</v>
      </c>
      <c r="L10" s="1">
        <f>'[2]2023 Korr med revekting arbavg'!I10</f>
        <v>-16.813868670400307</v>
      </c>
      <c r="M10" s="1">
        <f>'[2]2023 Korr med revekting arbavg'!P10</f>
        <v>-25.593086029467319</v>
      </c>
      <c r="N10" s="1">
        <f>'[2]2023 Korr med revekting arbavg'!W10</f>
        <v>0.43800969820412344</v>
      </c>
      <c r="O10" s="1">
        <f>'[2]2023 Korr med revekting arbavg'!AD10</f>
        <v>1.0493639004220451E-2</v>
      </c>
      <c r="P10" s="1">
        <f>'[2]2023 Korr med revekting arbavg'!AK10</f>
        <v>-1.3730170049344332</v>
      </c>
      <c r="Q10" s="48">
        <f t="shared" si="2"/>
        <v>11.897316143256504</v>
      </c>
      <c r="R10" s="1"/>
      <c r="S10" s="1">
        <f>'[2]2023 Korr med revekting arbavg'!AR10</f>
        <v>10.892570826456817</v>
      </c>
      <c r="T10" s="1">
        <f>'[2]2023 Korr med revekting arbavg'!AY10</f>
        <v>0.64625386875411794</v>
      </c>
      <c r="U10" s="1">
        <f>'[2]2023 Korr med revekting arbavg'!BF10</f>
        <v>-3.8375251141337358E-2</v>
      </c>
      <c r="V10" s="1">
        <f>'[2]2023 Korr med revekting arbavg'!BM10</f>
        <v>0.40671264588035722</v>
      </c>
      <c r="W10" s="1">
        <f>'[2]2023 Korr med revekting arbavg'!BT10</f>
        <v>0</v>
      </c>
      <c r="X10" s="1">
        <f>'[2]2023 Korr med revekting arbavg'!CA10</f>
        <v>-9.84594669345038E-3</v>
      </c>
      <c r="Y10" s="1"/>
      <c r="Z10" s="9">
        <f t="shared" si="4"/>
        <v>-31.434152224337211</v>
      </c>
      <c r="AB10" s="1">
        <f>+'[2]2023 Korr med revekting pensjon'!I10</f>
        <v>65.751185180847145</v>
      </c>
      <c r="AC10" s="1">
        <f>+'[2]2023 Korr med revekting pensjon'!P10</f>
        <v>-16.79057944026507</v>
      </c>
      <c r="AD10" s="1">
        <f>+'[2]2023 Korr med revekting pensjon'!W10</f>
        <v>4.596012856329291</v>
      </c>
      <c r="AE10" s="1">
        <f>+'[2]2023 Korr med revekting pensjon'!AD10</f>
        <v>-3.3912516165307958E-2</v>
      </c>
      <c r="AF10" s="1">
        <f>+'[2]2023 Korr med revekting pensjon'!AK10</f>
        <v>26.983400987871757</v>
      </c>
      <c r="AG10" s="48">
        <f t="shared" si="3"/>
        <v>-69.038740376276323</v>
      </c>
      <c r="AH10" s="1"/>
      <c r="AI10" s="1">
        <f>+'[2]2023 Korr med revekting pensjon'!AR10</f>
        <v>-76.065229736694334</v>
      </c>
      <c r="AJ10" s="1">
        <f>+'[2]2023 Korr med revekting pensjon'!AY10</f>
        <v>12.002995166054514</v>
      </c>
      <c r="AK10" s="1">
        <f>+'[2]2023 Korr med revekting pensjon'!BF10</f>
        <v>-0.46764720416679068</v>
      </c>
      <c r="AL10" s="1">
        <f>+'[2]2023 Korr med revekting pensjon'!BM10</f>
        <v>-3.3691997621124012</v>
      </c>
      <c r="AM10" s="1">
        <f>+'[2]2023 Korr med revekting pensjon'!BT10</f>
        <v>0</v>
      </c>
      <c r="AN10" s="1">
        <f>+'[2]2023 Korr med revekting pensjon'!CA10</f>
        <v>-1.1396588393573055</v>
      </c>
      <c r="AO10" s="1"/>
      <c r="AP10" s="9">
        <f t="shared" si="5"/>
        <v>11.467366692341486</v>
      </c>
      <c r="AQ10" s="1"/>
      <c r="AR10" s="9">
        <f>+'[2]2023 Korr med revekt premieavv'!J10</f>
        <v>-47.830979925122477</v>
      </c>
      <c r="AT10" s="9"/>
      <c r="AV10" s="9">
        <f t="shared" si="6"/>
        <v>352.66898571683043</v>
      </c>
      <c r="AW10" s="1">
        <f>+AV10*'[2]2023 Nto driftsutg'!W10</f>
        <v>132118266.10518189</v>
      </c>
    </row>
    <row r="11" spans="1:49" x14ac:dyDescent="0.3">
      <c r="A11" s="41">
        <v>3800</v>
      </c>
      <c r="B11" s="42" t="s">
        <v>405</v>
      </c>
      <c r="C11" s="9">
        <f>+'[2]2023 Grunnlag korreksjoner'!C11*1000/'[2]2023 Nto driftsutg'!W11</f>
        <v>72.880798099688477</v>
      </c>
      <c r="D11" s="1"/>
      <c r="E11" s="1">
        <f>+'2023 Nto driftsutg landet'!$C$5*'[2]2023 Revekting utgiftsbehov'!Z11-'2023 Nto driftsutg landet'!$C$5</f>
        <v>174.71843825916039</v>
      </c>
      <c r="F11" s="1">
        <f>+'2023 Nto driftsutg landet'!$C$6*'[2]2023 Revekting utgiftsbehov'!AA11-'2023 Nto driftsutg landet'!$C$6</f>
        <v>-245.97813488700922</v>
      </c>
      <c r="G11" s="1">
        <f>+'2023 Nto driftsutg landet'!$C$7*'[2]2023 Revekting utgiftsbehov'!AB11-'2023 Nto driftsutg landet'!$C$7</f>
        <v>-971.31732477872038</v>
      </c>
      <c r="H11" s="1">
        <f>+'2023 Nto driftsutg landet'!$C$8*'[2]2023 Revekting utgiftsbehov'!AC11-'2023 Nto driftsutg landet'!$C$8</f>
        <v>-651.71055338357394</v>
      </c>
      <c r="I11" s="1">
        <f>+'2023 Nto driftsutg landet'!$C$9*'[2]2023 Revekting utgiftsbehov'!AD11-'2023 Nto driftsutg landet'!$C$9</f>
        <v>-21.557654660937146</v>
      </c>
      <c r="J11" s="9">
        <f t="shared" si="1"/>
        <v>-1715.8452294510803</v>
      </c>
      <c r="L11" s="1">
        <f>'[2]2023 Korr med revekting arbavg'!I11</f>
        <v>45.990493203645293</v>
      </c>
      <c r="M11" s="1">
        <f>'[2]2023 Korr med revekting arbavg'!P11</f>
        <v>-11.93030743053427</v>
      </c>
      <c r="N11" s="1">
        <f>'[2]2023 Korr med revekting arbavg'!W11</f>
        <v>0.33735873043542769</v>
      </c>
      <c r="O11" s="1">
        <f>'[2]2023 Korr med revekting arbavg'!AD11</f>
        <v>0</v>
      </c>
      <c r="P11" s="1">
        <f>'[2]2023 Korr med revekting arbavg'!AK11</f>
        <v>4.9604609080459108</v>
      </c>
      <c r="Q11" s="48">
        <f t="shared" si="2"/>
        <v>11.831284827289416</v>
      </c>
      <c r="R11" s="1"/>
      <c r="S11" s="1">
        <f>'[2]2023 Korr med revekting arbavg'!AR11</f>
        <v>11.304375578778838</v>
      </c>
      <c r="T11" s="1">
        <f>'[2]2023 Korr med revekting arbavg'!AY11</f>
        <v>0.30238480659768285</v>
      </c>
      <c r="U11" s="1">
        <f>'[2]2023 Korr med revekting arbavg'!BF11</f>
        <v>-7.918865541797071E-2</v>
      </c>
      <c r="V11" s="1">
        <f>'[2]2023 Korr med revekting arbavg'!BM11</f>
        <v>0.36742286476413166</v>
      </c>
      <c r="W11" s="1">
        <f>'[2]2023 Korr med revekting arbavg'!BT11</f>
        <v>-1.2629067538241324E-2</v>
      </c>
      <c r="X11" s="1">
        <f>'[2]2023 Korr med revekting arbavg'!CA11</f>
        <v>-5.1080699895024818E-2</v>
      </c>
      <c r="Y11" s="1"/>
      <c r="Z11" s="9">
        <f t="shared" si="4"/>
        <v>51.189290238881775</v>
      </c>
      <c r="AB11" s="1">
        <f>+'[2]2023 Korr med revekting pensjon'!I11</f>
        <v>141.63951561792305</v>
      </c>
      <c r="AC11" s="1">
        <f>+'[2]2023 Korr med revekting pensjon'!P11</f>
        <v>-18.555155908568153</v>
      </c>
      <c r="AD11" s="1">
        <f>+'[2]2023 Korr med revekting pensjon'!W11</f>
        <v>1.2268866073978242</v>
      </c>
      <c r="AE11" s="1">
        <f>+'[2]2023 Korr med revekting pensjon'!AD11</f>
        <v>0</v>
      </c>
      <c r="AF11" s="1">
        <f>+'[2]2023 Korr med revekting pensjon'!AK11</f>
        <v>25.23791556691549</v>
      </c>
      <c r="AG11" s="48">
        <f t="shared" si="3"/>
        <v>-64.240512945758255</v>
      </c>
      <c r="AH11" s="1"/>
      <c r="AI11" s="1">
        <f>+'[2]2023 Korr med revekting pensjon'!AR11</f>
        <v>-66.879644851552413</v>
      </c>
      <c r="AJ11" s="1">
        <f>+'[2]2023 Korr med revekting pensjon'!AY11</f>
        <v>0.45342017608184182</v>
      </c>
      <c r="AK11" s="1">
        <f>+'[2]2023 Korr med revekting pensjon'!BF11</f>
        <v>-0.36099768021348044</v>
      </c>
      <c r="AL11" s="1">
        <f>+'[2]2023 Korr med revekting pensjon'!BM11</f>
        <v>2.425313326546068</v>
      </c>
      <c r="AM11" s="1">
        <f>+'[2]2023 Korr med revekting pensjon'!BT11</f>
        <v>1.656712011189251E-2</v>
      </c>
      <c r="AN11" s="1">
        <f>+'[2]2023 Korr med revekting pensjon'!CA11</f>
        <v>0.10482896326785165</v>
      </c>
      <c r="AO11" s="1"/>
      <c r="AP11" s="9">
        <f t="shared" si="5"/>
        <v>85.30864893790995</v>
      </c>
      <c r="AQ11" s="1"/>
      <c r="AR11" s="9">
        <f>+'[2]2023 Korr med revekt premieavv'!J11</f>
        <v>-50.772822063059962</v>
      </c>
      <c r="AT11" s="9"/>
      <c r="AV11" s="9">
        <f t="shared" si="6"/>
        <v>-1557.23931423766</v>
      </c>
      <c r="AW11" s="1">
        <f>+AV11*'[2]2023 Nto driftsutg'!W11</f>
        <v>-671330540.08579791</v>
      </c>
    </row>
    <row r="12" spans="1:49" x14ac:dyDescent="0.3">
      <c r="A12" s="41">
        <v>4200</v>
      </c>
      <c r="B12" s="42" t="s">
        <v>406</v>
      </c>
      <c r="C12" s="9">
        <f>+'[2]2023 Grunnlag korreksjoner'!C12*1000/'[2]2023 Nto driftsutg'!W12</f>
        <v>92.442255084014803</v>
      </c>
      <c r="D12" s="1"/>
      <c r="E12" s="1">
        <f>+'2023 Nto driftsutg landet'!$C$5*'[2]2023 Revekting utgiftsbehov'!Z12-'2023 Nto driftsutg landet'!$C$5</f>
        <v>596.14328713390842</v>
      </c>
      <c r="F12" s="1">
        <f>+'2023 Nto driftsutg landet'!$C$6*'[2]2023 Revekting utgiftsbehov'!AA12-'2023 Nto driftsutg landet'!$C$6</f>
        <v>445.11235298832094</v>
      </c>
      <c r="G12" s="1">
        <f>+'2023 Nto driftsutg landet'!$C$7*'[2]2023 Revekting utgiftsbehov'!AB12-'2023 Nto driftsutg landet'!$C$7</f>
        <v>-642.60740415482996</v>
      </c>
      <c r="H12" s="1">
        <f>+'2023 Nto driftsutg landet'!$C$8*'[2]2023 Revekting utgiftsbehov'!AC12-'2023 Nto driftsutg landet'!$C$8</f>
        <v>-652.98878679213999</v>
      </c>
      <c r="I12" s="1">
        <f>+'2023 Nto driftsutg landet'!$C$9*'[2]2023 Revekting utgiftsbehov'!AD12-'2023 Nto driftsutg landet'!$C$9</f>
        <v>24.111329182908094</v>
      </c>
      <c r="J12" s="9">
        <f t="shared" si="1"/>
        <v>-230.22922164183251</v>
      </c>
      <c r="L12" s="1">
        <f>'[2]2023 Korr med revekting arbavg'!I12</f>
        <v>52.024544370473087</v>
      </c>
      <c r="M12" s="1">
        <f>'[2]2023 Korr med revekting arbavg'!P12</f>
        <v>-1.3561692599936066</v>
      </c>
      <c r="N12" s="1">
        <f>'[2]2023 Korr med revekting arbavg'!W12</f>
        <v>0.9651029209221601</v>
      </c>
      <c r="O12" s="1">
        <f>'[2]2023 Korr med revekting arbavg'!AD12</f>
        <v>2.1171670252327215E-2</v>
      </c>
      <c r="P12" s="1">
        <f>'[2]2023 Korr med revekting arbavg'!AK12</f>
        <v>5.4613298137119735</v>
      </c>
      <c r="Q12" s="48">
        <f t="shared" si="2"/>
        <v>-0.58084869199796185</v>
      </c>
      <c r="R12" s="1"/>
      <c r="S12" s="1">
        <f>'[2]2023 Korr med revekting arbavg'!AR12</f>
        <v>-1.7141195757075085</v>
      </c>
      <c r="T12" s="1">
        <f>'[2]2023 Korr med revekting arbavg'!AY12</f>
        <v>0.72998108128851136</v>
      </c>
      <c r="U12" s="1">
        <f>'[2]2023 Korr med revekting arbavg'!BF12</f>
        <v>-3.0479588926259953E-2</v>
      </c>
      <c r="V12" s="1">
        <f>'[2]2023 Korr med revekting arbavg'!BM12</f>
        <v>0.44087552824775705</v>
      </c>
      <c r="W12" s="1">
        <f>'[2]2023 Korr med revekting arbavg'!BT12</f>
        <v>0</v>
      </c>
      <c r="X12" s="1">
        <f>'[2]2023 Korr med revekting arbavg'!CA12</f>
        <v>-7.1061369004616869E-3</v>
      </c>
      <c r="Y12" s="1"/>
      <c r="Z12" s="9">
        <f t="shared" si="4"/>
        <v>56.535130823367986</v>
      </c>
      <c r="AB12" s="1">
        <f>+'[2]2023 Korr med revekting pensjon'!I12</f>
        <v>8.8084191559337501</v>
      </c>
      <c r="AC12" s="1">
        <f>+'[2]2023 Korr med revekting pensjon'!P12</f>
        <v>-6.1284461151026193</v>
      </c>
      <c r="AD12" s="1">
        <f>+'[2]2023 Korr med revekting pensjon'!W12</f>
        <v>-1.466075945026112</v>
      </c>
      <c r="AE12" s="1">
        <f>+'[2]2023 Korr med revekting pensjon'!AD12</f>
        <v>-3.9862737489032407E-2</v>
      </c>
      <c r="AF12" s="1">
        <f>+'[2]2023 Korr med revekting pensjon'!AK12</f>
        <v>8.5042824388110088</v>
      </c>
      <c r="AG12" s="48">
        <f t="shared" si="3"/>
        <v>5.7299395118890581</v>
      </c>
      <c r="AH12" s="1"/>
      <c r="AI12" s="1">
        <f>+'[2]2023 Korr med revekting pensjon'!AR12</f>
        <v>6.0544998432027048</v>
      </c>
      <c r="AJ12" s="1">
        <f>+'[2]2023 Korr med revekting pensjon'!AY12</f>
        <v>-0.75949299953872451</v>
      </c>
      <c r="AK12" s="1">
        <f>+'[2]2023 Korr med revekting pensjon'!BF12</f>
        <v>-0.12643525889071003</v>
      </c>
      <c r="AL12" s="1">
        <f>+'[2]2023 Korr med revekting pensjon'!BM12</f>
        <v>0.45601290004012374</v>
      </c>
      <c r="AM12" s="1">
        <f>+'[2]2023 Korr med revekting pensjon'!BT12</f>
        <v>0</v>
      </c>
      <c r="AN12" s="1">
        <f>+'[2]2023 Korr med revekting pensjon'!CA12</f>
        <v>0.10535502707566413</v>
      </c>
      <c r="AO12" s="1"/>
      <c r="AP12" s="9">
        <f t="shared" si="5"/>
        <v>15.408256309016053</v>
      </c>
      <c r="AQ12" s="1"/>
      <c r="AR12" s="9">
        <f>+'[2]2023 Korr med revekt premieavv'!J12</f>
        <v>-95.574512216158084</v>
      </c>
      <c r="AT12" s="9"/>
      <c r="AV12" s="9">
        <f t="shared" si="6"/>
        <v>-161.41809164159179</v>
      </c>
      <c r="AW12" s="1">
        <f>+AV12*'[2]2023 Nto driftsutg'!W12</f>
        <v>-51241204.683073461</v>
      </c>
    </row>
    <row r="13" spans="1:49" x14ac:dyDescent="0.3">
      <c r="A13" s="41">
        <v>4600</v>
      </c>
      <c r="B13" s="42" t="s">
        <v>407</v>
      </c>
      <c r="C13" s="9">
        <f>+'[2]2023 Grunnlag korreksjoner'!C13*1000/'[2]2023 Nto driftsutg'!W13</f>
        <v>-165.84764836776489</v>
      </c>
      <c r="D13" s="1"/>
      <c r="E13" s="1">
        <f>+'2023 Nto driftsutg landet'!$C$5*'[2]2023 Revekting utgiftsbehov'!Z13-'2023 Nto driftsutg landet'!$C$5</f>
        <v>345.64913139261989</v>
      </c>
      <c r="F13" s="1">
        <f>+'2023 Nto driftsutg landet'!$C$6*'[2]2023 Revekting utgiftsbehov'!AA13-'2023 Nto driftsutg landet'!$C$6</f>
        <v>602.65250097145986</v>
      </c>
      <c r="G13" s="1">
        <f>+'2023 Nto driftsutg landet'!$C$7*'[2]2023 Revekting utgiftsbehov'!AB13-'2023 Nto driftsutg landet'!$C$7</f>
        <v>188.96869603785353</v>
      </c>
      <c r="H13" s="1">
        <f>+'2023 Nto driftsutg landet'!$C$8*'[2]2023 Revekting utgiftsbehov'!AC13-'2023 Nto driftsutg landet'!$C$8</f>
        <v>979.37674228239598</v>
      </c>
      <c r="I13" s="1">
        <f>+'2023 Nto driftsutg landet'!$C$9*'[2]2023 Revekting utgiftsbehov'!AD13-'2023 Nto driftsutg landet'!$C$9</f>
        <v>32.958071125905917</v>
      </c>
      <c r="J13" s="9">
        <f t="shared" si="1"/>
        <v>2149.6051418102352</v>
      </c>
      <c r="L13" s="1">
        <f>'[2]2023 Korr med revekting arbavg'!I13</f>
        <v>37.206060917759743</v>
      </c>
      <c r="M13" s="1">
        <f>'[2]2023 Korr med revekting arbavg'!P13</f>
        <v>46.770977099260648</v>
      </c>
      <c r="N13" s="1">
        <f>'[2]2023 Korr med revekting arbavg'!W13</f>
        <v>0.56336039985109598</v>
      </c>
      <c r="O13" s="1">
        <f>'[2]2023 Korr med revekting arbavg'!AD13</f>
        <v>0</v>
      </c>
      <c r="P13" s="1">
        <f>'[2]2023 Korr med revekting arbavg'!AK13</f>
        <v>4.287754345669212</v>
      </c>
      <c r="Q13" s="48">
        <f t="shared" si="2"/>
        <v>8.9157492777956833</v>
      </c>
      <c r="R13" s="1"/>
      <c r="S13" s="1">
        <f>'[2]2023 Korr med revekting arbavg'!AR13</f>
        <v>8.9875534245341022</v>
      </c>
      <c r="T13" s="1">
        <f>'[2]2023 Korr med revekting arbavg'!AY13</f>
        <v>6.9485966525971452E-3</v>
      </c>
      <c r="U13" s="1">
        <f>'[2]2023 Korr med revekting arbavg'!BF13</f>
        <v>5.1821674252998133E-3</v>
      </c>
      <c r="V13" s="1">
        <f>'[2]2023 Korr med revekting arbavg'!BM13</f>
        <v>-7.5699089824712532E-2</v>
      </c>
      <c r="W13" s="1">
        <f>'[2]2023 Korr med revekting arbavg'!BT13</f>
        <v>0</v>
      </c>
      <c r="X13" s="1">
        <f>'[2]2023 Korr med revekting arbavg'!CA13</f>
        <v>-8.2358209916030285E-3</v>
      </c>
      <c r="Y13" s="1"/>
      <c r="Z13" s="9">
        <f t="shared" si="4"/>
        <v>97.74390204033638</v>
      </c>
      <c r="AB13" s="1">
        <f>+'[2]2023 Korr med revekting pensjon'!I13</f>
        <v>-127.04598246298886</v>
      </c>
      <c r="AC13" s="1">
        <f>+'[2]2023 Korr med revekting pensjon'!P13</f>
        <v>77.080675988542907</v>
      </c>
      <c r="AD13" s="1">
        <f>+'[2]2023 Korr med revekting pensjon'!W13</f>
        <v>-3.1726639130366654</v>
      </c>
      <c r="AE13" s="1">
        <f>+'[2]2023 Korr med revekting pensjon'!AD13</f>
        <v>0</v>
      </c>
      <c r="AF13" s="1">
        <f>+'[2]2023 Korr med revekting pensjon'!AK13</f>
        <v>-17.358197420254168</v>
      </c>
      <c r="AG13" s="48">
        <f t="shared" si="3"/>
        <v>-150.95427975394904</v>
      </c>
      <c r="AH13" s="1"/>
      <c r="AI13" s="1">
        <f>+'[2]2023 Korr med revekting pensjon'!AR13</f>
        <v>-148.65864304370268</v>
      </c>
      <c r="AJ13" s="1">
        <f>+'[2]2023 Korr med revekting pensjon'!AY13</f>
        <v>-1.4869833482149153</v>
      </c>
      <c r="AK13" s="1">
        <f>+'[2]2023 Korr med revekting pensjon'!BF13</f>
        <v>0.12685713346553079</v>
      </c>
      <c r="AL13" s="1">
        <f>+'[2]2023 Korr med revekting pensjon'!BM13</f>
        <v>-0.99370070892552864</v>
      </c>
      <c r="AM13" s="1">
        <f>+'[2]2023 Korr med revekting pensjon'!BT13</f>
        <v>0</v>
      </c>
      <c r="AN13" s="1">
        <f>+'[2]2023 Korr med revekting pensjon'!CA13</f>
        <v>5.8190213428552524E-2</v>
      </c>
      <c r="AO13" s="1"/>
      <c r="AP13" s="9">
        <f t="shared" si="5"/>
        <v>-221.45044756168582</v>
      </c>
      <c r="AQ13" s="1"/>
      <c r="AR13" s="9">
        <f>+'[2]2023 Korr med revekt premieavv'!J13</f>
        <v>405.10210501127693</v>
      </c>
      <c r="AT13" s="9"/>
      <c r="AV13" s="9">
        <f t="shared" si="6"/>
        <v>2265.1530529323977</v>
      </c>
      <c r="AW13" s="1">
        <f>+AV13*'[2]2023 Nto driftsutg'!W13</f>
        <v>1468806785.0312722</v>
      </c>
    </row>
    <row r="14" spans="1:49" x14ac:dyDescent="0.3">
      <c r="A14" s="41">
        <v>5000</v>
      </c>
      <c r="B14" s="42" t="s">
        <v>388</v>
      </c>
      <c r="C14" s="9">
        <f>+'[2]2023 Grunnlag korreksjoner'!C14*1000/'[2]2023 Nto driftsutg'!W14</f>
        <v>50.081531002941077</v>
      </c>
      <c r="D14" s="1"/>
      <c r="E14" s="1">
        <f>+'2023 Nto driftsutg landet'!$C$5*'[2]2023 Revekting utgiftsbehov'!Z14-'2023 Nto driftsutg landet'!$C$5</f>
        <v>137.97855689532844</v>
      </c>
      <c r="F14" s="1">
        <f>+'2023 Nto driftsutg landet'!$C$6*'[2]2023 Revekting utgiftsbehov'!AA14-'2023 Nto driftsutg landet'!$C$6</f>
        <v>536.67733942358359</v>
      </c>
      <c r="G14" s="1">
        <f>+'2023 Nto driftsutg landet'!$C$7*'[2]2023 Revekting utgiftsbehov'!AB14-'2023 Nto driftsutg landet'!$C$7</f>
        <v>267.99983310164589</v>
      </c>
      <c r="H14" s="1">
        <f>+'2023 Nto driftsutg landet'!$C$8*'[2]2023 Revekting utgiftsbehov'!AC14-'2023 Nto driftsutg landet'!$C$8</f>
        <v>42.083737610670823</v>
      </c>
      <c r="I14" s="1">
        <f>+'2023 Nto driftsutg landet'!$C$9*'[2]2023 Revekting utgiftsbehov'!AD14-'2023 Nto driftsutg landet'!$C$9</f>
        <v>25.901906619405395</v>
      </c>
      <c r="J14" s="9">
        <f t="shared" si="1"/>
        <v>1010.6413736506341</v>
      </c>
      <c r="L14" s="1">
        <f>'[2]2023 Korr med revekting arbavg'!I14</f>
        <v>-21.209909105238214</v>
      </c>
      <c r="M14" s="1">
        <f>'[2]2023 Korr med revekting arbavg'!P14</f>
        <v>15.144181400231403</v>
      </c>
      <c r="N14" s="1">
        <f>'[2]2023 Korr med revekting arbavg'!W14</f>
        <v>0.57531133434860171</v>
      </c>
      <c r="O14" s="1">
        <f>'[2]2023 Korr med revekting arbavg'!AD14</f>
        <v>0.1217098144683213</v>
      </c>
      <c r="P14" s="1">
        <f>'[2]2023 Korr med revekting arbavg'!AK14</f>
        <v>0.82397765639783838</v>
      </c>
      <c r="Q14" s="48">
        <f t="shared" si="2"/>
        <v>27.6406081088329</v>
      </c>
      <c r="R14" s="1"/>
      <c r="S14" s="1">
        <f>'[2]2023 Korr med revekting arbavg'!AR14</f>
        <v>26.918341677522413</v>
      </c>
      <c r="T14" s="1">
        <f>'[2]2023 Korr med revekting arbavg'!AY14</f>
        <v>0.37789350657616716</v>
      </c>
      <c r="U14" s="1">
        <f>'[2]2023 Korr med revekting arbavg'!BF14</f>
        <v>4.6515213278631815E-3</v>
      </c>
      <c r="V14" s="1">
        <f>'[2]2023 Korr med revekting arbavg'!BM14</f>
        <v>0.33972140340645646</v>
      </c>
      <c r="W14" s="1">
        <f>'[2]2023 Korr med revekting arbavg'!BT14</f>
        <v>0</v>
      </c>
      <c r="X14" s="1">
        <f>'[2]2023 Korr med revekting arbavg'!CA14</f>
        <v>0</v>
      </c>
      <c r="Y14" s="1"/>
      <c r="Z14" s="9">
        <f t="shared" si="4"/>
        <v>23.095879209040852</v>
      </c>
      <c r="AB14" s="1">
        <f>+'[2]2023 Korr med revekting pensjon'!I14</f>
        <v>-35.793012955245636</v>
      </c>
      <c r="AC14" s="1">
        <f>+'[2]2023 Korr med revekting pensjon'!P14</f>
        <v>-6.5569015544258544</v>
      </c>
      <c r="AD14" s="1">
        <f>+'[2]2023 Korr med revekting pensjon'!W14</f>
        <v>-2.7447591561821914</v>
      </c>
      <c r="AE14" s="1">
        <f>+'[2]2023 Korr med revekting pensjon'!AD14</f>
        <v>-0.38731322505498283</v>
      </c>
      <c r="AF14" s="1">
        <f>+'[2]2023 Korr med revekting pensjon'!AK14</f>
        <v>-21.714380259058984</v>
      </c>
      <c r="AG14" s="48">
        <f t="shared" si="3"/>
        <v>-98.900511742254906</v>
      </c>
      <c r="AH14" s="1"/>
      <c r="AI14" s="1">
        <f>+'[2]2023 Korr med revekting pensjon'!AR14</f>
        <v>-95.92696387427722</v>
      </c>
      <c r="AJ14" s="1">
        <f>+'[2]2023 Korr med revekting pensjon'!AY14</f>
        <v>-1.4348889335100814</v>
      </c>
      <c r="AK14" s="1">
        <f>+'[2]2023 Korr med revekting pensjon'!BF14</f>
        <v>0.16546277824901981</v>
      </c>
      <c r="AL14" s="1">
        <f>+'[2]2023 Korr med revekting pensjon'!BM14</f>
        <v>-1.7041217127166317</v>
      </c>
      <c r="AM14" s="1">
        <f>+'[2]2023 Korr med revekting pensjon'!BT14</f>
        <v>0</v>
      </c>
      <c r="AN14" s="1">
        <f>+'[2]2023 Korr med revekting pensjon'!CA14</f>
        <v>0</v>
      </c>
      <c r="AO14" s="1"/>
      <c r="AP14" s="9">
        <f t="shared" si="5"/>
        <v>-166.09687889222255</v>
      </c>
      <c r="AQ14" s="1"/>
      <c r="AR14" s="9">
        <f>+'[2]2023 Korr med revekt premieavv'!J14</f>
        <v>335.74560514736544</v>
      </c>
      <c r="AT14" s="9"/>
      <c r="AV14" s="9">
        <f t="shared" si="6"/>
        <v>1253.467510117759</v>
      </c>
      <c r="AW14" s="1">
        <f>+AV14*'[2]2023 Nto driftsutg'!W14</f>
        <v>602212170.15844584</v>
      </c>
    </row>
    <row r="15" spans="1:49" x14ac:dyDescent="0.3">
      <c r="A15" s="41">
        <v>5400</v>
      </c>
      <c r="B15" s="42" t="s">
        <v>408</v>
      </c>
      <c r="C15" s="9">
        <f>+'[2]2023 Grunnlag korreksjoner'!C15*1000/'[2]2023 Nto driftsutg'!W15</f>
        <v>354.26933305841067</v>
      </c>
      <c r="D15" s="1"/>
      <c r="E15" s="1">
        <f>+'2023 Nto driftsutg landet'!$C$5*'[2]2023 Revekting utgiftsbehov'!Z15-'2023 Nto driftsutg landet'!$C$5</f>
        <v>737.73605108658194</v>
      </c>
      <c r="F15" s="1">
        <f>+'2023 Nto driftsutg landet'!$C$6*'[2]2023 Revekting utgiftsbehov'!AA15-'2023 Nto driftsutg landet'!$C$6</f>
        <v>2153.1868182278058</v>
      </c>
      <c r="G15" s="1">
        <f>+'2023 Nto driftsutg landet'!$C$7*'[2]2023 Revekting utgiftsbehov'!AB15-'2023 Nto driftsutg landet'!$C$7</f>
        <v>1900.929501243068</v>
      </c>
      <c r="H15" s="1">
        <f>+'2023 Nto driftsutg landet'!$C$8*'[2]2023 Revekting utgiftsbehov'!AC15-'2023 Nto driftsutg landet'!$C$8</f>
        <v>1669.8340841619229</v>
      </c>
      <c r="I15" s="1">
        <f>+'2023 Nto driftsutg landet'!$C$9*'[2]2023 Revekting utgiftsbehov'!AD15-'2023 Nto driftsutg landet'!$C$9</f>
        <v>136.62942092353626</v>
      </c>
      <c r="J15" s="9">
        <f t="shared" si="1"/>
        <v>6598.3158756429148</v>
      </c>
      <c r="L15" s="1">
        <f>'[2]2023 Korr med revekting arbavg'!I15</f>
        <v>-423.65097652583563</v>
      </c>
      <c r="M15" s="1">
        <f>'[2]2023 Korr med revekting arbavg'!P15</f>
        <v>-63.989481005903045</v>
      </c>
      <c r="N15" s="1">
        <f>'[2]2023 Korr med revekting arbavg'!W15</f>
        <v>-6.3696607669506973</v>
      </c>
      <c r="O15" s="1">
        <f>'[2]2023 Korr med revekting arbavg'!AD15</f>
        <v>-0.6500296230830529</v>
      </c>
      <c r="P15" s="1">
        <f>'[2]2023 Korr med revekting arbavg'!AK15</f>
        <v>-41.788978414994467</v>
      </c>
      <c r="Q15" s="48">
        <f t="shared" si="2"/>
        <v>-41.222325824211303</v>
      </c>
      <c r="R15" s="1"/>
      <c r="S15" s="1">
        <f>'[2]2023 Korr med revekting arbavg'!AR15</f>
        <v>-33.378282098744229</v>
      </c>
      <c r="T15" s="1">
        <f>'[2]2023 Korr med revekting arbavg'!AY15</f>
        <v>-5.1472545980822568</v>
      </c>
      <c r="U15" s="1">
        <f>'[2]2023 Korr med revekting arbavg'!BF15</f>
        <v>0.43849549814501904</v>
      </c>
      <c r="V15" s="1">
        <f>'[2]2023 Korr med revekting arbavg'!BM15</f>
        <v>-3.3813682777130758</v>
      </c>
      <c r="W15" s="1">
        <f>'[2]2023 Korr med revekting arbavg'!BT15</f>
        <v>0</v>
      </c>
      <c r="X15" s="1">
        <f>'[2]2023 Korr med revekting arbavg'!CA15</f>
        <v>0.24608365218323514</v>
      </c>
      <c r="Y15" s="1"/>
      <c r="Z15" s="9">
        <f t="shared" si="4"/>
        <v>-577.67145216097822</v>
      </c>
      <c r="AB15" s="1">
        <f>+'[2]2023 Korr med revekting pensjon'!I15</f>
        <v>353.95159288928409</v>
      </c>
      <c r="AC15" s="1">
        <f>+'[2]2023 Korr med revekting pensjon'!P15</f>
        <v>-48.234956337359257</v>
      </c>
      <c r="AD15" s="1">
        <f>+'[2]2023 Korr med revekting pensjon'!W15</f>
        <v>-2.4056064970835909</v>
      </c>
      <c r="AE15" s="1">
        <f>+'[2]2023 Korr med revekting pensjon'!AD15</f>
        <v>-0.44555899894198242</v>
      </c>
      <c r="AF15" s="1">
        <f>+'[2]2023 Korr med revekting pensjon'!AK15</f>
        <v>-6.9910987569306977</v>
      </c>
      <c r="AG15" s="48">
        <f t="shared" si="3"/>
        <v>-95.854817004894798</v>
      </c>
      <c r="AH15" s="1"/>
      <c r="AI15" s="1">
        <f>+'[2]2023 Korr med revekting pensjon'!AR15</f>
        <v>-101.05595122317769</v>
      </c>
      <c r="AJ15" s="1">
        <f>+'[2]2023 Korr med revekting pensjon'!AY15</f>
        <v>5.4191784080218364</v>
      </c>
      <c r="AK15" s="1">
        <f>+'[2]2023 Korr med revekting pensjon'!BF15</f>
        <v>-3.9683535126684211E-2</v>
      </c>
      <c r="AL15" s="1">
        <f>+'[2]2023 Korr med revekting pensjon'!BM15</f>
        <v>-9.843277251992788E-2</v>
      </c>
      <c r="AM15" s="1">
        <f>+'[2]2023 Korr med revekting pensjon'!BT15</f>
        <v>0</v>
      </c>
      <c r="AN15" s="1">
        <f>+'[2]2023 Korr med revekting pensjon'!CA15</f>
        <v>-7.9927882092336658E-2</v>
      </c>
      <c r="AO15" s="1"/>
      <c r="AP15" s="9">
        <f t="shared" si="5"/>
        <v>200.01955529407377</v>
      </c>
      <c r="AQ15" s="1"/>
      <c r="AR15" s="9">
        <f>+'[2]2023 Korr med revekt premieavv'!J15</f>
        <v>-118.67291637974155</v>
      </c>
      <c r="AT15" s="9"/>
      <c r="AV15" s="9">
        <f t="shared" si="6"/>
        <v>6456.2603954546794</v>
      </c>
      <c r="AW15" s="1">
        <f>+AV15*'[2]2023 Nto driftsutg'!W15</f>
        <v>1570995385.7655916</v>
      </c>
    </row>
    <row r="16" spans="1:49" x14ac:dyDescent="0.3">
      <c r="C16" s="8"/>
      <c r="E16" s="4"/>
      <c r="F16" s="4"/>
      <c r="G16" s="4"/>
      <c r="H16" s="1"/>
      <c r="I16" s="4"/>
      <c r="J16" s="8"/>
      <c r="Q16" s="49"/>
      <c r="Z16" s="9"/>
      <c r="AG16" s="49"/>
      <c r="AP16" s="8"/>
      <c r="AQ16" s="4"/>
      <c r="AR16" s="9"/>
      <c r="AT16" s="9"/>
      <c r="AV16" s="9"/>
    </row>
    <row r="17" spans="2:49" x14ac:dyDescent="0.3">
      <c r="B17" s="1" t="s">
        <v>3</v>
      </c>
      <c r="C17" s="9">
        <v>0</v>
      </c>
      <c r="D17" s="1"/>
      <c r="E17" s="1">
        <v>0</v>
      </c>
      <c r="F17" s="1">
        <f>+'2023 Nto driftsutg landet'!$C$6*'[2]2023 Nøkkel revektet'!E17-'2023 Nto driftsutg landet'!$C$6</f>
        <v>0</v>
      </c>
      <c r="G17" s="1">
        <f>+'2023 Nto driftsutg landet'!$C$6*'[2]2023 Nøkkel revektet'!F17-'2023 Nto driftsutg landet'!$C$6</f>
        <v>0</v>
      </c>
      <c r="H17" s="1">
        <f>+'2023 Nto driftsutg landet'!$C$8*'[2]2023 Nøkkel revektet'!G17-'2023 Nto driftsutg landet'!$C$8</f>
        <v>0</v>
      </c>
      <c r="I17" s="1">
        <f>+'2023 Nto driftsutg landet'!$C$6*'[2]2023 Nøkkel revektet'!H17-'2023 Nto driftsutg landet'!$C$6</f>
        <v>0</v>
      </c>
      <c r="J17" s="9">
        <f>SUM(E17:I17)</f>
        <v>0</v>
      </c>
      <c r="K17" s="1"/>
      <c r="L17" s="1">
        <f>+'[2]2023 Korr med revekting arbavg'!J17</f>
        <v>0</v>
      </c>
      <c r="M17" s="1">
        <f>+'[2]2023 Korr med revekting arbavg'!Q17</f>
        <v>2.5465851649641991E-11</v>
      </c>
      <c r="N17" s="1">
        <f>+'[2]2023 Korr med revekting arbavg'!X17</f>
        <v>2.9558577807620168E-12</v>
      </c>
      <c r="O17" s="1">
        <f>+'[2]2023 Korr med revekting arbavg'!AE17</f>
        <v>2.2737367544323206E-13</v>
      </c>
      <c r="P17" s="1">
        <f>+'[2]2023 Korr med revekting arbavg'!AL17</f>
        <v>4.0017766878008842E-11</v>
      </c>
      <c r="Q17" s="48">
        <f t="shared" si="2"/>
        <v>-2.7462476737127872E-12</v>
      </c>
      <c r="R17" s="1"/>
      <c r="S17" s="1">
        <f>'[2]2023 Korr med revekting arbavg'!AR17</f>
        <v>0</v>
      </c>
      <c r="T17" s="1">
        <f>'[2]2023 Korr med revekting arbavg'!AZ17</f>
        <v>0</v>
      </c>
      <c r="U17" s="1">
        <f>'[2]2023 Korr med revekting arbavg'!BG17</f>
        <v>-4.8316906031686813E-13</v>
      </c>
      <c r="V17" s="1">
        <f>'[2]2023 Korr med revekting arbavg'!BN17</f>
        <v>-2.0463630789890885E-12</v>
      </c>
      <c r="W17" s="1">
        <f>'[2]2023 Korr med revekting arbavg'!BU17</f>
        <v>1.0658141036401503E-14</v>
      </c>
      <c r="X17" s="1">
        <f>'[2]2023 Korr med revekting arbavg'!CB17</f>
        <v>-2.2737367544323206E-13</v>
      </c>
      <c r="Y17" s="1"/>
      <c r="Z17" s="9">
        <f>SUM(L17:P17)+Q17</f>
        <v>6.5920602310143295E-11</v>
      </c>
      <c r="AB17" s="1">
        <f>+'[2]2023 Korr med revekting pensjon'!J17</f>
        <v>-4.220055416226387E-10</v>
      </c>
      <c r="AC17" s="1">
        <f>+'[2]2023 Korr med revekting pensjon'!Q17</f>
        <v>0</v>
      </c>
      <c r="AD17" s="1">
        <f>+'[2]2023 Korr med revekting pensjon'!X17</f>
        <v>8.7538865045644343E-12</v>
      </c>
      <c r="AE17" s="1">
        <f>+'[2]2023 Korr med revekting pensjon'!AE17</f>
        <v>-1.9895196601282805E-13</v>
      </c>
      <c r="AF17" s="1">
        <f>+'[2]2023 Korr med revekting pensjon'!AL17</f>
        <v>1.9554136088117957E-11</v>
      </c>
      <c r="AG17" s="48"/>
      <c r="AH17" s="1"/>
      <c r="AI17" s="1">
        <f>+'[2]2023 Korr med revekting pensjon'!AS17</f>
        <v>2.0008883439004421E-10</v>
      </c>
      <c r="AJ17" s="1">
        <f>+'[2]2023 Korr med revekting pensjon'!AZ17</f>
        <v>-7.503331289626658E-12</v>
      </c>
      <c r="AK17" s="1">
        <f>+'[2]2023 Korr med revekting pensjon'!BG17</f>
        <v>-7.2652994731470244E-13</v>
      </c>
      <c r="AL17" s="1">
        <f>+'[2]2023 Korr med revekting pensjon'!BN17</f>
        <v>-3.8831160509289475E-12</v>
      </c>
      <c r="AM17" s="1">
        <f>+'[2]2023 Korr med revekting pensjon'!BU17</f>
        <v>-8.8817841970012523E-15</v>
      </c>
      <c r="AN17" s="1">
        <f>+'[2]2023 Korr med revekting pensjon'!CB17</f>
        <v>0</v>
      </c>
      <c r="AO17" s="1"/>
      <c r="AP17" s="9">
        <f>SUM(AB17:AF17)+AG17</f>
        <v>-3.9389647099596914E-10</v>
      </c>
      <c r="AQ17" s="1"/>
      <c r="AR17" s="9">
        <f>+'[2]2023 Korr med revekt premieavv'!K17</f>
        <v>6.891787052154541E-7</v>
      </c>
      <c r="AT17" s="9"/>
      <c r="AV17" s="9">
        <f>+C17+J17+Z17+AP17+AR17</f>
        <v>6.8885072934676828E-7</v>
      </c>
      <c r="AW17" s="5">
        <f>SUM(AW5:AW15)</f>
        <v>2.2411346435546875E-5</v>
      </c>
    </row>
    <row r="19" spans="2:49" x14ac:dyDescent="0.3">
      <c r="E19" s="5"/>
      <c r="F19" s="5"/>
      <c r="G19" s="5"/>
      <c r="H19" s="5"/>
      <c r="I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M19" s="5"/>
      <c r="AN19" s="5"/>
      <c r="AO19" s="5"/>
    </row>
    <row r="21" spans="2:49" x14ac:dyDescent="0.3">
      <c r="E21" t="s">
        <v>313</v>
      </c>
    </row>
    <row r="22" spans="2:49" x14ac:dyDescent="0.3">
      <c r="C22" t="s">
        <v>314</v>
      </c>
      <c r="E22" s="5">
        <f>+C6+E6+L6+AB6</f>
        <v>543.41497765137706</v>
      </c>
    </row>
  </sheetData>
  <sheetProtection algorithmName="SHA-512" hashValue="hVi7XZsgX1xU0CJbePV8A/zCgC+8z3NX4imxhGYQenpVaEBH+1oI8yBV4S1zzDujNh+JQdQthg3SUWqztkeQ+A==" saltValue="nrRdC248F2EiuyBwvXn3xQ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1F3A-5FFD-4488-AFD6-30A0CB71A7E7}">
  <dimension ref="A2:F36"/>
  <sheetViews>
    <sheetView workbookViewId="0">
      <selection activeCell="B27" sqref="B27"/>
    </sheetView>
  </sheetViews>
  <sheetFormatPr baseColWidth="10" defaultRowHeight="14.4" x14ac:dyDescent="0.3"/>
  <cols>
    <col min="1" max="1" width="39.109375" customWidth="1"/>
    <col min="2" max="3" width="21" customWidth="1"/>
  </cols>
  <sheetData>
    <row r="2" spans="1:5" ht="27" x14ac:dyDescent="0.3">
      <c r="A2" s="22" t="s">
        <v>10</v>
      </c>
      <c r="B2" s="22" t="s">
        <v>33</v>
      </c>
      <c r="C2" s="22" t="s">
        <v>33</v>
      </c>
    </row>
    <row r="3" spans="1:5" x14ac:dyDescent="0.3">
      <c r="A3" s="111"/>
      <c r="B3" s="111" t="s">
        <v>11</v>
      </c>
      <c r="C3" s="111" t="s">
        <v>12</v>
      </c>
    </row>
    <row r="4" spans="1:5" x14ac:dyDescent="0.3">
      <c r="A4" s="107">
        <v>1</v>
      </c>
      <c r="B4" s="107">
        <f>+A4+1</f>
        <v>2</v>
      </c>
      <c r="C4" s="107">
        <f>+B4+1</f>
        <v>3</v>
      </c>
    </row>
    <row r="5" spans="1:5" x14ac:dyDescent="0.3">
      <c r="A5" t="s">
        <v>171</v>
      </c>
      <c r="B5" s="5">
        <f>+'[2]2023 Nto driftsutg eks avskriv'!D17</f>
        <v>39008039</v>
      </c>
      <c r="C5" s="5">
        <f>+B5*1000/'[2]2023 Nto driftsutg'!$W$17</f>
        <v>7074.2914108960813</v>
      </c>
      <c r="E5" s="5"/>
    </row>
    <row r="6" spans="1:5" x14ac:dyDescent="0.3">
      <c r="A6" t="s">
        <v>172</v>
      </c>
      <c r="B6" s="5">
        <f>+'[2]2023 Nto driftsutg eks avskriv'!E17</f>
        <v>11097855</v>
      </c>
      <c r="C6" s="5">
        <f>+B6*1000/'[2]2023 Nto driftsutg'!$W$17</f>
        <v>2012.6482212005101</v>
      </c>
      <c r="E6" s="5"/>
    </row>
    <row r="7" spans="1:5" x14ac:dyDescent="0.3">
      <c r="A7" t="s">
        <v>424</v>
      </c>
      <c r="B7" s="5">
        <f>+'[2]2023 Nto driftsutg eks avskriv'!F17</f>
        <v>16109641</v>
      </c>
      <c r="C7" s="5">
        <f>+B7*1000/'[2]2023 Nto driftsutg'!$W$17</f>
        <v>2921.5591934503386</v>
      </c>
      <c r="E7" s="5"/>
    </row>
    <row r="8" spans="1:5" x14ac:dyDescent="0.3">
      <c r="A8" t="s">
        <v>417</v>
      </c>
      <c r="B8" s="5">
        <f>+'[2]2023 Nto driftsutg eks avskriv'!G17</f>
        <v>4152371</v>
      </c>
      <c r="C8" s="5">
        <f>+B8*1000/'[2]2023 Nto driftsutg'!$W$17</f>
        <v>753.05201833278443</v>
      </c>
      <c r="E8" s="5"/>
    </row>
    <row r="9" spans="1:5" x14ac:dyDescent="0.3">
      <c r="A9" s="21" t="s">
        <v>173</v>
      </c>
      <c r="B9" s="20">
        <f>+'[2]2023 Nto driftsutg eks avskriv'!H17</f>
        <v>3426324</v>
      </c>
      <c r="C9" s="20">
        <f>+B9*1000/'[2]2023 Nto driftsutg'!$W$17</f>
        <v>621.37997873072015</v>
      </c>
      <c r="E9" s="5"/>
    </row>
    <row r="10" spans="1:5" x14ac:dyDescent="0.3">
      <c r="A10" s="112" t="s">
        <v>30</v>
      </c>
      <c r="B10" s="7">
        <f>SUM(B5:B9)</f>
        <v>73794230</v>
      </c>
      <c r="C10" s="7">
        <f>SUM(C5:C9)</f>
        <v>13382.930822610435</v>
      </c>
      <c r="D10" s="7"/>
      <c r="E10" s="7"/>
    </row>
    <row r="11" spans="1:5" x14ac:dyDescent="0.3">
      <c r="A11" s="112"/>
      <c r="B11" s="7"/>
      <c r="C11" s="7"/>
    </row>
    <row r="12" spans="1:5" x14ac:dyDescent="0.3">
      <c r="A12" s="112"/>
      <c r="B12" s="7"/>
      <c r="C12" s="7"/>
    </row>
    <row r="13" spans="1:5" x14ac:dyDescent="0.3">
      <c r="A13" t="s">
        <v>22</v>
      </c>
      <c r="B13" s="50">
        <f>+'[2]2023 Nto driftsutg eks avskriv'!I17</f>
        <v>7737449</v>
      </c>
      <c r="C13" s="5">
        <f>+B13*1000/'[2]2023 Nto driftsutg'!$W$17</f>
        <v>1403.2227819231434</v>
      </c>
      <c r="E13" s="5"/>
    </row>
    <row r="14" spans="1:5" x14ac:dyDescent="0.3">
      <c r="A14" t="s">
        <v>26</v>
      </c>
      <c r="B14" s="5">
        <f>+'[2]2023 Nto driftsutg eks avskriv'!R17</f>
        <v>-3276504.2216767771</v>
      </c>
      <c r="C14" s="5">
        <f>+B14*1000/'[2]2023 Nto driftsutg'!$W$17</f>
        <v>-594.20945700891991</v>
      </c>
      <c r="E14" s="5"/>
    </row>
    <row r="15" spans="1:5" x14ac:dyDescent="0.3">
      <c r="A15" t="s">
        <v>23</v>
      </c>
      <c r="B15" s="5">
        <f>+'[2]2023 Nto driftsutg eks avskriv'!S17</f>
        <v>4741012.029423316</v>
      </c>
      <c r="C15" s="5">
        <f>+B15*1000/'[2]2023 Nto driftsutg'!$W$17</f>
        <v>859.80483865657436</v>
      </c>
      <c r="E15" s="5"/>
    </row>
    <row r="16" spans="1:5" x14ac:dyDescent="0.3">
      <c r="A16" s="21" t="s">
        <v>24</v>
      </c>
      <c r="B16" s="20">
        <f>+'[2]2023 Nto driftsutg eks avskriv'!T17</f>
        <v>4414674.0239050686</v>
      </c>
      <c r="C16" s="20">
        <f>+B16*1000/'[2]2023 Nto driftsutg'!$W$17</f>
        <v>800.62190589015938</v>
      </c>
      <c r="E16" s="5"/>
    </row>
    <row r="17" spans="1:6" x14ac:dyDescent="0.3">
      <c r="A17" s="112" t="s">
        <v>31</v>
      </c>
      <c r="B17" s="7">
        <f>SUM(B13:B16)</f>
        <v>13616630.831651608</v>
      </c>
      <c r="C17" s="7">
        <f>SUM(C13:C16)</f>
        <v>2469.4400694609571</v>
      </c>
      <c r="D17" s="7"/>
      <c r="E17" s="7"/>
    </row>
    <row r="19" spans="1:6" x14ac:dyDescent="0.3">
      <c r="A19" s="6" t="s">
        <v>32</v>
      </c>
      <c r="B19" s="23">
        <f>+B10+B17</f>
        <v>87410860.831651613</v>
      </c>
      <c r="C19" s="23">
        <f>+B19*1000/'[2]2023 Nto driftsutg'!$W$17</f>
        <v>15852.370892071393</v>
      </c>
      <c r="D19" s="23"/>
      <c r="E19" s="5"/>
      <c r="F19" s="5"/>
    </row>
    <row r="22" spans="1:6" x14ac:dyDescent="0.3">
      <c r="A22" s="6" t="s">
        <v>83</v>
      </c>
    </row>
    <row r="23" spans="1:6" x14ac:dyDescent="0.3">
      <c r="A23" t="s">
        <v>4</v>
      </c>
      <c r="B23" s="5">
        <f>+'[2]2023 Nto driftsutg eks avskriv'!K17</f>
        <v>4906328</v>
      </c>
      <c r="C23" s="5">
        <f>+B23*1000/'[2]2023 Nto driftsutg'!$W$17</f>
        <v>889.7856677552785</v>
      </c>
    </row>
    <row r="24" spans="1:6" x14ac:dyDescent="0.3">
      <c r="A24" t="s">
        <v>174</v>
      </c>
      <c r="B24" s="5">
        <f>+'[2]2023 Nto driftsutg eks avskriv'!L17</f>
        <v>1282073</v>
      </c>
      <c r="C24" s="5">
        <f>+B24*1000/'[2]2023 Nto driftsutg'!$W$17</f>
        <v>232.50997088168853</v>
      </c>
    </row>
    <row r="25" spans="1:6" x14ac:dyDescent="0.3">
      <c r="A25" t="s">
        <v>36</v>
      </c>
      <c r="B25" s="5">
        <f>+'[2]2023 Nto driftsutg eks avskriv'!M17</f>
        <v>-262627</v>
      </c>
      <c r="C25" s="5">
        <f>+B25*1000/'[2]2023 Nto driftsutg'!$W$17</f>
        <v>-47.628642146543307</v>
      </c>
    </row>
    <row r="26" spans="1:6" x14ac:dyDescent="0.3">
      <c r="A26" t="s">
        <v>175</v>
      </c>
      <c r="B26" s="5">
        <f>+'[2]2023 Nto driftsutg eks avskriv'!N17</f>
        <v>2079060</v>
      </c>
      <c r="C26" s="5">
        <f>+B26*1000/'[2]2023 Nto driftsutg'!$W$17</f>
        <v>377.04731326631429</v>
      </c>
    </row>
    <row r="27" spans="1:6" x14ac:dyDescent="0.3">
      <c r="A27" t="s">
        <v>37</v>
      </c>
      <c r="B27" s="5">
        <f>+'[2]2023 Nto driftsutg eks avskriv'!O17</f>
        <v>4797</v>
      </c>
      <c r="C27" s="5">
        <f>+B27*1000/'[2]2023 Nto driftsutg'!$W$17</f>
        <v>0.86995852055184064</v>
      </c>
    </row>
    <row r="28" spans="1:6" x14ac:dyDescent="0.3">
      <c r="A28" s="21" t="s">
        <v>38</v>
      </c>
      <c r="B28" s="20">
        <f>+'[2]2023 Nto driftsutg eks avskriv'!P17</f>
        <v>-272182</v>
      </c>
      <c r="C28" s="20">
        <f>+B28*1000/'[2]2023 Nto driftsutg'!$W$17</f>
        <v>-49.361486354146564</v>
      </c>
    </row>
    <row r="29" spans="1:6" x14ac:dyDescent="0.3">
      <c r="A29" t="s">
        <v>17</v>
      </c>
      <c r="B29" s="50">
        <f>SUM(B23:B28)</f>
        <v>7737449</v>
      </c>
      <c r="C29" s="5">
        <f>SUM(C23:C28)</f>
        <v>1403.222781923143</v>
      </c>
    </row>
    <row r="33" spans="1:3" x14ac:dyDescent="0.3">
      <c r="A33" s="6"/>
    </row>
    <row r="34" spans="1:3" x14ac:dyDescent="0.3">
      <c r="B34" s="5"/>
      <c r="C34" s="5"/>
    </row>
    <row r="35" spans="1:3" x14ac:dyDescent="0.3">
      <c r="B35" s="5"/>
      <c r="C35" s="5"/>
    </row>
    <row r="36" spans="1:3" x14ac:dyDescent="0.3">
      <c r="B36" s="5"/>
      <c r="C36" s="5"/>
    </row>
  </sheetData>
  <sheetProtection algorithmName="SHA-512" hashValue="fyPFFAxyCIyECEA84yMjq/bJYXMgreqOfgns6X7jGrB/A7Q2zqvCrmN7Yz3ObcrqGmtcNI25k9fbCa+zlzYfDw==" saltValue="uyd9T9ofBRGxrRMWz7NKmA==" spinCount="100000" sheet="1" selectLockedCells="1" selectUnlockedCells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9B6E-F51A-416D-A3CF-AB84FE92456D}">
  <sheetPr>
    <tabColor rgb="FF92D050"/>
  </sheetPr>
  <dimension ref="A1:AA38"/>
  <sheetViews>
    <sheetView zoomScale="90" zoomScaleNormal="90"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7.109375" customWidth="1"/>
    <col min="22" max="23" width="13.109375" customWidth="1"/>
    <col min="24" max="24" width="4.5546875" customWidth="1"/>
    <col min="26" max="26" width="14" customWidth="1"/>
    <col min="27" max="27" width="14.109375" customWidth="1"/>
  </cols>
  <sheetData>
    <row r="1" spans="1:27" x14ac:dyDescent="0.3">
      <c r="D1" s="5"/>
      <c r="E1" s="5"/>
      <c r="F1" s="5"/>
      <c r="G1" s="5"/>
      <c r="H1" s="5"/>
      <c r="J1" s="5"/>
      <c r="K1" s="5"/>
      <c r="L1" s="5"/>
      <c r="M1" s="5"/>
    </row>
    <row r="2" spans="1:27" ht="104.25" customHeight="1" x14ac:dyDescent="0.3">
      <c r="A2" s="22" t="s">
        <v>2</v>
      </c>
      <c r="B2" s="22" t="s">
        <v>1</v>
      </c>
      <c r="C2" s="22" t="s">
        <v>20</v>
      </c>
      <c r="D2" s="22" t="s">
        <v>142</v>
      </c>
      <c r="E2" s="22" t="s">
        <v>143</v>
      </c>
      <c r="F2" s="22" t="s">
        <v>415</v>
      </c>
      <c r="G2" s="22" t="s">
        <v>416</v>
      </c>
      <c r="H2" s="22" t="s">
        <v>144</v>
      </c>
      <c r="I2" s="11" t="s">
        <v>28</v>
      </c>
      <c r="J2" s="22" t="s">
        <v>145</v>
      </c>
      <c r="K2" s="22" t="s">
        <v>146</v>
      </c>
      <c r="L2" s="22" t="s">
        <v>147</v>
      </c>
      <c r="M2" s="22" t="s">
        <v>148</v>
      </c>
      <c r="N2" s="22" t="s">
        <v>149</v>
      </c>
      <c r="O2" s="22" t="s">
        <v>150</v>
      </c>
      <c r="P2" s="22" t="s">
        <v>151</v>
      </c>
      <c r="Q2" s="22" t="s">
        <v>152</v>
      </c>
      <c r="R2" s="22" t="s">
        <v>6</v>
      </c>
      <c r="S2" s="22" t="s">
        <v>18</v>
      </c>
      <c r="T2" s="22" t="s">
        <v>19</v>
      </c>
      <c r="U2" s="22"/>
      <c r="V2" s="22" t="s">
        <v>418</v>
      </c>
      <c r="W2" s="22" t="s">
        <v>419</v>
      </c>
      <c r="X2" s="22"/>
      <c r="Y2" s="22"/>
      <c r="Z2" s="22"/>
      <c r="AA2" s="22"/>
    </row>
    <row r="3" spans="1:27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>+G3+1</f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/>
      <c r="AA3" s="107"/>
    </row>
    <row r="4" spans="1:27" x14ac:dyDescent="0.3">
      <c r="C4" s="5"/>
      <c r="I4" s="19"/>
    </row>
    <row r="5" spans="1:27" x14ac:dyDescent="0.3">
      <c r="A5" s="41">
        <v>300</v>
      </c>
      <c r="B5" s="42" t="s">
        <v>0</v>
      </c>
      <c r="C5" s="1">
        <f>SUM(D5:I5)+R5+S5+T5</f>
        <v>8270022.8316516075</v>
      </c>
      <c r="D5" s="1">
        <v>4063096</v>
      </c>
      <c r="E5" s="1">
        <v>-181</v>
      </c>
      <c r="F5" s="1">
        <v>4100903</v>
      </c>
      <c r="G5" s="1">
        <v>0</v>
      </c>
      <c r="H5" s="1">
        <v>342521</v>
      </c>
      <c r="I5" s="9">
        <f t="shared" ref="I5:I15" si="1">SUM(J5:Q5)</f>
        <v>133766</v>
      </c>
      <c r="J5" s="1"/>
      <c r="K5" s="1">
        <v>168427</v>
      </c>
      <c r="L5" s="1">
        <v>0</v>
      </c>
      <c r="M5" s="1">
        <v>14531</v>
      </c>
      <c r="N5" s="1">
        <v>-49192</v>
      </c>
      <c r="O5" s="1">
        <v>0</v>
      </c>
      <c r="P5" s="1">
        <v>0</v>
      </c>
      <c r="Q5" s="1"/>
      <c r="R5" s="117">
        <f>-656025.221676777</f>
        <v>-656025.221676777</v>
      </c>
      <c r="S5" s="117">
        <v>380793.02942331578</v>
      </c>
      <c r="T5" s="117">
        <v>-94849.976094931699</v>
      </c>
      <c r="U5" s="1"/>
      <c r="V5" s="1">
        <f>IF(C5&gt;0,W5,0)</f>
        <v>711918</v>
      </c>
      <c r="W5" s="1">
        <v>711918</v>
      </c>
      <c r="Y5" s="5"/>
      <c r="Z5" s="1"/>
      <c r="AA5" s="1"/>
    </row>
    <row r="6" spans="1:27" x14ac:dyDescent="0.3">
      <c r="A6" s="41">
        <v>1100</v>
      </c>
      <c r="B6" s="42" t="s">
        <v>139</v>
      </c>
      <c r="C6" s="1">
        <f t="shared" ref="C6:C15" si="2">SUM(D6:I6)+R6+S6+T6</f>
        <v>8160377</v>
      </c>
      <c r="D6" s="1">
        <v>3921276</v>
      </c>
      <c r="E6" s="1">
        <v>1269387</v>
      </c>
      <c r="F6" s="1">
        <v>956282</v>
      </c>
      <c r="G6" s="1">
        <v>321797</v>
      </c>
      <c r="H6" s="1">
        <v>351804</v>
      </c>
      <c r="I6" s="9">
        <f t="shared" si="1"/>
        <v>596852</v>
      </c>
      <c r="J6" s="1"/>
      <c r="K6" s="1">
        <v>359594</v>
      </c>
      <c r="L6" s="1">
        <v>97917</v>
      </c>
      <c r="M6" s="1">
        <v>-70325</v>
      </c>
      <c r="N6" s="1">
        <v>201705</v>
      </c>
      <c r="O6" s="1">
        <v>0</v>
      </c>
      <c r="P6" s="1">
        <v>7961</v>
      </c>
      <c r="Q6" s="1"/>
      <c r="R6" s="1">
        <v>-272716</v>
      </c>
      <c r="S6" s="1">
        <v>464920</v>
      </c>
      <c r="T6" s="1">
        <v>550775</v>
      </c>
      <c r="U6" s="1"/>
      <c r="V6" s="1">
        <f t="shared" ref="V6:V15" si="3">IF(C6&gt;0,W6,0)</f>
        <v>495545</v>
      </c>
      <c r="W6" s="1">
        <v>495545</v>
      </c>
      <c r="Z6" s="1"/>
      <c r="AA6" s="1"/>
    </row>
    <row r="7" spans="1:27" x14ac:dyDescent="0.3">
      <c r="A7" s="41">
        <v>1500</v>
      </c>
      <c r="B7" s="42" t="s">
        <v>140</v>
      </c>
      <c r="C7" s="1">
        <f t="shared" si="2"/>
        <v>6360668</v>
      </c>
      <c r="D7" s="1">
        <v>2154043</v>
      </c>
      <c r="E7" s="1">
        <v>1319339</v>
      </c>
      <c r="F7" s="1">
        <v>792440</v>
      </c>
      <c r="G7" s="1">
        <v>871750</v>
      </c>
      <c r="H7" s="1">
        <v>220848</v>
      </c>
      <c r="I7" s="9">
        <f t="shared" si="1"/>
        <v>606649</v>
      </c>
      <c r="J7" s="1"/>
      <c r="K7" s="1">
        <v>280316</v>
      </c>
      <c r="L7" s="1">
        <v>91600</v>
      </c>
      <c r="M7" s="1">
        <v>117271</v>
      </c>
      <c r="N7" s="1">
        <v>115132</v>
      </c>
      <c r="O7" s="1">
        <v>0</v>
      </c>
      <c r="P7" s="1">
        <v>2330</v>
      </c>
      <c r="Q7" s="1"/>
      <c r="R7" s="1">
        <v>-182410</v>
      </c>
      <c r="S7" s="1">
        <v>519665</v>
      </c>
      <c r="T7" s="1">
        <v>58344</v>
      </c>
      <c r="U7" s="1"/>
      <c r="V7" s="1">
        <f t="shared" si="3"/>
        <v>269164</v>
      </c>
      <c r="W7" s="1">
        <v>269164</v>
      </c>
      <c r="Z7" s="1"/>
      <c r="AA7" s="1"/>
    </row>
    <row r="8" spans="1:27" x14ac:dyDescent="0.3">
      <c r="A8" s="41">
        <v>1800</v>
      </c>
      <c r="B8" s="42" t="s">
        <v>141</v>
      </c>
      <c r="C8" s="1">
        <f t="shared" si="2"/>
        <v>6794155</v>
      </c>
      <c r="D8" s="1">
        <v>2266746</v>
      </c>
      <c r="E8" s="1">
        <v>1121549</v>
      </c>
      <c r="F8" s="1">
        <v>1019122</v>
      </c>
      <c r="G8" s="1">
        <v>900745</v>
      </c>
      <c r="H8" s="1">
        <v>243665</v>
      </c>
      <c r="I8" s="9">
        <f t="shared" si="1"/>
        <v>810187</v>
      </c>
      <c r="J8" s="1"/>
      <c r="K8" s="1">
        <v>403959</v>
      </c>
      <c r="L8" s="1">
        <v>79480</v>
      </c>
      <c r="M8" s="1">
        <v>185429</v>
      </c>
      <c r="N8" s="1">
        <v>141006</v>
      </c>
      <c r="O8" s="1">
        <v>7</v>
      </c>
      <c r="P8" s="1">
        <v>306</v>
      </c>
      <c r="Q8" s="1"/>
      <c r="R8" s="1">
        <v>-200862</v>
      </c>
      <c r="S8" s="1">
        <v>259498</v>
      </c>
      <c r="T8" s="1">
        <v>373505</v>
      </c>
      <c r="U8" s="1"/>
      <c r="V8" s="1">
        <f t="shared" si="3"/>
        <v>241960</v>
      </c>
      <c r="W8" s="1">
        <v>241960</v>
      </c>
      <c r="Z8" s="1"/>
      <c r="AA8" s="1"/>
    </row>
    <row r="9" spans="1:27" x14ac:dyDescent="0.3">
      <c r="A9" s="41">
        <v>3000</v>
      </c>
      <c r="B9" s="42" t="s">
        <v>403</v>
      </c>
      <c r="C9" s="1">
        <f t="shared" si="2"/>
        <v>17436903</v>
      </c>
      <c r="D9" s="1">
        <v>9495613</v>
      </c>
      <c r="E9" s="1">
        <v>2254982</v>
      </c>
      <c r="F9" s="1">
        <v>2745131</v>
      </c>
      <c r="G9" s="1">
        <v>0</v>
      </c>
      <c r="H9" s="1">
        <v>605396</v>
      </c>
      <c r="I9" s="9">
        <f t="shared" si="1"/>
        <v>2109785</v>
      </c>
      <c r="J9" s="1"/>
      <c r="K9" s="1">
        <v>1376810</v>
      </c>
      <c r="L9" s="1">
        <v>203628</v>
      </c>
      <c r="M9" s="1">
        <v>119478</v>
      </c>
      <c r="N9" s="1">
        <v>405320</v>
      </c>
      <c r="O9" s="1">
        <v>4820</v>
      </c>
      <c r="P9" s="1">
        <v>-271</v>
      </c>
      <c r="Q9" s="1"/>
      <c r="R9" s="1">
        <v>-609560</v>
      </c>
      <c r="S9" s="1">
        <v>119091</v>
      </c>
      <c r="T9" s="1">
        <v>716465</v>
      </c>
      <c r="U9" s="1"/>
      <c r="V9" s="1">
        <f t="shared" si="3"/>
        <v>1300096</v>
      </c>
      <c r="W9" s="1">
        <v>1300096</v>
      </c>
      <c r="Z9" s="1"/>
      <c r="AA9" s="1"/>
    </row>
    <row r="10" spans="1:27" x14ac:dyDescent="0.3">
      <c r="A10" s="41">
        <v>3400</v>
      </c>
      <c r="B10" s="42" t="s">
        <v>404</v>
      </c>
      <c r="C10" s="1">
        <f t="shared" si="2"/>
        <v>6659244</v>
      </c>
      <c r="D10" s="1">
        <v>2914684</v>
      </c>
      <c r="E10" s="1">
        <v>1430728</v>
      </c>
      <c r="F10" s="1">
        <v>885096</v>
      </c>
      <c r="G10" s="1">
        <v>22266</v>
      </c>
      <c r="H10" s="1">
        <v>254447</v>
      </c>
      <c r="I10" s="9">
        <f t="shared" si="1"/>
        <v>826147</v>
      </c>
      <c r="J10" s="1"/>
      <c r="K10" s="1">
        <v>410357</v>
      </c>
      <c r="L10" s="1">
        <v>134588</v>
      </c>
      <c r="M10" s="1">
        <v>110266</v>
      </c>
      <c r="N10" s="1">
        <v>166543</v>
      </c>
      <c r="O10" s="1">
        <v>0</v>
      </c>
      <c r="P10" s="1">
        <v>4393</v>
      </c>
      <c r="Q10" s="1"/>
      <c r="R10" s="1">
        <v>-276193</v>
      </c>
      <c r="S10" s="1">
        <v>170354</v>
      </c>
      <c r="T10" s="1">
        <v>431715</v>
      </c>
      <c r="U10" s="1"/>
      <c r="V10" s="1">
        <f t="shared" si="3"/>
        <v>374624</v>
      </c>
      <c r="W10" s="1">
        <v>374624</v>
      </c>
      <c r="Z10" s="1"/>
      <c r="AA10" s="1"/>
    </row>
    <row r="11" spans="1:27" x14ac:dyDescent="0.3">
      <c r="A11" s="41">
        <v>3800</v>
      </c>
      <c r="B11" s="42" t="s">
        <v>405</v>
      </c>
      <c r="C11" s="1">
        <f t="shared" si="2"/>
        <v>6440637</v>
      </c>
      <c r="D11" s="1">
        <v>3319398</v>
      </c>
      <c r="E11" s="1">
        <v>1020812</v>
      </c>
      <c r="F11" s="1">
        <v>721483</v>
      </c>
      <c r="G11" s="1">
        <v>45498</v>
      </c>
      <c r="H11" s="1">
        <v>286441</v>
      </c>
      <c r="I11" s="9">
        <f t="shared" si="1"/>
        <v>852900</v>
      </c>
      <c r="J11" s="1"/>
      <c r="K11" s="1">
        <v>347889</v>
      </c>
      <c r="L11" s="1">
        <v>164781</v>
      </c>
      <c r="M11" s="1">
        <v>144273</v>
      </c>
      <c r="N11" s="1">
        <v>193476</v>
      </c>
      <c r="O11" s="1">
        <v>-30</v>
      </c>
      <c r="P11" s="1">
        <v>2511</v>
      </c>
      <c r="Q11" s="1"/>
      <c r="R11" s="1">
        <v>-302629</v>
      </c>
      <c r="S11" s="1">
        <v>320334</v>
      </c>
      <c r="T11" s="1">
        <v>176400</v>
      </c>
      <c r="U11" s="1"/>
      <c r="V11" s="1">
        <f t="shared" si="3"/>
        <v>431103</v>
      </c>
      <c r="W11" s="1">
        <v>431103</v>
      </c>
      <c r="Z11" s="1"/>
      <c r="AA11" s="1"/>
    </row>
    <row r="12" spans="1:27" x14ac:dyDescent="0.3">
      <c r="A12" s="41">
        <v>4200</v>
      </c>
      <c r="B12" s="42" t="s">
        <v>406</v>
      </c>
      <c r="C12" s="1">
        <f t="shared" si="2"/>
        <v>5339572</v>
      </c>
      <c r="D12" s="1">
        <v>2747324</v>
      </c>
      <c r="E12" s="1">
        <v>986795</v>
      </c>
      <c r="F12" s="1">
        <v>643305</v>
      </c>
      <c r="G12" s="1">
        <v>52436</v>
      </c>
      <c r="H12" s="1">
        <v>211430</v>
      </c>
      <c r="I12" s="9">
        <f t="shared" si="1"/>
        <v>96522</v>
      </c>
      <c r="J12" s="1"/>
      <c r="K12" s="1">
        <v>370943</v>
      </c>
      <c r="L12" s="1">
        <v>187113</v>
      </c>
      <c r="M12" s="1">
        <v>-650508</v>
      </c>
      <c r="N12" s="1">
        <v>169778</v>
      </c>
      <c r="O12" s="1">
        <v>0</v>
      </c>
      <c r="P12" s="1">
        <v>19196</v>
      </c>
      <c r="Q12" s="1"/>
      <c r="R12" s="1">
        <v>-248648</v>
      </c>
      <c r="S12" s="1">
        <v>373925</v>
      </c>
      <c r="T12" s="1">
        <v>476483</v>
      </c>
      <c r="U12" s="1"/>
      <c r="V12" s="1">
        <f t="shared" si="3"/>
        <v>317444</v>
      </c>
      <c r="W12" s="1">
        <v>317444</v>
      </c>
      <c r="Z12" s="1"/>
      <c r="AA12" s="1"/>
    </row>
    <row r="13" spans="1:27" x14ac:dyDescent="0.3">
      <c r="A13" s="41">
        <v>4600</v>
      </c>
      <c r="B13" s="42" t="s">
        <v>407</v>
      </c>
      <c r="C13" s="1">
        <f t="shared" si="2"/>
        <v>13741147</v>
      </c>
      <c r="D13" s="1">
        <v>4709017</v>
      </c>
      <c r="E13" s="1">
        <v>2318535</v>
      </c>
      <c r="F13" s="1">
        <v>2658253</v>
      </c>
      <c r="G13" s="1">
        <v>1116590</v>
      </c>
      <c r="H13" s="1">
        <v>417172</v>
      </c>
      <c r="I13" s="9">
        <f t="shared" si="1"/>
        <v>673430</v>
      </c>
      <c r="J13" s="1"/>
      <c r="K13" s="1">
        <v>614581</v>
      </c>
      <c r="L13" s="1">
        <v>121994</v>
      </c>
      <c r="M13" s="1">
        <v>-404096</v>
      </c>
      <c r="N13" s="1">
        <v>340950</v>
      </c>
      <c r="O13" s="1">
        <v>0</v>
      </c>
      <c r="P13" s="1">
        <v>1</v>
      </c>
      <c r="Q13" s="1"/>
      <c r="R13" s="1">
        <v>-129001</v>
      </c>
      <c r="S13" s="1">
        <v>1120025</v>
      </c>
      <c r="T13" s="1">
        <v>857126</v>
      </c>
      <c r="U13" s="1"/>
      <c r="V13" s="1">
        <f t="shared" si="3"/>
        <v>648436</v>
      </c>
      <c r="W13" s="1">
        <v>648436</v>
      </c>
      <c r="Z13" s="1"/>
      <c r="AA13" s="1"/>
    </row>
    <row r="14" spans="1:27" x14ac:dyDescent="0.3">
      <c r="A14" s="41">
        <v>5000</v>
      </c>
      <c r="B14" s="42" t="s">
        <v>388</v>
      </c>
      <c r="C14" s="1">
        <f t="shared" si="2"/>
        <v>8782084</v>
      </c>
      <c r="D14" s="1">
        <v>3812063</v>
      </c>
      <c r="E14" s="1">
        <v>1633230</v>
      </c>
      <c r="F14" s="1">
        <v>1159864</v>
      </c>
      <c r="G14" s="1">
        <v>325193</v>
      </c>
      <c r="H14" s="1">
        <v>347013</v>
      </c>
      <c r="I14" s="9">
        <f t="shared" si="1"/>
        <v>851117</v>
      </c>
      <c r="J14" s="1"/>
      <c r="K14" s="1">
        <v>412106</v>
      </c>
      <c r="L14" s="1">
        <v>90114</v>
      </c>
      <c r="M14" s="1">
        <v>100710</v>
      </c>
      <c r="N14" s="1">
        <v>248185</v>
      </c>
      <c r="O14" s="1">
        <v>0</v>
      </c>
      <c r="P14" s="1">
        <v>2</v>
      </c>
      <c r="Q14" s="1"/>
      <c r="R14" s="1">
        <v>-131740</v>
      </c>
      <c r="S14" s="1">
        <v>670921</v>
      </c>
      <c r="T14" s="1">
        <v>114423</v>
      </c>
      <c r="U14" s="1"/>
      <c r="V14" s="1">
        <f t="shared" si="3"/>
        <v>480437</v>
      </c>
      <c r="W14" s="1">
        <v>480437</v>
      </c>
      <c r="Z14" s="1"/>
      <c r="AA14" s="1"/>
    </row>
    <row r="15" spans="1:27" x14ac:dyDescent="0.3">
      <c r="A15" s="41">
        <v>5400</v>
      </c>
      <c r="B15" s="42" t="s">
        <v>408</v>
      </c>
      <c r="C15" s="1">
        <f t="shared" si="2"/>
        <v>6597174</v>
      </c>
      <c r="D15" s="1">
        <v>2217161</v>
      </c>
      <c r="E15" s="1">
        <v>1255853</v>
      </c>
      <c r="F15" s="1">
        <v>1064670</v>
      </c>
      <c r="G15" s="1">
        <v>507809</v>
      </c>
      <c r="H15" s="1">
        <v>280170</v>
      </c>
      <c r="I15" s="9">
        <f t="shared" si="1"/>
        <v>442457</v>
      </c>
      <c r="J15" s="1"/>
      <c r="K15" s="1">
        <v>370425</v>
      </c>
      <c r="L15" s="1">
        <v>119943</v>
      </c>
      <c r="M15" s="1">
        <v>94675</v>
      </c>
      <c r="N15" s="1">
        <v>159685</v>
      </c>
      <c r="O15" s="1">
        <v>0</v>
      </c>
      <c r="P15" s="1">
        <v>-302271</v>
      </c>
      <c r="Q15" s="1"/>
      <c r="R15" s="1">
        <v>-266720</v>
      </c>
      <c r="S15" s="1">
        <v>341486</v>
      </c>
      <c r="T15" s="1">
        <v>754288</v>
      </c>
      <c r="U15" s="1"/>
      <c r="V15" s="1">
        <f t="shared" si="3"/>
        <v>243329</v>
      </c>
      <c r="W15" s="1">
        <v>243329</v>
      </c>
      <c r="Z15" s="1"/>
      <c r="AA15" s="1"/>
    </row>
    <row r="16" spans="1:27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Z16" s="4"/>
      <c r="AA16" s="4"/>
    </row>
    <row r="17" spans="2:27" x14ac:dyDescent="0.3">
      <c r="B17" s="1" t="s">
        <v>3</v>
      </c>
      <c r="C17" s="1">
        <f t="shared" ref="C17:T17" si="4">SUM(C5:C15)</f>
        <v>94581983.831651598</v>
      </c>
      <c r="D17" s="1">
        <f t="shared" si="4"/>
        <v>41620421</v>
      </c>
      <c r="E17" s="1">
        <f t="shared" si="4"/>
        <v>14611029</v>
      </c>
      <c r="F17" s="1">
        <f t="shared" si="4"/>
        <v>16746549</v>
      </c>
      <c r="G17" s="1">
        <f t="shared" si="4"/>
        <v>4164084</v>
      </c>
      <c r="H17" s="1">
        <f t="shared" si="4"/>
        <v>3560907</v>
      </c>
      <c r="I17" s="9">
        <f t="shared" si="4"/>
        <v>7999812</v>
      </c>
      <c r="J17" s="1">
        <f t="shared" si="4"/>
        <v>0</v>
      </c>
      <c r="K17" s="1">
        <f t="shared" si="4"/>
        <v>5115407</v>
      </c>
      <c r="L17" s="1">
        <f t="shared" si="4"/>
        <v>1291158</v>
      </c>
      <c r="M17" s="1">
        <f t="shared" si="4"/>
        <v>-238296</v>
      </c>
      <c r="N17" s="1">
        <f t="shared" si="4"/>
        <v>2092588</v>
      </c>
      <c r="O17" s="1">
        <f t="shared" si="4"/>
        <v>4797</v>
      </c>
      <c r="P17" s="1">
        <f t="shared" si="4"/>
        <v>-265842</v>
      </c>
      <c r="Q17" s="1">
        <f t="shared" si="4"/>
        <v>0</v>
      </c>
      <c r="R17" s="1">
        <f t="shared" si="4"/>
        <v>-3276504.2216767771</v>
      </c>
      <c r="S17" s="1">
        <f t="shared" si="4"/>
        <v>4741012.029423316</v>
      </c>
      <c r="T17" s="1">
        <f t="shared" si="4"/>
        <v>4414674.0239050686</v>
      </c>
      <c r="U17" s="1"/>
      <c r="V17" s="1">
        <f>SUM(V5:V15)</f>
        <v>5514056</v>
      </c>
      <c r="W17" s="1">
        <f>SUM(W5:W15)</f>
        <v>5514056</v>
      </c>
      <c r="Z17" s="1"/>
      <c r="AA17" s="1"/>
    </row>
    <row r="18" spans="2:27" x14ac:dyDescent="0.3">
      <c r="AA18" s="5"/>
    </row>
    <row r="20" spans="2:27" x14ac:dyDescent="0.3">
      <c r="R20">
        <f>R5/1.141</f>
        <v>-574956.37307342421</v>
      </c>
      <c r="V20" s="5"/>
    </row>
    <row r="21" spans="2:27" x14ac:dyDescent="0.3">
      <c r="R21" s="5">
        <f>+R5-R20</f>
        <v>-81068.848603352788</v>
      </c>
      <c r="V21" s="5"/>
    </row>
    <row r="22" spans="2:27" x14ac:dyDescent="0.3">
      <c r="V22" s="5"/>
      <c r="W22" s="5"/>
    </row>
    <row r="23" spans="2:27" x14ac:dyDescent="0.3">
      <c r="V23" s="5"/>
    </row>
    <row r="24" spans="2:27" x14ac:dyDescent="0.3">
      <c r="V24" s="5"/>
    </row>
    <row r="25" spans="2:27" x14ac:dyDescent="0.3">
      <c r="V25" s="5"/>
    </row>
    <row r="26" spans="2:27" x14ac:dyDescent="0.3">
      <c r="V26" s="5"/>
    </row>
    <row r="27" spans="2:27" x14ac:dyDescent="0.3">
      <c r="V27" s="5"/>
    </row>
    <row r="28" spans="2:27" x14ac:dyDescent="0.3">
      <c r="V28" s="5"/>
    </row>
    <row r="29" spans="2:27" x14ac:dyDescent="0.3">
      <c r="V29" s="5"/>
    </row>
    <row r="30" spans="2:27" x14ac:dyDescent="0.3">
      <c r="V30" s="5"/>
    </row>
    <row r="31" spans="2:27" x14ac:dyDescent="0.3">
      <c r="V31" s="5"/>
    </row>
    <row r="32" spans="2:27" x14ac:dyDescent="0.3">
      <c r="V32" s="5"/>
    </row>
    <row r="33" spans="22:22" x14ac:dyDescent="0.3">
      <c r="V33" s="5"/>
    </row>
    <row r="34" spans="22:22" x14ac:dyDescent="0.3">
      <c r="V34" s="5"/>
    </row>
    <row r="35" spans="22:22" x14ac:dyDescent="0.3">
      <c r="V35" s="5"/>
    </row>
    <row r="36" spans="22:22" x14ac:dyDescent="0.3">
      <c r="V36" s="5"/>
    </row>
    <row r="37" spans="22:22" x14ac:dyDescent="0.3">
      <c r="V37" s="5"/>
    </row>
    <row r="38" spans="22:22" x14ac:dyDescent="0.3">
      <c r="V38" s="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5F57-1680-4A9E-9D99-A3F10B3489F7}">
  <sheetPr>
    <tabColor rgb="FF92D050"/>
  </sheetPr>
  <dimension ref="A2:U17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109375" customWidth="1"/>
    <col min="10" max="18" width="13.109375" customWidth="1"/>
    <col min="19" max="19" width="6.44140625" customWidth="1"/>
    <col min="20" max="20" width="13.109375" customWidth="1"/>
  </cols>
  <sheetData>
    <row r="2" spans="1:21" ht="104.25" customHeight="1" x14ac:dyDescent="0.3">
      <c r="A2" s="22" t="s">
        <v>2</v>
      </c>
      <c r="B2" s="22" t="s">
        <v>1</v>
      </c>
      <c r="C2" s="22" t="s">
        <v>7</v>
      </c>
      <c r="D2" s="22" t="s">
        <v>153</v>
      </c>
      <c r="E2" s="22" t="s">
        <v>154</v>
      </c>
      <c r="F2" s="22" t="s">
        <v>420</v>
      </c>
      <c r="G2" s="22" t="s">
        <v>421</v>
      </c>
      <c r="H2" s="22" t="s">
        <v>155</v>
      </c>
      <c r="I2" s="11" t="s">
        <v>29</v>
      </c>
      <c r="J2" s="22" t="s">
        <v>156</v>
      </c>
      <c r="K2" s="22" t="s">
        <v>157</v>
      </c>
      <c r="L2" s="22" t="s">
        <v>158</v>
      </c>
      <c r="M2" s="22" t="s">
        <v>159</v>
      </c>
      <c r="N2" s="22" t="s">
        <v>160</v>
      </c>
      <c r="O2" s="22" t="s">
        <v>161</v>
      </c>
      <c r="P2" s="22" t="s">
        <v>162</v>
      </c>
      <c r="Q2" s="22" t="s">
        <v>163</v>
      </c>
      <c r="R2" s="22" t="s">
        <v>8</v>
      </c>
      <c r="S2" s="22"/>
      <c r="T2" s="22"/>
      <c r="U2" s="22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>+F3+1</f>
        <v>7</v>
      </c>
      <c r="H3" s="107">
        <f>+G3+1</f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19"/>
    </row>
    <row r="5" spans="1:21" x14ac:dyDescent="0.3">
      <c r="A5" s="41">
        <v>300</v>
      </c>
      <c r="B5" s="42" t="s">
        <v>0</v>
      </c>
      <c r="C5" s="1">
        <f t="shared" ref="C5:C15" si="1">SUM(D5:I5)+R5</f>
        <v>254599</v>
      </c>
      <c r="D5" s="1">
        <v>244967</v>
      </c>
      <c r="E5" s="1">
        <v>0</v>
      </c>
      <c r="F5" s="1">
        <v>2448</v>
      </c>
      <c r="G5" s="1">
        <v>0</v>
      </c>
      <c r="H5" s="1">
        <v>4760</v>
      </c>
      <c r="I5" s="9">
        <f t="shared" ref="I5:I15" si="2">SUM(J5:Q5)</f>
        <v>2424</v>
      </c>
      <c r="J5" s="1"/>
      <c r="K5" s="1">
        <v>2424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1">
        <v>0</v>
      </c>
      <c r="T5" s="1"/>
      <c r="U5" s="1"/>
    </row>
    <row r="6" spans="1:21" x14ac:dyDescent="0.3">
      <c r="A6" s="41">
        <v>1100</v>
      </c>
      <c r="B6" s="42" t="s">
        <v>139</v>
      </c>
      <c r="C6" s="1">
        <f t="shared" si="1"/>
        <v>710713</v>
      </c>
      <c r="D6" s="1">
        <v>235764</v>
      </c>
      <c r="E6" s="1">
        <v>419287</v>
      </c>
      <c r="F6" s="1">
        <v>0</v>
      </c>
      <c r="G6" s="1">
        <v>0</v>
      </c>
      <c r="H6" s="1">
        <v>21570</v>
      </c>
      <c r="I6" s="9">
        <f t="shared" si="2"/>
        <v>34092</v>
      </c>
      <c r="J6" s="1"/>
      <c r="K6" s="1">
        <v>34054</v>
      </c>
      <c r="L6" s="1">
        <v>38</v>
      </c>
      <c r="M6" s="1">
        <v>0</v>
      </c>
      <c r="N6" s="1">
        <v>0</v>
      </c>
      <c r="O6" s="1">
        <v>0</v>
      </c>
      <c r="P6" s="1">
        <v>0</v>
      </c>
      <c r="Q6" s="1"/>
      <c r="R6" s="1">
        <v>0</v>
      </c>
      <c r="T6" s="1"/>
      <c r="U6" s="1"/>
    </row>
    <row r="7" spans="1:21" x14ac:dyDescent="0.3">
      <c r="A7" s="41">
        <v>1500</v>
      </c>
      <c r="B7" s="42" t="s">
        <v>140</v>
      </c>
      <c r="C7" s="1">
        <f t="shared" si="1"/>
        <v>567718</v>
      </c>
      <c r="D7" s="1">
        <v>127816</v>
      </c>
      <c r="E7" s="1">
        <v>412643</v>
      </c>
      <c r="F7" s="1">
        <v>11319</v>
      </c>
      <c r="G7" s="1">
        <v>627</v>
      </c>
      <c r="H7" s="1">
        <v>10331</v>
      </c>
      <c r="I7" s="9">
        <f t="shared" si="2"/>
        <v>4982</v>
      </c>
      <c r="J7" s="1"/>
      <c r="K7" s="1">
        <v>4250</v>
      </c>
      <c r="L7" s="1">
        <v>62</v>
      </c>
      <c r="M7" s="1">
        <v>65</v>
      </c>
      <c r="N7" s="1">
        <v>605</v>
      </c>
      <c r="O7" s="1">
        <v>0</v>
      </c>
      <c r="P7" s="1">
        <v>0</v>
      </c>
      <c r="Q7" s="1"/>
      <c r="R7" s="1">
        <v>0</v>
      </c>
      <c r="T7" s="1"/>
      <c r="U7" s="1"/>
    </row>
    <row r="8" spans="1:21" x14ac:dyDescent="0.3">
      <c r="A8" s="41">
        <v>1800</v>
      </c>
      <c r="B8" s="42" t="s">
        <v>141</v>
      </c>
      <c r="C8" s="1">
        <f t="shared" si="1"/>
        <v>497512</v>
      </c>
      <c r="D8" s="1">
        <v>178072</v>
      </c>
      <c r="E8" s="1">
        <v>278998</v>
      </c>
      <c r="F8" s="1">
        <v>7339</v>
      </c>
      <c r="G8" s="1">
        <v>299</v>
      </c>
      <c r="H8" s="1">
        <v>13060</v>
      </c>
      <c r="I8" s="9">
        <f t="shared" si="2"/>
        <v>19744</v>
      </c>
      <c r="J8" s="1"/>
      <c r="K8" s="1">
        <v>6779</v>
      </c>
      <c r="L8" s="1">
        <v>160</v>
      </c>
      <c r="M8" s="1">
        <v>8433</v>
      </c>
      <c r="N8" s="1">
        <v>4006</v>
      </c>
      <c r="O8" s="1">
        <v>0</v>
      </c>
      <c r="P8" s="1">
        <v>366</v>
      </c>
      <c r="Q8" s="1"/>
      <c r="R8" s="1">
        <v>0</v>
      </c>
      <c r="T8" s="1"/>
      <c r="U8" s="1"/>
    </row>
    <row r="9" spans="1:21" x14ac:dyDescent="0.3">
      <c r="A9" s="41">
        <v>3000</v>
      </c>
      <c r="B9" s="42" t="s">
        <v>403</v>
      </c>
      <c r="C9" s="1">
        <f t="shared" si="1"/>
        <v>1054797</v>
      </c>
      <c r="D9" s="1">
        <v>475930</v>
      </c>
      <c r="E9" s="1">
        <v>425763</v>
      </c>
      <c r="F9" s="1">
        <v>69706</v>
      </c>
      <c r="G9" s="1">
        <v>0</v>
      </c>
      <c r="H9" s="1">
        <v>23567</v>
      </c>
      <c r="I9" s="9">
        <f t="shared" si="2"/>
        <v>59831</v>
      </c>
      <c r="J9" s="1"/>
      <c r="K9" s="1">
        <v>58326</v>
      </c>
      <c r="L9" s="1">
        <v>268</v>
      </c>
      <c r="M9" s="1">
        <v>0</v>
      </c>
      <c r="N9" s="1">
        <v>1237</v>
      </c>
      <c r="O9" s="1">
        <v>0</v>
      </c>
      <c r="P9" s="1">
        <v>0</v>
      </c>
      <c r="Q9" s="1"/>
      <c r="R9" s="1">
        <v>0</v>
      </c>
      <c r="T9" s="1"/>
      <c r="U9" s="1"/>
    </row>
    <row r="10" spans="1:21" x14ac:dyDescent="0.3">
      <c r="A10" s="41">
        <v>3400</v>
      </c>
      <c r="B10" s="42" t="s">
        <v>404</v>
      </c>
      <c r="C10" s="1">
        <f t="shared" si="1"/>
        <v>418183</v>
      </c>
      <c r="D10" s="1">
        <v>197104</v>
      </c>
      <c r="E10" s="1">
        <v>197386</v>
      </c>
      <c r="F10" s="1">
        <v>3843</v>
      </c>
      <c r="G10" s="1">
        <v>4800</v>
      </c>
      <c r="H10" s="1">
        <v>7126</v>
      </c>
      <c r="I10" s="9">
        <f t="shared" si="2"/>
        <v>7924</v>
      </c>
      <c r="J10" s="1"/>
      <c r="K10" s="1">
        <v>6491</v>
      </c>
      <c r="L10" s="1">
        <v>7</v>
      </c>
      <c r="M10" s="1">
        <v>856</v>
      </c>
      <c r="N10" s="1">
        <v>570</v>
      </c>
      <c r="O10" s="1">
        <v>0</v>
      </c>
      <c r="P10" s="1">
        <v>0</v>
      </c>
      <c r="Q10" s="1"/>
      <c r="R10" s="1">
        <v>0</v>
      </c>
      <c r="T10" s="1"/>
      <c r="U10" s="1"/>
    </row>
    <row r="11" spans="1:21" x14ac:dyDescent="0.3">
      <c r="A11" s="41">
        <v>3800</v>
      </c>
      <c r="B11" s="42" t="s">
        <v>405</v>
      </c>
      <c r="C11" s="1">
        <f t="shared" si="1"/>
        <v>378154</v>
      </c>
      <c r="D11" s="1">
        <v>180442</v>
      </c>
      <c r="E11" s="1">
        <v>165473</v>
      </c>
      <c r="F11" s="1">
        <v>2636</v>
      </c>
      <c r="G11" s="1">
        <v>0</v>
      </c>
      <c r="H11" s="1">
        <v>4355</v>
      </c>
      <c r="I11" s="9">
        <f t="shared" si="2"/>
        <v>25248</v>
      </c>
      <c r="J11" s="1"/>
      <c r="K11" s="1">
        <v>16491</v>
      </c>
      <c r="L11" s="1">
        <v>6106</v>
      </c>
      <c r="M11" s="1">
        <v>215</v>
      </c>
      <c r="N11" s="1">
        <v>2436</v>
      </c>
      <c r="O11" s="1">
        <v>0</v>
      </c>
      <c r="P11" s="1">
        <v>0</v>
      </c>
      <c r="Q11" s="1"/>
      <c r="R11" s="1">
        <v>0</v>
      </c>
      <c r="T11" s="1"/>
      <c r="U11" s="1"/>
    </row>
    <row r="12" spans="1:21" x14ac:dyDescent="0.3">
      <c r="A12" s="41">
        <v>4200</v>
      </c>
      <c r="B12" s="42" t="s">
        <v>406</v>
      </c>
      <c r="C12" s="1">
        <f t="shared" si="1"/>
        <v>423564</v>
      </c>
      <c r="D12" s="1">
        <v>182920</v>
      </c>
      <c r="E12" s="1">
        <v>203519</v>
      </c>
      <c r="F12" s="1">
        <v>5099</v>
      </c>
      <c r="G12" s="1">
        <v>0</v>
      </c>
      <c r="H12" s="1">
        <v>9941</v>
      </c>
      <c r="I12" s="9">
        <f t="shared" si="2"/>
        <v>22085</v>
      </c>
      <c r="J12" s="1"/>
      <c r="K12" s="1">
        <v>14676</v>
      </c>
      <c r="L12" s="1">
        <v>1945</v>
      </c>
      <c r="M12" s="1">
        <v>5265</v>
      </c>
      <c r="N12" s="1">
        <v>0</v>
      </c>
      <c r="O12" s="1">
        <v>0</v>
      </c>
      <c r="P12" s="1">
        <v>199</v>
      </c>
      <c r="Q12" s="1"/>
      <c r="R12" s="1">
        <v>0</v>
      </c>
      <c r="T12" s="1"/>
      <c r="U12" s="1"/>
    </row>
    <row r="13" spans="1:21" x14ac:dyDescent="0.3">
      <c r="A13" s="41">
        <v>4600</v>
      </c>
      <c r="B13" s="42" t="s">
        <v>407</v>
      </c>
      <c r="C13" s="1">
        <f t="shared" si="1"/>
        <v>1637861</v>
      </c>
      <c r="D13" s="1">
        <v>359306</v>
      </c>
      <c r="E13" s="1">
        <v>704153</v>
      </c>
      <c r="F13" s="1">
        <v>513231</v>
      </c>
      <c r="G13" s="1">
        <v>0</v>
      </c>
      <c r="H13" s="1">
        <v>16327</v>
      </c>
      <c r="I13" s="9">
        <f t="shared" si="2"/>
        <v>44844</v>
      </c>
      <c r="J13" s="1"/>
      <c r="K13" s="1">
        <v>41759</v>
      </c>
      <c r="L13" s="1">
        <v>56</v>
      </c>
      <c r="M13" s="1">
        <v>117</v>
      </c>
      <c r="N13" s="1">
        <v>2912</v>
      </c>
      <c r="O13" s="1">
        <v>0</v>
      </c>
      <c r="P13" s="1">
        <v>0</v>
      </c>
      <c r="Q13" s="1"/>
      <c r="R13" s="1">
        <v>0</v>
      </c>
      <c r="T13" s="1"/>
      <c r="U13" s="1"/>
    </row>
    <row r="14" spans="1:21" x14ac:dyDescent="0.3">
      <c r="A14" s="41">
        <v>5000</v>
      </c>
      <c r="B14" s="42" t="s">
        <v>388</v>
      </c>
      <c r="C14" s="1">
        <f t="shared" si="1"/>
        <v>800087</v>
      </c>
      <c r="D14" s="1">
        <v>321370</v>
      </c>
      <c r="E14" s="1">
        <v>447053</v>
      </c>
      <c r="F14" s="1">
        <v>6070</v>
      </c>
      <c r="G14" s="1">
        <v>4947</v>
      </c>
      <c r="H14" s="1">
        <v>7100</v>
      </c>
      <c r="I14" s="9">
        <f t="shared" si="2"/>
        <v>13547</v>
      </c>
      <c r="J14" s="1"/>
      <c r="K14" s="1">
        <v>3273</v>
      </c>
      <c r="L14" s="1">
        <v>348</v>
      </c>
      <c r="M14" s="1">
        <v>9380</v>
      </c>
      <c r="N14" s="1">
        <v>546</v>
      </c>
      <c r="O14" s="1">
        <v>0</v>
      </c>
      <c r="P14" s="1">
        <v>0</v>
      </c>
      <c r="Q14" s="1"/>
      <c r="R14" s="1">
        <v>0</v>
      </c>
      <c r="T14" s="1"/>
      <c r="U14" s="1"/>
    </row>
    <row r="15" spans="1:21" x14ac:dyDescent="0.3">
      <c r="A15" s="41">
        <v>5400</v>
      </c>
      <c r="B15" s="42" t="s">
        <v>408</v>
      </c>
      <c r="C15" s="1">
        <f t="shared" si="1"/>
        <v>427935</v>
      </c>
      <c r="D15" s="1">
        <v>108691</v>
      </c>
      <c r="E15" s="1">
        <v>258899</v>
      </c>
      <c r="F15" s="1">
        <v>15217</v>
      </c>
      <c r="G15" s="1">
        <v>1040</v>
      </c>
      <c r="H15" s="1">
        <v>16446</v>
      </c>
      <c r="I15" s="9">
        <f t="shared" si="2"/>
        <v>27642</v>
      </c>
      <c r="J15" s="1"/>
      <c r="K15" s="1">
        <v>20556</v>
      </c>
      <c r="L15" s="1">
        <v>95</v>
      </c>
      <c r="M15" s="1">
        <v>0</v>
      </c>
      <c r="N15" s="1">
        <v>1216</v>
      </c>
      <c r="O15" s="1">
        <v>0</v>
      </c>
      <c r="P15" s="1">
        <v>5775</v>
      </c>
      <c r="Q15" s="1"/>
      <c r="R15" s="1">
        <v>0</v>
      </c>
      <c r="T15" s="1"/>
      <c r="U15" s="1"/>
    </row>
    <row r="16" spans="1:21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 t="shared" ref="C17:R17" si="3">SUM(C5:C15)</f>
        <v>7171123</v>
      </c>
      <c r="D17" s="1">
        <f t="shared" si="3"/>
        <v>2612382</v>
      </c>
      <c r="E17" s="1">
        <f t="shared" si="3"/>
        <v>3513174</v>
      </c>
      <c r="F17" s="1">
        <f t="shared" si="3"/>
        <v>636908</v>
      </c>
      <c r="G17" s="1">
        <f t="shared" si="3"/>
        <v>11713</v>
      </c>
      <c r="H17" s="1">
        <f t="shared" si="3"/>
        <v>134583</v>
      </c>
      <c r="I17" s="9">
        <f t="shared" si="3"/>
        <v>262363</v>
      </c>
      <c r="J17" s="1">
        <f t="shared" si="3"/>
        <v>0</v>
      </c>
      <c r="K17" s="1">
        <f t="shared" si="3"/>
        <v>209079</v>
      </c>
      <c r="L17" s="1">
        <f t="shared" si="3"/>
        <v>9085</v>
      </c>
      <c r="M17" s="1">
        <f t="shared" si="3"/>
        <v>24331</v>
      </c>
      <c r="N17" s="1">
        <f t="shared" si="3"/>
        <v>13528</v>
      </c>
      <c r="O17" s="1">
        <f t="shared" si="3"/>
        <v>0</v>
      </c>
      <c r="P17" s="1">
        <f t="shared" si="3"/>
        <v>6340</v>
      </c>
      <c r="Q17" s="1">
        <f t="shared" si="3"/>
        <v>0</v>
      </c>
      <c r="R17" s="1">
        <f t="shared" si="3"/>
        <v>0</v>
      </c>
      <c r="S17" s="1"/>
      <c r="T17" s="1"/>
      <c r="U17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5DE1-E40F-452E-B33B-C1AF10607FBC}">
  <dimension ref="A2:AW22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4.5546875" customWidth="1"/>
    <col min="4" max="4" width="4" customWidth="1"/>
    <col min="5" max="9" width="13.109375" customWidth="1"/>
    <col min="10" max="10" width="14.5546875" customWidth="1"/>
    <col min="11" max="11" width="3.5546875" customWidth="1"/>
    <col min="17" max="17" width="14.5546875" customWidth="1"/>
    <col min="26" max="26" width="14.5546875" customWidth="1"/>
    <col min="27" max="27" width="4.88671875" customWidth="1"/>
    <col min="33" max="33" width="14.5546875" customWidth="1"/>
    <col min="42" max="42" width="14.5546875" customWidth="1"/>
    <col min="43" max="43" width="5.44140625" customWidth="1"/>
    <col min="44" max="44" width="14.5546875" customWidth="1"/>
    <col min="45" max="45" width="6" customWidth="1"/>
    <col min="46" max="46" width="14.5546875" customWidth="1"/>
    <col min="47" max="47" width="6" customWidth="1"/>
    <col min="48" max="48" width="14.5546875" customWidth="1"/>
    <col min="49" max="49" width="16.44140625" customWidth="1"/>
  </cols>
  <sheetData>
    <row r="2" spans="1:49" ht="104.25" customHeight="1" x14ac:dyDescent="0.3">
      <c r="A2" s="22" t="s">
        <v>2</v>
      </c>
      <c r="B2" s="22" t="s">
        <v>1</v>
      </c>
      <c r="C2" s="11" t="s">
        <v>16</v>
      </c>
      <c r="D2" s="22"/>
      <c r="E2" s="22" t="s">
        <v>176</v>
      </c>
      <c r="F2" s="22" t="s">
        <v>177</v>
      </c>
      <c r="G2" s="22" t="s">
        <v>277</v>
      </c>
      <c r="H2" s="22" t="s">
        <v>278</v>
      </c>
      <c r="I2" s="22" t="s">
        <v>178</v>
      </c>
      <c r="J2" s="11" t="s">
        <v>89</v>
      </c>
      <c r="K2" s="22"/>
      <c r="L2" s="22" t="s">
        <v>179</v>
      </c>
      <c r="M2" s="22" t="s">
        <v>180</v>
      </c>
      <c r="N2" s="22" t="s">
        <v>279</v>
      </c>
      <c r="O2" s="22" t="s">
        <v>280</v>
      </c>
      <c r="P2" s="22" t="s">
        <v>181</v>
      </c>
      <c r="Q2" s="45" t="s">
        <v>82</v>
      </c>
      <c r="R2" s="22" t="s">
        <v>84</v>
      </c>
      <c r="S2" s="22" t="s">
        <v>182</v>
      </c>
      <c r="T2" s="22" t="s">
        <v>183</v>
      </c>
      <c r="U2" s="22" t="s">
        <v>85</v>
      </c>
      <c r="V2" s="22" t="s">
        <v>184</v>
      </c>
      <c r="W2" s="22" t="s">
        <v>86</v>
      </c>
      <c r="X2" s="22" t="s">
        <v>87</v>
      </c>
      <c r="Y2" s="22"/>
      <c r="Z2" s="11" t="s">
        <v>90</v>
      </c>
      <c r="AA2" s="22"/>
      <c r="AB2" s="22" t="s">
        <v>185</v>
      </c>
      <c r="AC2" s="22" t="s">
        <v>186</v>
      </c>
      <c r="AD2" s="22" t="s">
        <v>281</v>
      </c>
      <c r="AE2" s="22" t="s">
        <v>282</v>
      </c>
      <c r="AF2" s="22" t="s">
        <v>187</v>
      </c>
      <c r="AG2" s="45" t="s">
        <v>99</v>
      </c>
      <c r="AH2" s="22"/>
      <c r="AI2" s="22" t="s">
        <v>188</v>
      </c>
      <c r="AJ2" s="22" t="s">
        <v>189</v>
      </c>
      <c r="AK2" s="22" t="s">
        <v>100</v>
      </c>
      <c r="AL2" s="22" t="s">
        <v>190</v>
      </c>
      <c r="AM2" s="22" t="s">
        <v>101</v>
      </c>
      <c r="AN2" s="22" t="s">
        <v>102</v>
      </c>
      <c r="AO2" s="22"/>
      <c r="AP2" s="11" t="s">
        <v>103</v>
      </c>
      <c r="AQ2" s="109"/>
      <c r="AR2" s="11" t="s">
        <v>120</v>
      </c>
      <c r="AS2" s="109"/>
      <c r="AT2" s="11"/>
      <c r="AU2" s="109"/>
      <c r="AV2" s="11" t="s">
        <v>104</v>
      </c>
    </row>
    <row r="3" spans="1:49" x14ac:dyDescent="0.3">
      <c r="A3" s="107">
        <v>1</v>
      </c>
      <c r="B3" s="107">
        <f>+A3+1</f>
        <v>2</v>
      </c>
      <c r="C3" s="10">
        <f>+B3+1</f>
        <v>3</v>
      </c>
      <c r="D3" s="107">
        <f t="shared" ref="D3:AV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46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  <c r="AE3" s="107">
        <f t="shared" si="0"/>
        <v>31</v>
      </c>
      <c r="AF3" s="107">
        <f t="shared" si="0"/>
        <v>32</v>
      </c>
      <c r="AG3" s="46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7">
        <f t="shared" si="0"/>
        <v>39</v>
      </c>
      <c r="AN3" s="107">
        <f t="shared" si="0"/>
        <v>40</v>
      </c>
      <c r="AO3" s="107">
        <f t="shared" si="0"/>
        <v>41</v>
      </c>
      <c r="AP3" s="10">
        <f t="shared" si="0"/>
        <v>42</v>
      </c>
      <c r="AQ3" s="110">
        <f t="shared" si="0"/>
        <v>43</v>
      </c>
      <c r="AR3" s="10">
        <f t="shared" si="0"/>
        <v>44</v>
      </c>
      <c r="AS3" s="110">
        <f t="shared" si="0"/>
        <v>45</v>
      </c>
      <c r="AT3" s="10">
        <f t="shared" si="0"/>
        <v>46</v>
      </c>
      <c r="AU3" s="110">
        <f t="shared" si="0"/>
        <v>47</v>
      </c>
      <c r="AV3" s="10">
        <f t="shared" si="0"/>
        <v>48</v>
      </c>
    </row>
    <row r="4" spans="1:49" x14ac:dyDescent="0.3">
      <c r="C4" s="19"/>
      <c r="J4" s="19"/>
      <c r="Q4" s="47"/>
      <c r="Z4" s="19"/>
      <c r="AG4" s="47"/>
      <c r="AP4" s="19"/>
      <c r="AR4" s="19"/>
      <c r="AT4" s="19"/>
      <c r="AV4" s="19"/>
    </row>
    <row r="5" spans="1:49" x14ac:dyDescent="0.3">
      <c r="A5" s="41">
        <v>300</v>
      </c>
      <c r="B5" s="42" t="s">
        <v>0</v>
      </c>
      <c r="C5" s="9">
        <f>+'2021 Grunnlag korreksjoner'!C5*1000/'2021 Nto driftsutg'!W5</f>
        <v>-61.629725888181142</v>
      </c>
      <c r="D5" s="1"/>
      <c r="E5" s="1">
        <f>+'2021 Nto driftsutg landet'!$C$5*'2021 Revekting utgiftsbehov'!Z5-'2021 Nto driftsutg landet'!$C$5</f>
        <v>-1845.3869549120873</v>
      </c>
      <c r="F5" s="1">
        <f>+'2021 Nto driftsutg landet'!$C$6*'2021 Revekting utgiftsbehov'!AA5-'2021 Nto driftsutg landet'!$C$6</f>
        <v>-1198.5840485467838</v>
      </c>
      <c r="G5" s="1">
        <f>+'2021 Nto driftsutg landet'!$C$7*'2021 Revekting utgiftsbehov'!AB5-'2021 Nto driftsutg landet'!$C$7</f>
        <v>1851.4710035708504</v>
      </c>
      <c r="H5" s="1">
        <f>+'2021 Nto driftsutg landet'!$C$8*'2021 Revekting utgiftsbehov'!AC5-'2021 Nto driftsutg landet'!$C$8</f>
        <v>-809.12901701539568</v>
      </c>
      <c r="I5" s="1">
        <f>+'2021 Nto driftsutg landet'!$C$9*'2021 Revekting utgiftsbehov'!AD5-'2021 Nto driftsutg landet'!$C$9</f>
        <v>-69.227652579332698</v>
      </c>
      <c r="J5" s="9">
        <f t="shared" ref="J5:J15" si="1">SUM(E5:I5)</f>
        <v>-2070.8566694827491</v>
      </c>
      <c r="L5" s="1">
        <f>'2021 Korr med revekting arbavg'!I5</f>
        <v>26.312231281517736</v>
      </c>
      <c r="M5" s="1">
        <f>'2021 Korr med revekting arbavg'!P5</f>
        <v>0</v>
      </c>
      <c r="N5" s="1">
        <f>'2021 Korr med revekting arbavg'!W5</f>
        <v>0.33655577995915414</v>
      </c>
      <c r="O5" s="1">
        <f>'2021 Korr med revekting arbavg'!AD5</f>
        <v>0</v>
      </c>
      <c r="P5" s="1">
        <f>'2021 Korr med revekting arbavg'!AK5</f>
        <v>1.1440458735502139</v>
      </c>
      <c r="Q5" s="48">
        <f t="shared" ref="Q5:Q15" si="2">SUM(R5:Y5)</f>
        <v>-14.19717620586148</v>
      </c>
      <c r="R5" s="1"/>
      <c r="S5" s="1">
        <f>'2021 Korr med revekting arbavg'!AR5</f>
        <v>-14.145589220100403</v>
      </c>
      <c r="T5" s="1">
        <f>'2021 Korr med revekting arbavg'!AY5</f>
        <v>0</v>
      </c>
      <c r="U5" s="1">
        <f>'2021 Korr med revekting arbavg'!BF5</f>
        <v>0</v>
      </c>
      <c r="V5" s="1">
        <f>'2021 Korr med revekting arbavg'!BM5</f>
        <v>-5.1586985761077071E-2</v>
      </c>
      <c r="W5" s="1">
        <f>'2021 Korr med revekting arbavg'!BT5</f>
        <v>0</v>
      </c>
      <c r="X5" s="1">
        <f>'2021 Korr med revekting arbavg'!CA5</f>
        <v>0</v>
      </c>
      <c r="Y5" s="1"/>
      <c r="Z5" s="9">
        <f>SUM(L5:P5)+Q5</f>
        <v>13.595656729165627</v>
      </c>
      <c r="AB5" s="1">
        <f>+'2021 Korr med revekting pensjon'!I5</f>
        <v>24.094405752098378</v>
      </c>
      <c r="AC5" s="1">
        <f>+'2021 Korr med revekting pensjon'!P5</f>
        <v>0</v>
      </c>
      <c r="AD5" s="1">
        <f>+'2021 Korr med revekting pensjon'!W5</f>
        <v>1.3140755403573763</v>
      </c>
      <c r="AE5" s="1">
        <f>+'2021 Korr med revekting pensjon'!AD5</f>
        <v>0</v>
      </c>
      <c r="AF5" s="1">
        <f>+'2021 Korr med revekting pensjon'!AK5</f>
        <v>28.522998842229764</v>
      </c>
      <c r="AG5" s="48">
        <f t="shared" ref="AG5:AG15" si="3">SUM(AH5:AO5)</f>
        <v>-71.785745924730335</v>
      </c>
      <c r="AH5" s="1"/>
      <c r="AI5" s="1">
        <f>+'2021 Korr med revekting pensjon'!AR5</f>
        <v>-74.97139445973788</v>
      </c>
      <c r="AJ5" s="1">
        <f>+'2021 Korr med revekting pensjon'!AY5</f>
        <v>0</v>
      </c>
      <c r="AK5" s="1">
        <f>+'2021 Korr med revekting pensjon'!BF5</f>
        <v>0</v>
      </c>
      <c r="AL5" s="1">
        <f>+'2021 Korr med revekting pensjon'!BM5</f>
        <v>3.1856485350075388</v>
      </c>
      <c r="AM5" s="1">
        <f>+'2021 Korr med revekting pensjon'!BT5</f>
        <v>0</v>
      </c>
      <c r="AN5" s="1">
        <f>+'2021 Korr med revekting pensjon'!CA5</f>
        <v>0</v>
      </c>
      <c r="AO5" s="1"/>
      <c r="AP5" s="9">
        <f>SUM(AB5:AF5)+AG5</f>
        <v>-17.854265790044821</v>
      </c>
      <c r="AQ5" s="1"/>
      <c r="AR5" s="9">
        <f>+'2021 Korr med revekt premieavv'!J5</f>
        <v>-414.7188183147573</v>
      </c>
      <c r="AT5" s="9"/>
      <c r="AV5" s="9">
        <f>+C5+J5+Z5+AP5+AR5+AT5</f>
        <v>-2551.4638227465666</v>
      </c>
      <c r="AW5" s="1">
        <f>+AV5*'2021 Nto driftsutg'!W5</f>
        <v>-1776094378.724467</v>
      </c>
    </row>
    <row r="6" spans="1:49" x14ac:dyDescent="0.3">
      <c r="A6" s="41">
        <v>1100</v>
      </c>
      <c r="B6" s="42" t="s">
        <v>139</v>
      </c>
      <c r="C6" s="9">
        <f>+'2021 Grunnlag korreksjoner'!C6*1000/'2021 Nto driftsutg'!W6</f>
        <v>-94.108847537818306</v>
      </c>
      <c r="D6" s="1"/>
      <c r="E6" s="1">
        <f>+'2021 Nto driftsutg landet'!$C$5*'2021 Revekting utgiftsbehov'!Z6-'2021 Nto driftsutg landet'!$C$5</f>
        <v>414.00138903456809</v>
      </c>
      <c r="F6" s="1">
        <f>+'2021 Nto driftsutg landet'!$C$6*'2021 Revekting utgiftsbehov'!AA6-'2021 Nto driftsutg landet'!$C$6</f>
        <v>-299.9052864756195</v>
      </c>
      <c r="G6" s="1">
        <f>+'2021 Nto driftsutg landet'!$C$7*'2021 Revekting utgiftsbehov'!AB6-'2021 Nto driftsutg landet'!$C$7</f>
        <v>62.736954061130291</v>
      </c>
      <c r="H6" s="1">
        <f>+'2021 Nto driftsutg landet'!$C$8*'2021 Revekting utgiftsbehov'!AC6-'2021 Nto driftsutg landet'!$C$8</f>
        <v>-128.87264324663965</v>
      </c>
      <c r="I6" s="1">
        <f>+'2021 Nto driftsutg landet'!$C$9*'2021 Revekting utgiftsbehov'!AD6-'2021 Nto driftsutg landet'!$C$9</f>
        <v>40.483466014524197</v>
      </c>
      <c r="J6" s="9">
        <f t="shared" si="1"/>
        <v>88.44387938796342</v>
      </c>
      <c r="L6" s="1">
        <f>'2021 Korr med revekting arbavg'!I6</f>
        <v>49.78143616281389</v>
      </c>
      <c r="M6" s="1">
        <f>'2021 Korr med revekting arbavg'!P6</f>
        <v>-8.6752688691422701</v>
      </c>
      <c r="N6" s="1">
        <f>'2021 Korr med revekting arbavg'!W6</f>
        <v>0.26265256949878507</v>
      </c>
      <c r="O6" s="1">
        <f>'2021 Korr med revekting arbavg'!AD6</f>
        <v>0.23317364471168894</v>
      </c>
      <c r="P6" s="1">
        <f>'2021 Korr med revekting arbavg'!AK6</f>
        <v>4.4060574157342547</v>
      </c>
      <c r="Q6" s="48">
        <f t="shared" si="2"/>
        <v>19.62117717758392</v>
      </c>
      <c r="R6" s="1"/>
      <c r="S6" s="1">
        <f>'2021 Korr med revekting arbavg'!AR6</f>
        <v>18.765823030598199</v>
      </c>
      <c r="T6" s="1">
        <f>'2021 Korr med revekting arbavg'!AY6</f>
        <v>0.48847166568010258</v>
      </c>
      <c r="U6" s="1">
        <f>'2021 Korr med revekting arbavg'!BF6</f>
        <v>4.8748764661449263E-2</v>
      </c>
      <c r="V6" s="1">
        <f>'2021 Korr med revekting arbavg'!BM6</f>
        <v>0.31784729798966693</v>
      </c>
      <c r="W6" s="1">
        <f>'2021 Korr med revekting arbavg'!BT6</f>
        <v>0</v>
      </c>
      <c r="X6" s="1">
        <f>'2021 Korr med revekting arbavg'!CA6</f>
        <v>2.8641865450515134E-4</v>
      </c>
      <c r="Y6" s="1"/>
      <c r="Z6" s="9">
        <f t="shared" ref="Z6:Z15" si="4">SUM(L6:P6)+Q6</f>
        <v>65.629228101200269</v>
      </c>
      <c r="AB6" s="1">
        <f>+'2021 Korr med revekting pensjon'!I6</f>
        <v>13.289678688578928</v>
      </c>
      <c r="AC6" s="1">
        <f>+'2021 Korr med revekting pensjon'!P6</f>
        <v>-13.203253622619862</v>
      </c>
      <c r="AD6" s="1">
        <f>+'2021 Korr med revekting pensjon'!W6</f>
        <v>0.23638329564305194</v>
      </c>
      <c r="AE6" s="1">
        <f>+'2021 Korr med revekting pensjon'!AD6</f>
        <v>4.2212647856531586E-3</v>
      </c>
      <c r="AF6" s="1">
        <f>+'2021 Korr med revekting pensjon'!AK6</f>
        <v>0.35987184045801529</v>
      </c>
      <c r="AG6" s="48">
        <f t="shared" si="3"/>
        <v>-50.458249761653256</v>
      </c>
      <c r="AH6" s="1"/>
      <c r="AI6" s="1">
        <f>+'2021 Korr med revekting pensjon'!AR6</f>
        <v>-51.398824805549715</v>
      </c>
      <c r="AJ6" s="1">
        <f>+'2021 Korr med revekting pensjon'!AY6</f>
        <v>0.72434773578148592</v>
      </c>
      <c r="AK6" s="1">
        <f>+'2021 Korr med revekting pensjon'!BF6</f>
        <v>0.13424674967038722</v>
      </c>
      <c r="AL6" s="1">
        <f>+'2021 Korr med revekting pensjon'!BM6</f>
        <v>7.8624069599795302E-2</v>
      </c>
      <c r="AM6" s="1">
        <f>+'2021 Korr med revekting pensjon'!BT6</f>
        <v>0</v>
      </c>
      <c r="AN6" s="1">
        <f>+'2021 Korr med revekting pensjon'!CA6</f>
        <v>3.3564888447874934E-3</v>
      </c>
      <c r="AO6" s="1"/>
      <c r="AP6" s="9">
        <f t="shared" ref="AP6:AP15" si="5">SUM(AB6:AF6)+AG6</f>
        <v>-49.771348294807467</v>
      </c>
      <c r="AQ6" s="1"/>
      <c r="AR6" s="9">
        <f>+'2021 Korr med revekt premieavv'!J6</f>
        <v>49.130068566394591</v>
      </c>
      <c r="AT6" s="9"/>
      <c r="AV6" s="9">
        <f t="shared" ref="AV6:AV15" si="6">+C6+J6+Z6+AP6+AR6+AT6</f>
        <v>59.322980222932507</v>
      </c>
      <c r="AW6" s="1">
        <f>+AV6*'2021 Nto driftsutg'!W6</f>
        <v>28717720.81909962</v>
      </c>
    </row>
    <row r="7" spans="1:49" x14ac:dyDescent="0.3">
      <c r="A7" s="41">
        <v>1500</v>
      </c>
      <c r="B7" s="42" t="s">
        <v>140</v>
      </c>
      <c r="C7" s="9">
        <f>+'2021 Grunnlag korreksjoner'!C7*1000/'2021 Nto driftsutg'!W7</f>
        <v>213.48185567137963</v>
      </c>
      <c r="D7" s="1"/>
      <c r="E7" s="1">
        <f>+'2021 Nto driftsutg landet'!$C$5*'2021 Revekting utgiftsbehov'!Z7-'2021 Nto driftsutg landet'!$C$5</f>
        <v>708.63531610863447</v>
      </c>
      <c r="F7" s="1">
        <f>+'2021 Nto driftsutg landet'!$C$6*'2021 Revekting utgiftsbehov'!AA7-'2021 Nto driftsutg landet'!$C$6</f>
        <v>756.89560690162398</v>
      </c>
      <c r="G7" s="1">
        <f>+'2021 Nto driftsutg landet'!$C$7*'2021 Revekting utgiftsbehov'!AB7-'2021 Nto driftsutg landet'!$C$7</f>
        <v>-8.7279888328512243</v>
      </c>
      <c r="H7" s="1">
        <f>+'2021 Nto driftsutg landet'!$C$8*'2021 Revekting utgiftsbehov'!AC7-'2021 Nto driftsutg landet'!$C$8</f>
        <v>1703.3671629141054</v>
      </c>
      <c r="I7" s="1">
        <f>+'2021 Nto driftsutg landet'!$C$9*'2021 Revekting utgiftsbehov'!AD7-'2021 Nto driftsutg landet'!$C$9</f>
        <v>15.247097277847161</v>
      </c>
      <c r="J7" s="9">
        <f t="shared" si="1"/>
        <v>3175.41719436936</v>
      </c>
      <c r="L7" s="1">
        <f>'2021 Korr med revekting arbavg'!I7</f>
        <v>30.158126593743564</v>
      </c>
      <c r="M7" s="1">
        <f>'2021 Korr med revekting arbavg'!P7</f>
        <v>18.368605594555419</v>
      </c>
      <c r="N7" s="1">
        <f>'2021 Korr med revekting arbavg'!W7</f>
        <v>0.22994029712929365</v>
      </c>
      <c r="O7" s="1">
        <f>'2021 Korr med revekting arbavg'!AD7</f>
        <v>0.8471265646091507</v>
      </c>
      <c r="P7" s="1">
        <f>'2021 Korr med revekting arbavg'!AK7</f>
        <v>0.23038385289289326</v>
      </c>
      <c r="Q7" s="48">
        <f t="shared" si="2"/>
        <v>18.882342880018989</v>
      </c>
      <c r="R7" s="1"/>
      <c r="S7" s="1">
        <f>'2021 Korr med revekting arbavg'!AR7</f>
        <v>18.389576990627223</v>
      </c>
      <c r="T7" s="1">
        <f>'2021 Korr med revekting arbavg'!AY7</f>
        <v>0.31022991016595386</v>
      </c>
      <c r="U7" s="1">
        <f>'2021 Korr med revekting arbavg'!BF7</f>
        <v>3.2404820420445145E-2</v>
      </c>
      <c r="V7" s="1">
        <f>'2021 Korr med revekting arbavg'!BM7</f>
        <v>0.15013115880536512</v>
      </c>
      <c r="W7" s="1">
        <f>'2021 Korr med revekting arbavg'!BT7</f>
        <v>0</v>
      </c>
      <c r="X7" s="1">
        <f>'2021 Korr med revekting arbavg'!CA7</f>
        <v>0</v>
      </c>
      <c r="Y7" s="1"/>
      <c r="Z7" s="9">
        <f t="shared" si="4"/>
        <v>68.716525782949304</v>
      </c>
      <c r="AB7" s="1">
        <f>+'2021 Korr med revekting pensjon'!I7</f>
        <v>10.357887770222966</v>
      </c>
      <c r="AC7" s="1">
        <f>+'2021 Korr med revekting pensjon'!P7</f>
        <v>37.538468488878252</v>
      </c>
      <c r="AD7" s="1">
        <f>+'2021 Korr med revekting pensjon'!W7</f>
        <v>0.50549225933162223</v>
      </c>
      <c r="AE7" s="1">
        <f>+'2021 Korr med revekting pensjon'!AD7</f>
        <v>-0.59712961850225754</v>
      </c>
      <c r="AF7" s="1">
        <f>+'2021 Korr med revekting pensjon'!AK7</f>
        <v>11.42732708299723</v>
      </c>
      <c r="AG7" s="48">
        <f t="shared" si="3"/>
        <v>-24.693513451584629</v>
      </c>
      <c r="AH7" s="1"/>
      <c r="AI7" s="1">
        <f>+'2021 Korr med revekting pensjon'!AR7</f>
        <v>-27.033289344648271</v>
      </c>
      <c r="AJ7" s="1">
        <f>+'2021 Korr med revekting pensjon'!AY7</f>
        <v>1.3294514539860844</v>
      </c>
      <c r="AK7" s="1">
        <f>+'2021 Korr med revekting pensjon'!BF7</f>
        <v>0.15560891403494728</v>
      </c>
      <c r="AL7" s="1">
        <f>+'2021 Korr med revekting pensjon'!BM7</f>
        <v>0.85471552504261017</v>
      </c>
      <c r="AM7" s="1">
        <f>+'2021 Korr med revekting pensjon'!BT7</f>
        <v>0</v>
      </c>
      <c r="AN7" s="1">
        <f>+'2021 Korr med revekting pensjon'!CA7</f>
        <v>0</v>
      </c>
      <c r="AO7" s="1"/>
      <c r="AP7" s="9">
        <f t="shared" si="5"/>
        <v>34.538532531343186</v>
      </c>
      <c r="AQ7" s="1"/>
      <c r="AR7" s="9">
        <f>+'2021 Korr med revekt premieavv'!J7</f>
        <v>-49.591491123547719</v>
      </c>
      <c r="AT7" s="9"/>
      <c r="AV7" s="9">
        <f t="shared" si="6"/>
        <v>3442.5626172314842</v>
      </c>
      <c r="AW7" s="1">
        <f>+AV7*'2021 Nto driftsutg'!W7</f>
        <v>913301534.663661</v>
      </c>
    </row>
    <row r="8" spans="1:49" x14ac:dyDescent="0.3">
      <c r="A8" s="41">
        <v>1800</v>
      </c>
      <c r="B8" s="42" t="s">
        <v>141</v>
      </c>
      <c r="C8" s="9">
        <f>+'2021 Grunnlag korreksjoner'!C8*1000/'2021 Nto driftsutg'!W8</f>
        <v>359.07260528719814</v>
      </c>
      <c r="D8" s="1"/>
      <c r="E8" s="1">
        <f>+'2021 Nto driftsutg landet'!$C$5*'2021 Revekting utgiftsbehov'!Z8-'2021 Nto driftsutg landet'!$C$5</f>
        <v>606.12826998507171</v>
      </c>
      <c r="F8" s="1">
        <f>+'2021 Nto driftsutg landet'!$C$6*'2021 Revekting utgiftsbehov'!AA8-'2021 Nto driftsutg landet'!$C$6</f>
        <v>1221.8378732196288</v>
      </c>
      <c r="G8" s="1">
        <f>+'2021 Nto driftsutg landet'!$C$7*'2021 Revekting utgiftsbehov'!AB8-'2021 Nto driftsutg landet'!$C$7</f>
        <v>41.426845350913482</v>
      </c>
      <c r="H8" s="1">
        <f>+'2021 Nto driftsutg landet'!$C$8*'2021 Revekting utgiftsbehov'!AC8-'2021 Nto driftsutg landet'!$C$8</f>
        <v>3659.694158554481</v>
      </c>
      <c r="I8" s="1">
        <f>+'2021 Nto driftsutg landet'!$C$9*'2021 Revekting utgiftsbehov'!AD8-'2021 Nto driftsutg landet'!$C$9</f>
        <v>-7.3047433134926791</v>
      </c>
      <c r="J8" s="9">
        <f t="shared" si="1"/>
        <v>5521.782403796602</v>
      </c>
      <c r="L8" s="1">
        <f>'2021 Korr med revekting arbavg'!I8</f>
        <v>-293.15027517086031</v>
      </c>
      <c r="M8" s="1">
        <f>'2021 Korr med revekting arbavg'!P8</f>
        <v>-27.991668780742632</v>
      </c>
      <c r="N8" s="1">
        <f>'2021 Korr med revekting arbavg'!W8</f>
        <v>-2.3327036494844156</v>
      </c>
      <c r="O8" s="1">
        <f>'2021 Korr med revekting arbavg'!AD8</f>
        <v>-0.50856121881473548</v>
      </c>
      <c r="P8" s="1">
        <f>'2021 Korr med revekting arbavg'!AK8</f>
        <v>-22.106980655674302</v>
      </c>
      <c r="Q8" s="48">
        <f t="shared" si="2"/>
        <v>-14.209285694607779</v>
      </c>
      <c r="R8" s="1"/>
      <c r="S8" s="1">
        <f>'2021 Korr med revekting arbavg'!AR8</f>
        <v>-8.8512853337734487</v>
      </c>
      <c r="T8" s="1">
        <f>'2021 Korr med revekting arbavg'!AY8</f>
        <v>-3.0516281478913214</v>
      </c>
      <c r="U8" s="1">
        <f>'2021 Korr med revekting arbavg'!BF8</f>
        <v>-0.33066923195525127</v>
      </c>
      <c r="V8" s="1">
        <f>'2021 Korr med revekting arbavg'!BM8</f>
        <v>-1.9757029809877571</v>
      </c>
      <c r="W8" s="1">
        <f>'2021 Korr med revekting arbavg'!BT8</f>
        <v>0</v>
      </c>
      <c r="X8" s="1">
        <f>'2021 Korr med revekting arbavg'!CA8</f>
        <v>0</v>
      </c>
      <c r="Y8" s="1"/>
      <c r="Z8" s="9">
        <f t="shared" si="4"/>
        <v>-360.29947517018422</v>
      </c>
      <c r="AB8" s="1">
        <f>+'2021 Korr med revekting pensjon'!I8</f>
        <v>56.48092330371189</v>
      </c>
      <c r="AC8" s="1">
        <f>+'2021 Korr med revekting pensjon'!P8</f>
        <v>14.801268251462469</v>
      </c>
      <c r="AD8" s="1">
        <f>+'2021 Korr med revekting pensjon'!W8</f>
        <v>1.3287011034737803</v>
      </c>
      <c r="AE8" s="1">
        <f>+'2021 Korr med revekting pensjon'!AD8</f>
        <v>1.3881481007428149</v>
      </c>
      <c r="AF8" s="1">
        <f>+'2021 Korr med revekting pensjon'!AK8</f>
        <v>13.676956897169447</v>
      </c>
      <c r="AG8" s="48">
        <f t="shared" si="3"/>
        <v>-28.212847492331829</v>
      </c>
      <c r="AH8" s="1"/>
      <c r="AI8" s="1">
        <f>+'2021 Korr med revekting pensjon'!AR8</f>
        <v>-32.603602051737674</v>
      </c>
      <c r="AJ8" s="1">
        <f>+'2021 Korr med revekting pensjon'!AY8</f>
        <v>2.7709338482216728</v>
      </c>
      <c r="AK8" s="1">
        <f>+'2021 Korr med revekting pensjon'!BF8</f>
        <v>0.31098444780851869</v>
      </c>
      <c r="AL8" s="1">
        <f>+'2021 Korr med revekting pensjon'!BM8</f>
        <v>1.3088362633756516</v>
      </c>
      <c r="AM8" s="1">
        <f>+'2021 Korr med revekting pensjon'!BT8</f>
        <v>0</v>
      </c>
      <c r="AN8" s="1">
        <f>+'2021 Korr med revekting pensjon'!CA8</f>
        <v>0</v>
      </c>
      <c r="AO8" s="1"/>
      <c r="AP8" s="9">
        <f t="shared" si="5"/>
        <v>59.463150164228566</v>
      </c>
      <c r="AQ8" s="1"/>
      <c r="AR8" s="9">
        <f>+'2021 Korr med revekt premieavv'!J8</f>
        <v>15.628265156491132</v>
      </c>
      <c r="AT8" s="9"/>
      <c r="AV8" s="9">
        <f t="shared" si="6"/>
        <v>5595.6469492343358</v>
      </c>
      <c r="AW8" s="1">
        <f>+AV8*'2021 Nto driftsutg'!W8</f>
        <v>1345730708.7030609</v>
      </c>
    </row>
    <row r="9" spans="1:49" x14ac:dyDescent="0.3">
      <c r="A9" s="41">
        <v>3000</v>
      </c>
      <c r="B9" s="42" t="s">
        <v>403</v>
      </c>
      <c r="C9" s="9">
        <f>+'2021 Grunnlag korreksjoner'!C9*1000/'2021 Nto driftsutg'!W9</f>
        <v>-89.89568870187216</v>
      </c>
      <c r="D9" s="1"/>
      <c r="E9" s="1">
        <f>+'2021 Nto driftsutg landet'!$C$5*'2021 Revekting utgiftsbehov'!Z9-'2021 Nto driftsutg landet'!$C$5</f>
        <v>131.1569952273685</v>
      </c>
      <c r="F9" s="1">
        <f>+'2021 Nto driftsutg landet'!$C$6*'2021 Revekting utgiftsbehov'!AA9-'2021 Nto driftsutg landet'!$C$6</f>
        <v>-581.54412435702693</v>
      </c>
      <c r="G9" s="1">
        <f>+'2021 Nto driftsutg landet'!$C$7*'2021 Revekting utgiftsbehov'!AB9-'2021 Nto driftsutg landet'!$C$7</f>
        <v>-826.15037971401807</v>
      </c>
      <c r="H9" s="1">
        <f>+'2021 Nto driftsutg landet'!$C$8*'2021 Revekting utgiftsbehov'!AC9-'2021 Nto driftsutg landet'!$C$8</f>
        <v>-758.48341019460929</v>
      </c>
      <c r="I9" s="1">
        <f>+'2021 Nto driftsutg landet'!$C$9*'2021 Revekting utgiftsbehov'!AD9-'2021 Nto driftsutg landet'!$C$9</f>
        <v>18.674000462081153</v>
      </c>
      <c r="J9" s="9">
        <f t="shared" si="1"/>
        <v>-2016.3469185762046</v>
      </c>
      <c r="L9" s="1">
        <f>'2021 Korr med revekting arbavg'!I9</f>
        <v>50.347411382744554</v>
      </c>
      <c r="M9" s="1">
        <f>'2021 Korr med revekting arbavg'!P9</f>
        <v>3.7905181362820448</v>
      </c>
      <c r="N9" s="1">
        <f>'2021 Korr med revekting arbavg'!W9</f>
        <v>5.8852228743677293E-2</v>
      </c>
      <c r="O9" s="1">
        <f>'2021 Korr med revekting arbavg'!AD9</f>
        <v>0</v>
      </c>
      <c r="P9" s="1">
        <f>'2021 Korr med revekting arbavg'!AK9</f>
        <v>4.5878320481391572</v>
      </c>
      <c r="Q9" s="48">
        <f t="shared" si="2"/>
        <v>-24.965468228861507</v>
      </c>
      <c r="R9" s="1"/>
      <c r="S9" s="1">
        <f>'2021 Korr med revekting arbavg'!AR9</f>
        <v>-25.842196118724043</v>
      </c>
      <c r="T9" s="1">
        <f>'2021 Korr med revekting arbavg'!AY9</f>
        <v>0.4768402642487567</v>
      </c>
      <c r="U9" s="1">
        <f>'2021 Korr med revekting arbavg'!BF9</f>
        <v>7.699624693375122E-2</v>
      </c>
      <c r="V9" s="1">
        <f>'2021 Korr med revekting arbavg'!BM9</f>
        <v>0.3226602379996768</v>
      </c>
      <c r="W9" s="1">
        <f>'2021 Korr med revekting arbavg'!BT9</f>
        <v>0</v>
      </c>
      <c r="X9" s="1">
        <f>'2021 Korr med revekting arbavg'!CA9</f>
        <v>2.3114068035029291E-4</v>
      </c>
      <c r="Y9" s="1"/>
      <c r="Z9" s="9">
        <f t="shared" si="4"/>
        <v>33.819145567047926</v>
      </c>
      <c r="AB9" s="1">
        <f>+'2021 Korr med revekting pensjon'!I9</f>
        <v>-27.772287036457449</v>
      </c>
      <c r="AC9" s="1">
        <f>+'2021 Korr med revekting pensjon'!P9</f>
        <v>-4.2491349619916177</v>
      </c>
      <c r="AD9" s="1">
        <f>+'2021 Korr med revekting pensjon'!W9</f>
        <v>-0.46784838009580371</v>
      </c>
      <c r="AE9" s="1">
        <f>+'2021 Korr med revekting pensjon'!AD9</f>
        <v>0</v>
      </c>
      <c r="AF9" s="1">
        <f>+'2021 Korr med revekting pensjon'!AK9</f>
        <v>-17.608002425122013</v>
      </c>
      <c r="AG9" s="48">
        <f t="shared" si="3"/>
        <v>113.18528632790121</v>
      </c>
      <c r="AH9" s="1"/>
      <c r="AI9" s="1">
        <f>+'2021 Korr med revekting pensjon'!AR9</f>
        <v>116.79233134134016</v>
      </c>
      <c r="AJ9" s="1">
        <f>+'2021 Korr med revekting pensjon'!AY9</f>
        <v>-2.1416694555956597</v>
      </c>
      <c r="AK9" s="1">
        <f>+'2021 Korr med revekting pensjon'!BF9</f>
        <v>-0.178017828259357</v>
      </c>
      <c r="AL9" s="1">
        <f>+'2021 Korr med revekting pensjon'!BM9</f>
        <v>-1.2860115698153602</v>
      </c>
      <c r="AM9" s="1">
        <f>+'2021 Korr med revekting pensjon'!BT9</f>
        <v>0</v>
      </c>
      <c r="AN9" s="1">
        <f>+'2021 Korr med revekting pensjon'!CA9</f>
        <v>-1.3461597685702935E-3</v>
      </c>
      <c r="AO9" s="1"/>
      <c r="AP9" s="9">
        <f t="shared" si="5"/>
        <v>63.088013524234327</v>
      </c>
      <c r="AQ9" s="1"/>
      <c r="AR9" s="9">
        <f>+'2021 Korr med revekt premieavv'!J9</f>
        <v>44.88030065302727</v>
      </c>
      <c r="AT9" s="9"/>
      <c r="AV9" s="9">
        <f t="shared" si="6"/>
        <v>-1964.4551475337671</v>
      </c>
      <c r="AW9" s="1">
        <f>+AV9*'2021 Nto driftsutg'!W9</f>
        <v>-2476649502.6053939</v>
      </c>
    </row>
    <row r="10" spans="1:49" x14ac:dyDescent="0.3">
      <c r="A10" s="41">
        <v>3400</v>
      </c>
      <c r="B10" s="42" t="s">
        <v>404</v>
      </c>
      <c r="C10" s="9">
        <f>+'2021 Grunnlag korreksjoner'!C10*1000/'2021 Nto driftsutg'!W10</f>
        <v>165.42231851912996</v>
      </c>
      <c r="D10" s="1"/>
      <c r="E10" s="1">
        <f>+'2021 Nto driftsutg landet'!$C$5*'2021 Revekting utgiftsbehov'!Z10-'2021 Nto driftsutg landet'!$C$5</f>
        <v>160.7299102339648</v>
      </c>
      <c r="F10" s="1">
        <f>+'2021 Nto driftsutg landet'!$C$6*'2021 Revekting utgiftsbehov'!AA10-'2021 Nto driftsutg landet'!$C$6</f>
        <v>857.9908243236755</v>
      </c>
      <c r="G10" s="1">
        <f>+'2021 Nto driftsutg landet'!$C$7*'2021 Revekting utgiftsbehov'!AB10-'2021 Nto driftsutg landet'!$C$7</f>
        <v>24.45243980385294</v>
      </c>
      <c r="H10" s="1">
        <f>+'2021 Nto driftsutg landet'!$C$8*'2021 Revekting utgiftsbehov'!AC10-'2021 Nto driftsutg landet'!$C$8</f>
        <v>-778.96481141517688</v>
      </c>
      <c r="I10" s="1">
        <f>+'2021 Nto driftsutg landet'!$C$9*'2021 Revekting utgiftsbehov'!AD10-'2021 Nto driftsutg landet'!$C$9</f>
        <v>-18.206322147061201</v>
      </c>
      <c r="J10" s="9">
        <f t="shared" si="1"/>
        <v>246.00204079925516</v>
      </c>
      <c r="L10" s="1">
        <f>'2021 Korr med revekting arbavg'!I10</f>
        <v>-13.640180904265378</v>
      </c>
      <c r="M10" s="1">
        <f>'2021 Korr med revekting arbavg'!P10</f>
        <v>-20.349529833681981</v>
      </c>
      <c r="N10" s="1">
        <f>'2021 Korr med revekting arbavg'!W10</f>
        <v>0.32265638424980048</v>
      </c>
      <c r="O10" s="1">
        <f>'2021 Korr med revekting arbavg'!AD10</f>
        <v>1.0262660068823445E-2</v>
      </c>
      <c r="P10" s="1">
        <f>'2021 Korr med revekting arbavg'!AK10</f>
        <v>-1.8242393939540269</v>
      </c>
      <c r="Q10" s="48">
        <f t="shared" si="2"/>
        <v>19.127890741936262</v>
      </c>
      <c r="R10" s="1"/>
      <c r="S10" s="1">
        <f>'2021 Korr med revekting arbavg'!AR10</f>
        <v>18.213757833682241</v>
      </c>
      <c r="T10" s="1">
        <f>'2021 Korr med revekting arbavg'!AY10</f>
        <v>0.51618499003707485</v>
      </c>
      <c r="U10" s="1">
        <f>'2021 Korr med revekting arbavg'!BF10</f>
        <v>4.8572625600227085E-2</v>
      </c>
      <c r="V10" s="1">
        <f>'2021 Korr med revekting arbavg'!BM10</f>
        <v>0.34937529261671874</v>
      </c>
      <c r="W10" s="1">
        <f>'2021 Korr med revekting arbavg'!BT10</f>
        <v>0</v>
      </c>
      <c r="X10" s="1">
        <f>'2021 Korr med revekting arbavg'!CA10</f>
        <v>0</v>
      </c>
      <c r="Y10" s="1"/>
      <c r="Z10" s="9">
        <f t="shared" si="4"/>
        <v>-16.353140345646494</v>
      </c>
      <c r="AB10" s="1">
        <f>+'2021 Korr med revekting pensjon'!I10</f>
        <v>29.374562665815162</v>
      </c>
      <c r="AC10" s="1">
        <f>+'2021 Korr med revekting pensjon'!P10</f>
        <v>-7.0439324097741576</v>
      </c>
      <c r="AD10" s="1">
        <f>+'2021 Korr med revekting pensjon'!W10</f>
        <v>1.9105957491226453</v>
      </c>
      <c r="AE10" s="1">
        <f>+'2021 Korr med revekting pensjon'!AD10</f>
        <v>-1.7392786191955611E-2</v>
      </c>
      <c r="AF10" s="1">
        <f>+'2021 Korr med revekting pensjon'!AK10</f>
        <v>13.498523345770504</v>
      </c>
      <c r="AG10" s="48">
        <f t="shared" si="3"/>
        <v>-29.914932968718702</v>
      </c>
      <c r="AH10" s="1"/>
      <c r="AI10" s="1">
        <f>+'2021 Korr med revekting pensjon'!AR10</f>
        <v>-33.733775105810892</v>
      </c>
      <c r="AJ10" s="1">
        <f>+'2021 Korr med revekting pensjon'!AY10</f>
        <v>5.3774341033567117</v>
      </c>
      <c r="AK10" s="1">
        <f>+'2021 Korr med revekting pensjon'!BF10</f>
        <v>0.41447495239349463</v>
      </c>
      <c r="AL10" s="1">
        <f>+'2021 Korr med revekting pensjon'!BM10</f>
        <v>-1.9730669186580181</v>
      </c>
      <c r="AM10" s="1">
        <f>+'2021 Korr med revekting pensjon'!BT10</f>
        <v>0</v>
      </c>
      <c r="AN10" s="1">
        <f>+'2021 Korr med revekting pensjon'!CA10</f>
        <v>0</v>
      </c>
      <c r="AO10" s="1"/>
      <c r="AP10" s="9">
        <f t="shared" si="5"/>
        <v>7.8074235960234972</v>
      </c>
      <c r="AQ10" s="1"/>
      <c r="AR10" s="9">
        <f>+'2021 Korr med revekt premieavv'!J10</f>
        <v>84.199396883227521</v>
      </c>
      <c r="AT10" s="9"/>
      <c r="AV10" s="9">
        <f t="shared" si="6"/>
        <v>487.07803945198964</v>
      </c>
      <c r="AW10" s="1">
        <f>+AV10*'2021 Nto driftsutg'!W10</f>
        <v>180560316.302892</v>
      </c>
    </row>
    <row r="11" spans="1:49" x14ac:dyDescent="0.3">
      <c r="A11" s="41">
        <v>3800</v>
      </c>
      <c r="B11" s="42" t="s">
        <v>405</v>
      </c>
      <c r="C11" s="9">
        <f>+'2021 Grunnlag korreksjoner'!C11*1000/'2021 Nto driftsutg'!W11</f>
        <v>69.100007170561312</v>
      </c>
      <c r="D11" s="1"/>
      <c r="E11" s="1">
        <f>+'2021 Nto driftsutg landet'!$C$5*'2021 Revekting utgiftsbehov'!Z11-'2021 Nto driftsutg landet'!$C$5</f>
        <v>116.15914093823449</v>
      </c>
      <c r="F11" s="1">
        <f>+'2021 Nto driftsutg landet'!$C$6*'2021 Revekting utgiftsbehov'!AA11-'2021 Nto driftsutg landet'!$C$6</f>
        <v>-57.036696422359682</v>
      </c>
      <c r="G11" s="1">
        <f>+'2021 Nto driftsutg landet'!$C$7*'2021 Revekting utgiftsbehov'!AB11-'2021 Nto driftsutg landet'!$C$7</f>
        <v>-684.58385365869731</v>
      </c>
      <c r="H11" s="1">
        <f>+'2021 Nto driftsutg landet'!$C$8*'2021 Revekting utgiftsbehov'!AC11-'2021 Nto driftsutg landet'!$C$8</f>
        <v>-680.55235521902944</v>
      </c>
      <c r="I11" s="1">
        <f>+'2021 Nto driftsutg landet'!$C$9*'2021 Revekting utgiftsbehov'!AD11-'2021 Nto driftsutg landet'!$C$9</f>
        <v>-0.69270978187853416</v>
      </c>
      <c r="J11" s="9">
        <f t="shared" si="1"/>
        <v>-1306.7064741437302</v>
      </c>
      <c r="L11" s="1">
        <f>'2021 Korr med revekting arbavg'!I11</f>
        <v>43.225648042624258</v>
      </c>
      <c r="M11" s="1">
        <f>'2021 Korr med revekting arbavg'!P11</f>
        <v>-10.114603583417226</v>
      </c>
      <c r="N11" s="1">
        <f>'2021 Korr med revekting arbavg'!W11</f>
        <v>0.79932620815392674</v>
      </c>
      <c r="O11" s="1">
        <f>'2021 Korr med revekting arbavg'!AD11</f>
        <v>0</v>
      </c>
      <c r="P11" s="1">
        <f>'2021 Korr med revekting arbavg'!AK11</f>
        <v>3.9376284633904128</v>
      </c>
      <c r="Q11" s="48">
        <f t="shared" si="2"/>
        <v>17.509119524608586</v>
      </c>
      <c r="R11" s="1"/>
      <c r="S11" s="1">
        <f>'2021 Korr med revekting arbavg'!AR11</f>
        <v>16.641714913139374</v>
      </c>
      <c r="T11" s="1">
        <f>'2021 Korr med revekting arbavg'!AY11</f>
        <v>0.43156784869716086</v>
      </c>
      <c r="U11" s="1">
        <f>'2021 Korr med revekting arbavg'!BF11</f>
        <v>5.5203421900128204E-2</v>
      </c>
      <c r="V11" s="1">
        <f>'2021 Korr med revekting arbavg'!BM11</f>
        <v>0.37944104784271254</v>
      </c>
      <c r="W11" s="1">
        <f>'2021 Korr med revekting arbavg'!BT11</f>
        <v>0</v>
      </c>
      <c r="X11" s="1">
        <f>'2021 Korr med revekting arbavg'!CA11</f>
        <v>1.1922930292134635E-3</v>
      </c>
      <c r="Y11" s="1"/>
      <c r="Z11" s="9">
        <f t="shared" si="4"/>
        <v>55.357118655359955</v>
      </c>
      <c r="AB11" s="1">
        <f>+'2021 Korr med revekting pensjon'!I11</f>
        <v>26.412826751544294</v>
      </c>
      <c r="AC11" s="1">
        <f>+'2021 Korr med revekting pensjon'!P11</f>
        <v>-12.167074380268224</v>
      </c>
      <c r="AD11" s="1">
        <f>+'2021 Korr med revekting pensjon'!W11</f>
        <v>0.52460959868241452</v>
      </c>
      <c r="AE11" s="1">
        <f>+'2021 Korr med revekting pensjon'!AD11</f>
        <v>0</v>
      </c>
      <c r="AF11" s="1">
        <f>+'2021 Korr med revekting pensjon'!AK11</f>
        <v>12.986913404262621</v>
      </c>
      <c r="AG11" s="48">
        <f t="shared" si="3"/>
        <v>-36.295580974216151</v>
      </c>
      <c r="AH11" s="1"/>
      <c r="AI11" s="1">
        <f>+'2021 Korr med revekting pensjon'!AR11</f>
        <v>-39.492402733291925</v>
      </c>
      <c r="AJ11" s="1">
        <f>+'2021 Korr med revekting pensjon'!AY11</f>
        <v>1.5990403049327833</v>
      </c>
      <c r="AK11" s="1">
        <f>+'2021 Korr med revekting pensjon'!BF11</f>
        <v>0.11902003095515643</v>
      </c>
      <c r="AL11" s="1">
        <f>+'2021 Korr med revekting pensjon'!BM11</f>
        <v>1.4772740235156037</v>
      </c>
      <c r="AM11" s="1">
        <f>+'2021 Korr med revekting pensjon'!BT11</f>
        <v>0</v>
      </c>
      <c r="AN11" s="1">
        <f>+'2021 Korr med revekting pensjon'!CA11</f>
        <v>1.4873996722270457E-3</v>
      </c>
      <c r="AO11" s="1"/>
      <c r="AP11" s="9">
        <f t="shared" si="5"/>
        <v>-8.538305599995045</v>
      </c>
      <c r="AQ11" s="1"/>
      <c r="AR11" s="9">
        <f>+'2021 Korr med revekt premieavv'!J11</f>
        <v>51.5667988524715</v>
      </c>
      <c r="AT11" s="9"/>
      <c r="AV11" s="9">
        <f t="shared" si="6"/>
        <v>-1139.2208550653324</v>
      </c>
      <c r="AW11" s="1">
        <f>+AV11*'2021 Nto driftsutg'!W11</f>
        <v>-482054469.49576503</v>
      </c>
    </row>
    <row r="12" spans="1:49" x14ac:dyDescent="0.3">
      <c r="A12" s="41">
        <v>4200</v>
      </c>
      <c r="B12" s="42" t="s">
        <v>406</v>
      </c>
      <c r="C12" s="9">
        <f>+'2021 Grunnlag korreksjoner'!C12*1000/'2021 Nto driftsutg'!W12</f>
        <v>64.264895883498966</v>
      </c>
      <c r="D12" s="1"/>
      <c r="E12" s="1">
        <f>+'2021 Nto driftsutg landet'!$C$5*'2021 Revekting utgiftsbehov'!Z12-'2021 Nto driftsutg landet'!$C$5</f>
        <v>309.33929299797455</v>
      </c>
      <c r="F12" s="1">
        <f>+'2021 Nto driftsutg landet'!$C$6*'2021 Revekting utgiftsbehov'!AA12-'2021 Nto driftsutg landet'!$C$6</f>
        <v>272.73036907195524</v>
      </c>
      <c r="G12" s="1">
        <f>+'2021 Nto driftsutg landet'!$C$7*'2021 Revekting utgiftsbehov'!AB12-'2021 Nto driftsutg landet'!$C$7</f>
        <v>-468.0803591395636</v>
      </c>
      <c r="H12" s="1">
        <f>+'2021 Nto driftsutg landet'!$C$8*'2021 Revekting utgiftsbehov'!AC12-'2021 Nto driftsutg landet'!$C$8</f>
        <v>-617.6888303903022</v>
      </c>
      <c r="I12" s="1">
        <f>+'2021 Nto driftsutg landet'!$C$9*'2021 Revekting utgiftsbehov'!AD12-'2021 Nto driftsutg landet'!$C$9</f>
        <v>24.447131782402948</v>
      </c>
      <c r="J12" s="9">
        <f t="shared" si="1"/>
        <v>-479.25239567753306</v>
      </c>
      <c r="L12" s="1">
        <f>'2021 Korr med revekting arbavg'!I12</f>
        <v>45.919225670762984</v>
      </c>
      <c r="M12" s="1">
        <f>'2021 Korr med revekting arbavg'!P12</f>
        <v>-1.5168838847022128</v>
      </c>
      <c r="N12" s="1">
        <f>'2021 Korr med revekting arbavg'!W12</f>
        <v>0.26557173867080158</v>
      </c>
      <c r="O12" s="1">
        <f>'2021 Korr med revekting arbavg'!AD12</f>
        <v>6.3850993033519085E-2</v>
      </c>
      <c r="P12" s="1">
        <f>'2021 Korr med revekting arbavg'!AK12</f>
        <v>3.8949710414185073</v>
      </c>
      <c r="Q12" s="48">
        <f t="shared" si="2"/>
        <v>11.920948247791872</v>
      </c>
      <c r="R12" s="1"/>
      <c r="S12" s="1">
        <f>'2021 Korr med revekting arbavg'!AR12</f>
        <v>10.974036849526613</v>
      </c>
      <c r="T12" s="1">
        <f>'2021 Korr med revekting arbavg'!AY12</f>
        <v>0.52078635310281352</v>
      </c>
      <c r="U12" s="1">
        <f>'2021 Korr med revekting arbavg'!BF12</f>
        <v>5.6448037378691279E-2</v>
      </c>
      <c r="V12" s="1">
        <f>'2021 Korr med revekting arbavg'!BM12</f>
        <v>0.36967700778375323</v>
      </c>
      <c r="W12" s="1">
        <f>'2021 Korr med revekting arbavg'!BT12</f>
        <v>0</v>
      </c>
      <c r="X12" s="1">
        <f>'2021 Korr med revekting arbavg'!CA12</f>
        <v>0</v>
      </c>
      <c r="Y12" s="1"/>
      <c r="Z12" s="9">
        <f t="shared" si="4"/>
        <v>60.547683806975471</v>
      </c>
      <c r="AB12" s="1">
        <f>+'2021 Korr med revekting pensjon'!I12</f>
        <v>-5.4347792147100158</v>
      </c>
      <c r="AC12" s="1">
        <f>+'2021 Korr med revekting pensjon'!P12</f>
        <v>-1.9071096340705562</v>
      </c>
      <c r="AD12" s="1">
        <f>+'2021 Korr med revekting pensjon'!W12</f>
        <v>-0.33347168675655087</v>
      </c>
      <c r="AE12" s="1">
        <f>+'2021 Korr med revekting pensjon'!AD12</f>
        <v>8.1975101506083416E-3</v>
      </c>
      <c r="AF12" s="1">
        <f>+'2021 Korr med revekting pensjon'!AK12</f>
        <v>4.6022228088044219</v>
      </c>
      <c r="AG12" s="48">
        <f t="shared" si="3"/>
        <v>5.9030974377140595</v>
      </c>
      <c r="AH12" s="1"/>
      <c r="AI12" s="1">
        <f>+'2021 Korr med revekting pensjon'!AR12</f>
        <v>4.24956320063652</v>
      </c>
      <c r="AJ12" s="1">
        <f>+'2021 Korr med revekting pensjon'!AY12</f>
        <v>1.1064777500011382</v>
      </c>
      <c r="AK12" s="1">
        <f>+'2021 Korr med revekting pensjon'!BF12</f>
        <v>0.17069074489650549</v>
      </c>
      <c r="AL12" s="1">
        <f>+'2021 Korr med revekting pensjon'!BM12</f>
        <v>0.37636574217989477</v>
      </c>
      <c r="AM12" s="1">
        <f>+'2021 Korr med revekting pensjon'!BT12</f>
        <v>0</v>
      </c>
      <c r="AN12" s="1">
        <f>+'2021 Korr med revekting pensjon'!CA12</f>
        <v>0</v>
      </c>
      <c r="AO12" s="1"/>
      <c r="AP12" s="9">
        <f t="shared" si="5"/>
        <v>2.8381572211319668</v>
      </c>
      <c r="AQ12" s="1"/>
      <c r="AR12" s="9">
        <f>+'2021 Korr med revekt premieavv'!J12</f>
        <v>-46.02442639962473</v>
      </c>
      <c r="AT12" s="9"/>
      <c r="AV12" s="9">
        <f t="shared" si="6"/>
        <v>-397.62608516555144</v>
      </c>
      <c r="AW12" s="1">
        <f>+AV12*'2021 Nto driftsutg'!W12</f>
        <v>-123068454.3674195</v>
      </c>
    </row>
    <row r="13" spans="1:49" x14ac:dyDescent="0.3">
      <c r="A13" s="41">
        <v>4600</v>
      </c>
      <c r="B13" s="42" t="s">
        <v>407</v>
      </c>
      <c r="C13" s="9">
        <f>+'2021 Grunnlag korreksjoner'!C13*1000/'2021 Nto driftsutg'!W13</f>
        <v>-171.58578704463451</v>
      </c>
      <c r="D13" s="1"/>
      <c r="E13" s="1">
        <f>+'2021 Nto driftsutg landet'!$C$5*'2021 Revekting utgiftsbehov'!Z13-'2021 Nto driftsutg landet'!$C$5</f>
        <v>385.66111915393321</v>
      </c>
      <c r="F13" s="1">
        <f>+'2021 Nto driftsutg landet'!$C$6*'2021 Revekting utgiftsbehov'!AA13-'2021 Nto driftsutg landet'!$C$6</f>
        <v>296.34634744147684</v>
      </c>
      <c r="G13" s="1">
        <f>+'2021 Nto driftsutg landet'!$C$7*'2021 Revekting utgiftsbehov'!AB13-'2021 Nto driftsutg landet'!$C$7</f>
        <v>0.95139146745759717</v>
      </c>
      <c r="H13" s="1">
        <f>+'2021 Nto driftsutg landet'!$C$8*'2021 Revekting utgiftsbehov'!AC13-'2021 Nto driftsutg landet'!$C$8</f>
        <v>765.70142568955646</v>
      </c>
      <c r="I13" s="1">
        <f>+'2021 Nto driftsutg landet'!$C$9*'2021 Revekting utgiftsbehov'!AD13-'2021 Nto driftsutg landet'!$C$9</f>
        <v>13.735960868120856</v>
      </c>
      <c r="J13" s="9">
        <f t="shared" si="1"/>
        <v>1462.3962446205451</v>
      </c>
      <c r="L13" s="1">
        <f>'2021 Korr med revekting arbavg'!I13</f>
        <v>30.418417442356827</v>
      </c>
      <c r="M13" s="1">
        <f>'2021 Korr med revekting arbavg'!P13</f>
        <v>35.057370260577471</v>
      </c>
      <c r="N13" s="1">
        <f>'2021 Korr med revekting arbavg'!W13</f>
        <v>0.37344677638821355</v>
      </c>
      <c r="O13" s="1">
        <f>'2021 Korr med revekting arbavg'!AD13</f>
        <v>0</v>
      </c>
      <c r="P13" s="1">
        <f>'2021 Korr med revekting arbavg'!AK13</f>
        <v>3.1296958676674764</v>
      </c>
      <c r="Q13" s="48">
        <f t="shared" si="2"/>
        <v>18.381011171002164</v>
      </c>
      <c r="R13" s="1"/>
      <c r="S13" s="1">
        <f>'2021 Korr med revekting arbavg'!AR13</f>
        <v>17.987058356183464</v>
      </c>
      <c r="T13" s="1">
        <f>'2021 Korr med revekting arbavg'!AY13</f>
        <v>0.29042818078754995</v>
      </c>
      <c r="U13" s="1">
        <f>'2021 Korr med revekting arbavg'!BF13</f>
        <v>2.3983495443643584E-2</v>
      </c>
      <c r="V13" s="1">
        <f>'2021 Korr med revekting arbavg'!BM13</f>
        <v>7.9236795095055101E-2</v>
      </c>
      <c r="W13" s="1">
        <f>'2021 Korr med revekting arbavg'!BT13</f>
        <v>0</v>
      </c>
      <c r="X13" s="1">
        <f>'2021 Korr med revekting arbavg'!CA13</f>
        <v>3.0434349245022068E-4</v>
      </c>
      <c r="Y13" s="1"/>
      <c r="Z13" s="9">
        <f t="shared" si="4"/>
        <v>87.359941517992155</v>
      </c>
      <c r="AB13" s="1">
        <f>+'2021 Korr med revekting pensjon'!I13</f>
        <v>-54.583068481508228</v>
      </c>
      <c r="AC13" s="1">
        <f>+'2021 Korr med revekting pensjon'!P13</f>
        <v>4.6678186881542869</v>
      </c>
      <c r="AD13" s="1">
        <f>+'2021 Korr med revekting pensjon'!W13</f>
        <v>-4.2269064603648063</v>
      </c>
      <c r="AE13" s="1">
        <f>+'2021 Korr med revekting pensjon'!AD13</f>
        <v>0</v>
      </c>
      <c r="AF13" s="1">
        <f>+'2021 Korr med revekting pensjon'!AK13</f>
        <v>-27.744979423779768</v>
      </c>
      <c r="AG13" s="48">
        <f t="shared" si="3"/>
        <v>-101.41131284997221</v>
      </c>
      <c r="AH13" s="1"/>
      <c r="AI13" s="1">
        <f>+'2021 Korr med revekting pensjon'!AR13</f>
        <v>-94.679168403339688</v>
      </c>
      <c r="AJ13" s="1">
        <f>+'2021 Korr med revekting pensjon'!AY13</f>
        <v>-4.0572266981417666</v>
      </c>
      <c r="AK13" s="1">
        <f>+'2021 Korr med revekting pensjon'!BF13</f>
        <v>-0.40923429401959893</v>
      </c>
      <c r="AL13" s="1">
        <f>+'2021 Korr med revekting pensjon'!BM13</f>
        <v>-2.2627981887952959</v>
      </c>
      <c r="AM13" s="1">
        <f>+'2021 Korr med revekting pensjon'!BT13</f>
        <v>0</v>
      </c>
      <c r="AN13" s="1">
        <f>+'2021 Korr med revekting pensjon'!CA13</f>
        <v>-2.8852656758568051E-3</v>
      </c>
      <c r="AO13" s="1"/>
      <c r="AP13" s="9">
        <f t="shared" si="5"/>
        <v>-183.29844852747073</v>
      </c>
      <c r="AQ13" s="1"/>
      <c r="AR13" s="9">
        <f>+'2021 Korr med revekt premieavv'!J13</f>
        <v>263.19191657693932</v>
      </c>
      <c r="AT13" s="9"/>
      <c r="AV13" s="9">
        <f t="shared" si="6"/>
        <v>1458.0638671433712</v>
      </c>
      <c r="AW13" s="1">
        <f>+AV13*'2021 Nto driftsutg'!W13</f>
        <v>931851533.61906278</v>
      </c>
    </row>
    <row r="14" spans="1:49" x14ac:dyDescent="0.3">
      <c r="A14" s="41">
        <v>5000</v>
      </c>
      <c r="B14" s="42" t="s">
        <v>388</v>
      </c>
      <c r="C14" s="9">
        <f>+'2021 Grunnlag korreksjoner'!C14*1000/'2021 Nto driftsutg'!W14</f>
        <v>6.2152632992415882</v>
      </c>
      <c r="D14" s="1"/>
      <c r="E14" s="1">
        <f>+'2021 Nto driftsutg landet'!$C$5*'2021 Revekting utgiftsbehov'!Z14-'2021 Nto driftsutg landet'!$C$5</f>
        <v>77.31867393749053</v>
      </c>
      <c r="F14" s="1">
        <f>+'2021 Nto driftsutg landet'!$C$6*'2021 Revekting utgiftsbehov'!AA14-'2021 Nto driftsutg landet'!$C$6</f>
        <v>485.30472991364286</v>
      </c>
      <c r="G14" s="1">
        <f>+'2021 Nto driftsutg landet'!$C$7*'2021 Revekting utgiftsbehov'!AB14-'2021 Nto driftsutg landet'!$C$7</f>
        <v>138.58763761397768</v>
      </c>
      <c r="H14" s="1">
        <f>+'2021 Nto driftsutg landet'!$C$8*'2021 Revekting utgiftsbehov'!AC14-'2021 Nto driftsutg landet'!$C$8</f>
        <v>111.89278983448082</v>
      </c>
      <c r="I14" s="1">
        <f>+'2021 Nto driftsutg landet'!$C$9*'2021 Revekting utgiftsbehov'!AD14-'2021 Nto driftsutg landet'!$C$9</f>
        <v>-3.5262999571205569</v>
      </c>
      <c r="J14" s="9">
        <f t="shared" si="1"/>
        <v>809.57753134247127</v>
      </c>
      <c r="L14" s="1">
        <f>'2021 Korr med revekting arbavg'!I14</f>
        <v>-10.062446896319006</v>
      </c>
      <c r="M14" s="1">
        <f>'2021 Korr med revekting arbavg'!P14</f>
        <v>6.667146309679473</v>
      </c>
      <c r="N14" s="1">
        <f>'2021 Korr med revekting arbavg'!W14</f>
        <v>0.24599445817518412</v>
      </c>
      <c r="O14" s="1">
        <f>'2021 Korr med revekting arbavg'!AD14</f>
        <v>7.546159518789379E-2</v>
      </c>
      <c r="P14" s="1">
        <f>'2021 Korr med revekting arbavg'!AK14</f>
        <v>-2.1154889308684552</v>
      </c>
      <c r="Q14" s="48">
        <f t="shared" si="2"/>
        <v>14.987913331854768</v>
      </c>
      <c r="R14" s="1"/>
      <c r="S14" s="1">
        <f>'2021 Korr med revekting arbavg'!AR14</f>
        <v>14.433684753650331</v>
      </c>
      <c r="T14" s="1">
        <f>'2021 Korr med revekting arbavg'!AY14</f>
        <v>0.34801881885337282</v>
      </c>
      <c r="U14" s="1">
        <f>'2021 Korr med revekting arbavg'!BF14</f>
        <v>-3.8758502539748219E-2</v>
      </c>
      <c r="V14" s="1">
        <f>'2021 Korr med revekting arbavg'!BM14</f>
        <v>0.24496826189081369</v>
      </c>
      <c r="W14" s="1">
        <f>'2021 Korr med revekting arbavg'!BT14</f>
        <v>0</v>
      </c>
      <c r="X14" s="1">
        <f>'2021 Korr med revekting arbavg'!CA14</f>
        <v>0</v>
      </c>
      <c r="Y14" s="1"/>
      <c r="Z14" s="9">
        <f t="shared" si="4"/>
        <v>9.7985798677098579</v>
      </c>
      <c r="AB14" s="1">
        <f>+'2021 Korr med revekting pensjon'!I14</f>
        <v>13.031069707476915</v>
      </c>
      <c r="AC14" s="1">
        <f>+'2021 Korr med revekting pensjon'!P14</f>
        <v>14.979941207015248</v>
      </c>
      <c r="AD14" s="1">
        <f>+'2021 Korr med revekting pensjon'!W14</f>
        <v>0.11846151908747247</v>
      </c>
      <c r="AE14" s="1">
        <f>+'2021 Korr med revekting pensjon'!AD14</f>
        <v>-0.23543274203353756</v>
      </c>
      <c r="AF14" s="1">
        <f>+'2021 Korr med revekting pensjon'!AK14</f>
        <v>0.2666013039095162</v>
      </c>
      <c r="AG14" s="48">
        <f t="shared" si="3"/>
        <v>77.513876390861114</v>
      </c>
      <c r="AH14" s="1"/>
      <c r="AI14" s="1">
        <f>+'2021 Korr med revekting pensjon'!AR14</f>
        <v>75.962675192959225</v>
      </c>
      <c r="AJ14" s="1">
        <f>+'2021 Korr med revekting pensjon'!AY14</f>
        <v>1.4709453243568951</v>
      </c>
      <c r="AK14" s="1">
        <f>+'2021 Korr med revekting pensjon'!BF14</f>
        <v>-5.6740259055710078E-4</v>
      </c>
      <c r="AL14" s="1">
        <f>+'2021 Korr med revekting pensjon'!BM14</f>
        <v>8.0823276135559785E-2</v>
      </c>
      <c r="AM14" s="1">
        <f>+'2021 Korr med revekting pensjon'!BT14</f>
        <v>0</v>
      </c>
      <c r="AN14" s="1">
        <f>+'2021 Korr med revekting pensjon'!CA14</f>
        <v>0</v>
      </c>
      <c r="AO14" s="1"/>
      <c r="AP14" s="9">
        <f t="shared" si="5"/>
        <v>105.67451738631672</v>
      </c>
      <c r="AQ14" s="1"/>
      <c r="AR14" s="9">
        <f>+'2021 Korr med revekt premieavv'!J14</f>
        <v>28.792446979079472</v>
      </c>
      <c r="AT14" s="9"/>
      <c r="AV14" s="9">
        <f t="shared" si="6"/>
        <v>960.05833887481879</v>
      </c>
      <c r="AW14" s="1">
        <f>+AV14*'2021 Nto driftsutg'!W14</f>
        <v>452172116.67661762</v>
      </c>
    </row>
    <row r="15" spans="1:49" x14ac:dyDescent="0.3">
      <c r="A15" s="41">
        <v>5400</v>
      </c>
      <c r="B15" s="42" t="s">
        <v>408</v>
      </c>
      <c r="C15" s="9">
        <f>+'2021 Grunnlag korreksjoner'!C15*1000/'2021 Nto driftsutg'!W15</f>
        <v>227.93067240342958</v>
      </c>
      <c r="D15" s="1"/>
      <c r="E15" s="1">
        <f>+'2021 Nto driftsutg landet'!$C$5*'2021 Revekting utgiftsbehov'!Z15-'2021 Nto driftsutg landet'!$C$5</f>
        <v>404.19890335506898</v>
      </c>
      <c r="F15" s="1">
        <f>+'2021 Nto driftsutg landet'!$C$6*'2021 Revekting utgiftsbehov'!AA15-'2021 Nto driftsutg landet'!$C$6</f>
        <v>1745.178150317774</v>
      </c>
      <c r="G15" s="1">
        <f>+'2021 Nto driftsutg landet'!$C$7*'2021 Revekting utgiftsbehov'!AB15-'2021 Nto driftsutg landet'!$C$7</f>
        <v>307.53059763713964</v>
      </c>
      <c r="H15" s="1">
        <f>+'2021 Nto driftsutg landet'!$C$8*'2021 Revekting utgiftsbehov'!AC15-'2021 Nto driftsutg landet'!$C$8</f>
        <v>1968.3778681154758</v>
      </c>
      <c r="I15" s="1">
        <f>+'2021 Nto driftsutg landet'!$C$9*'2021 Revekting utgiftsbehov'!AD15-'2021 Nto driftsutg landet'!$C$9</f>
        <v>-20.198010920838385</v>
      </c>
      <c r="J15" s="9">
        <f t="shared" si="1"/>
        <v>4405.0875085046209</v>
      </c>
      <c r="L15" s="1">
        <f>'2021 Korr med revekting arbavg'!I15</f>
        <v>-353.95019795305058</v>
      </c>
      <c r="M15" s="1">
        <f>'2021 Korr med revekting arbavg'!P15</f>
        <v>-49.543363413084947</v>
      </c>
      <c r="N15" s="1">
        <f>'2021 Korr med revekting arbavg'!W15</f>
        <v>-3.4353048079359638</v>
      </c>
      <c r="O15" s="1">
        <f>'2021 Korr med revekting arbavg'!AD15</f>
        <v>-1.1355417901091092</v>
      </c>
      <c r="P15" s="1">
        <f>'2021 Korr med revekting arbavg'!AK15</f>
        <v>-27.547074539113726</v>
      </c>
      <c r="Q15" s="48">
        <f t="shared" si="2"/>
        <v>-27.843419690049956</v>
      </c>
      <c r="R15" s="1"/>
      <c r="S15" s="1">
        <f>'2021 Korr med revekting arbavg'!AR15</f>
        <v>-20.240181563803379</v>
      </c>
      <c r="T15" s="1">
        <f>'2021 Korr med revekting arbavg'!AY15</f>
        <v>-4.4305849411489975</v>
      </c>
      <c r="U15" s="1">
        <f>'2021 Korr med revekting arbavg'!BF15</f>
        <v>-0.43718719786859467</v>
      </c>
      <c r="V15" s="1">
        <f>'2021 Korr med revekting arbavg'!BM15</f>
        <v>-2.7307938732097825</v>
      </c>
      <c r="W15" s="1">
        <f>'2021 Korr med revekting arbavg'!BT15</f>
        <v>0</v>
      </c>
      <c r="X15" s="1">
        <f>'2021 Korr med revekting arbavg'!CA15</f>
        <v>-4.6721140192010546E-3</v>
      </c>
      <c r="Y15" s="1"/>
      <c r="Z15" s="9">
        <f t="shared" si="4"/>
        <v>-463.45490219334431</v>
      </c>
      <c r="AB15" s="1">
        <f>+'2021 Korr med revekting pensjon'!I15</f>
        <v>15.887950181998148</v>
      </c>
      <c r="AC15" s="1">
        <f>+'2021 Korr med revekting pensjon'!P15</f>
        <v>-14.311410332418037</v>
      </c>
      <c r="AD15" s="1">
        <f>+'2021 Korr med revekting pensjon'!W15</f>
        <v>3.8301537343069931</v>
      </c>
      <c r="AE15" s="1">
        <f>+'2021 Korr med revekting pensjon'!AD15</f>
        <v>-0.25935067714722382</v>
      </c>
      <c r="AF15" s="1">
        <f>+'2021 Korr med revekting pensjon'!AK15</f>
        <v>6.3369180010825659</v>
      </c>
      <c r="AG15" s="48">
        <f t="shared" si="3"/>
        <v>-8.4328833239146412</v>
      </c>
      <c r="AH15" s="1"/>
      <c r="AI15" s="1">
        <f>+'2021 Korr med revekting pensjon'!AR15</f>
        <v>-10.45937932967542</v>
      </c>
      <c r="AJ15" s="1">
        <f>+'2021 Korr med revekting pensjon'!AY15</f>
        <v>0.90209351167923657</v>
      </c>
      <c r="AK15" s="1">
        <f>+'2021 Korr med revekting pensjon'!BF15</f>
        <v>0.20004100114109508</v>
      </c>
      <c r="AL15" s="1">
        <f>+'2021 Korr med revekting pensjon'!BM15</f>
        <v>0.91903633299914855</v>
      </c>
      <c r="AM15" s="1">
        <f>+'2021 Korr med revekting pensjon'!BT15</f>
        <v>0</v>
      </c>
      <c r="AN15" s="1">
        <f>+'2021 Korr med revekting pensjon'!CA15</f>
        <v>5.3251599412982723E-3</v>
      </c>
      <c r="AO15" s="1"/>
      <c r="AP15" s="9">
        <f t="shared" si="5"/>
        <v>3.0513775839078043</v>
      </c>
      <c r="AQ15" s="1"/>
      <c r="AR15" s="9">
        <f>+'2021 Korr med revekt premieavv'!J15</f>
        <v>-11.725836083175116</v>
      </c>
      <c r="AT15" s="9"/>
      <c r="AV15" s="9">
        <f t="shared" si="6"/>
        <v>4160.8888202154394</v>
      </c>
      <c r="AW15" s="1">
        <f>+AV15*'2021 Nto driftsutg'!W15</f>
        <v>1005532874.9597237</v>
      </c>
    </row>
    <row r="16" spans="1:49" x14ac:dyDescent="0.3">
      <c r="C16" s="8"/>
      <c r="E16" s="4"/>
      <c r="F16" s="4"/>
      <c r="G16" s="4"/>
      <c r="H16" s="1"/>
      <c r="I16" s="4"/>
      <c r="J16" s="8"/>
      <c r="Q16" s="49"/>
      <c r="Z16" s="9"/>
      <c r="AG16" s="49"/>
      <c r="AP16" s="8"/>
      <c r="AQ16" s="4"/>
      <c r="AR16" s="9"/>
      <c r="AT16" s="9"/>
      <c r="AV16" s="9"/>
    </row>
    <row r="17" spans="2:49" x14ac:dyDescent="0.3">
      <c r="B17" s="1" t="s">
        <v>3</v>
      </c>
      <c r="C17" s="9">
        <v>0</v>
      </c>
      <c r="D17" s="1"/>
      <c r="E17" s="1">
        <v>0</v>
      </c>
      <c r="F17" s="1">
        <f>+'2021 Nto driftsutg landet'!$C$6*'2021 Nøkkel revektet'!E17-'2021 Nto driftsutg landet'!$C$6</f>
        <v>0</v>
      </c>
      <c r="G17" s="1">
        <f>+'2021 Nto driftsutg landet'!$C$6*'2021 Nøkkel revektet'!F17-'2021 Nto driftsutg landet'!$C$6</f>
        <v>0</v>
      </c>
      <c r="H17" s="1">
        <f>+'2021 Nto driftsutg landet'!$C$8*'2021 Nøkkel revektet'!G17-'2021 Nto driftsutg landet'!$C$8</f>
        <v>0</v>
      </c>
      <c r="I17" s="1">
        <f>+'2021 Nto driftsutg landet'!$C$6*'2021 Nøkkel revektet'!H17-'2021 Nto driftsutg landet'!$C$6</f>
        <v>0</v>
      </c>
      <c r="J17" s="9">
        <f>SUM(E17:I17)</f>
        <v>0</v>
      </c>
      <c r="K17" s="1"/>
      <c r="L17" s="1">
        <f>+'2021 Korr med revekting arbavg'!J17</f>
        <v>-6.2573235481977463E-10</v>
      </c>
      <c r="M17" s="1">
        <f>+'2021 Korr med revekting arbavg'!Q17</f>
        <v>0</v>
      </c>
      <c r="N17" s="1">
        <f>+'2021 Korr med revekting arbavg'!X17</f>
        <v>0</v>
      </c>
      <c r="O17" s="1">
        <f>+'2021 Korr med revekting arbavg'!AE17</f>
        <v>0</v>
      </c>
      <c r="P17" s="1">
        <f>+'2021 Korr med revekting arbavg'!AL17</f>
        <v>2.0008883439004421E-11</v>
      </c>
      <c r="Q17" s="48"/>
      <c r="R17" s="1"/>
      <c r="S17" s="1">
        <f>'2021 Korr med revekting arbavg'!AR17</f>
        <v>0</v>
      </c>
      <c r="T17" s="1">
        <f>'2021 Korr med revekting arbavg'!AZ17</f>
        <v>-6.1390892369672656E-12</v>
      </c>
      <c r="U17" s="1">
        <f>'2021 Korr med revekting arbavg'!BG17</f>
        <v>-3.979039320256561E-13</v>
      </c>
      <c r="V17" s="1">
        <f>'2021 Korr med revekting arbavg'!BN17</f>
        <v>-1.9326762412674725E-12</v>
      </c>
      <c r="W17" s="1">
        <f>'2021 Korr med revekting arbavg'!BU17</f>
        <v>0</v>
      </c>
      <c r="X17" s="1">
        <f>'2021 Korr med revekting arbavg'!CB17</f>
        <v>-3.3306690738754696E-15</v>
      </c>
      <c r="Y17" s="1"/>
      <c r="Z17" s="9">
        <f>SUM(L17:P17)+Q17</f>
        <v>-6.0572347138077021E-10</v>
      </c>
      <c r="AB17" s="1">
        <f>+'2021 Korr med revekting pensjon'!J17</f>
        <v>-1.4142642612569034E-10</v>
      </c>
      <c r="AC17" s="1">
        <f>+'2021 Korr med revekting pensjon'!Q17</f>
        <v>1.9099388737231493E-11</v>
      </c>
      <c r="AD17" s="1">
        <f>+'2021 Korr med revekting pensjon'!X17</f>
        <v>-3.2969182939268649E-12</v>
      </c>
      <c r="AE17" s="1">
        <f>+'2021 Korr med revekting pensjon'!AE17</f>
        <v>-6.4659388954169117E-13</v>
      </c>
      <c r="AF17" s="1">
        <f>+'2021 Korr med revekting pensjon'!AL17</f>
        <v>-3.3878677641041577E-11</v>
      </c>
      <c r="AG17" s="48"/>
      <c r="AH17" s="1"/>
      <c r="AI17" s="1">
        <f>+'2021 Korr med revekting pensjon'!AS17</f>
        <v>4.091241276000801E-4</v>
      </c>
      <c r="AJ17" s="1">
        <f>+'2021 Korr med revekting pensjon'!AZ17</f>
        <v>3.4106051316484809E-12</v>
      </c>
      <c r="AK17" s="1">
        <f>+'2021 Korr med revekting pensjon'!BG17</f>
        <v>-1.2789769243681803E-13</v>
      </c>
      <c r="AL17" s="1">
        <f>+'2021 Korr med revekting pensjon'!BN17</f>
        <v>1.7053025658242404E-12</v>
      </c>
      <c r="AM17" s="1">
        <f>+'2021 Korr med revekting pensjon'!BU17</f>
        <v>0</v>
      </c>
      <c r="AN17" s="1">
        <f>+'2021 Korr med revekting pensjon'!CB17</f>
        <v>-2.886579864025407E-15</v>
      </c>
      <c r="AO17" s="1"/>
      <c r="AP17" s="9">
        <f>SUM(AB17:AF17)+AG17</f>
        <v>-1.6014922721296898E-10</v>
      </c>
      <c r="AQ17" s="1"/>
      <c r="AR17" s="9">
        <f>+'2021 Korr med revekt premieavv'!K17</f>
        <v>-1.5685266815125942E-2</v>
      </c>
      <c r="AT17" s="9"/>
      <c r="AV17" s="9">
        <f>+C17+J17+Z17+AP17+AR17</f>
        <v>-1.5685267580998641E-2</v>
      </c>
      <c r="AW17" s="5">
        <f>SUM(AW5:AW15)</f>
        <v>0.5510718822479248</v>
      </c>
    </row>
    <row r="19" spans="2:49" x14ac:dyDescent="0.3">
      <c r="E19" s="5"/>
      <c r="F19" s="5"/>
      <c r="G19" s="5"/>
      <c r="H19" s="5"/>
      <c r="I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M19" s="5"/>
      <c r="AN19" s="5"/>
      <c r="AO19" s="5"/>
    </row>
    <row r="21" spans="2:49" x14ac:dyDescent="0.3">
      <c r="E21" t="s">
        <v>313</v>
      </c>
    </row>
    <row r="22" spans="2:49" x14ac:dyDescent="0.3">
      <c r="C22" t="s">
        <v>314</v>
      </c>
      <c r="E22" s="5">
        <f>+C6+E6+L6+AB6</f>
        <v>382.96365634814259</v>
      </c>
    </row>
  </sheetData>
  <sheetProtection algorithmName="SHA-512" hashValue="rDl9XWpVj2ekMHhc/5aAS6v1BANNSizr+Oe1l9HnrE2hHCw0Y1W9oC7pIEUsNowb6FDbkaV/LteWSr5P6iXwvQ==" saltValue="6/JkGWTwoubRkZNjfl8v9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511A-94C7-4418-BB64-3AAB7FB310DD}">
  <sheetPr>
    <tabColor rgb="FFFFC000"/>
  </sheetPr>
  <dimension ref="A1:W18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5.44140625" customWidth="1"/>
    <col min="22" max="22" width="12.44140625" customWidth="1"/>
  </cols>
  <sheetData>
    <row r="1" spans="1:23" x14ac:dyDescent="0.3">
      <c r="I1" s="5"/>
    </row>
    <row r="2" spans="1:23" ht="104.25" customHeight="1" x14ac:dyDescent="0.3">
      <c r="A2" s="22" t="s">
        <v>2</v>
      </c>
      <c r="B2" s="22" t="s">
        <v>1</v>
      </c>
      <c r="C2" s="22" t="s">
        <v>25</v>
      </c>
      <c r="D2" s="22" t="s">
        <v>164</v>
      </c>
      <c r="E2" s="22" t="s">
        <v>165</v>
      </c>
      <c r="F2" s="22" t="s">
        <v>422</v>
      </c>
      <c r="G2" s="22" t="s">
        <v>423</v>
      </c>
      <c r="H2" s="22" t="s">
        <v>166</v>
      </c>
      <c r="I2" s="11" t="s">
        <v>27</v>
      </c>
      <c r="J2" s="22" t="s">
        <v>386</v>
      </c>
      <c r="K2" s="22" t="s">
        <v>167</v>
      </c>
      <c r="L2" s="22" t="s">
        <v>168</v>
      </c>
      <c r="M2" s="22" t="s">
        <v>14</v>
      </c>
      <c r="N2" s="22" t="s">
        <v>169</v>
      </c>
      <c r="O2" s="22" t="s">
        <v>170</v>
      </c>
      <c r="P2" s="22" t="s">
        <v>15</v>
      </c>
      <c r="Q2" s="22" t="s">
        <v>387</v>
      </c>
      <c r="R2" s="22" t="s">
        <v>13</v>
      </c>
      <c r="S2" s="22" t="s">
        <v>18</v>
      </c>
      <c r="T2" s="22" t="s">
        <v>19</v>
      </c>
      <c r="U2" s="22"/>
      <c r="V2" s="22"/>
      <c r="W2" s="22"/>
    </row>
    <row r="3" spans="1:23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/>
      <c r="W3" s="107"/>
    </row>
    <row r="4" spans="1:23" x14ac:dyDescent="0.3">
      <c r="I4" s="19"/>
    </row>
    <row r="5" spans="1:23" x14ac:dyDescent="0.3">
      <c r="A5" s="41">
        <v>300</v>
      </c>
      <c r="B5" s="42" t="s">
        <v>0</v>
      </c>
      <c r="C5" s="1">
        <f t="shared" ref="C5:C15" si="1">SUM(D5:I5)+R5+S5+T5</f>
        <v>8015423.8316516075</v>
      </c>
      <c r="D5" s="1">
        <f>+'2023 Nto driftsutg'!D5-'2023 Avskrivning'!D5</f>
        <v>3818129</v>
      </c>
      <c r="E5" s="1">
        <f>+'2023 Nto driftsutg'!E5-'2023 Avskrivning'!E5</f>
        <v>-181</v>
      </c>
      <c r="F5" s="1">
        <f>+'2023 Nto driftsutg'!F5-'2023 Avskrivning'!F5</f>
        <v>4098455</v>
      </c>
      <c r="G5" s="1">
        <f>+'2023 Nto driftsutg'!G5-'2023 Avskrivning'!G5</f>
        <v>0</v>
      </c>
      <c r="H5" s="1">
        <f>+'2023 Nto driftsutg'!H5-'2023 Avskrivning'!H5</f>
        <v>337761</v>
      </c>
      <c r="I5" s="9">
        <f t="shared" ref="I5:I15" si="2">SUM(J5:Q5)</f>
        <v>131342</v>
      </c>
      <c r="J5" s="1">
        <f>+'2023 Nto driftsutg'!J5-'2023 Avskrivning'!J5</f>
        <v>0</v>
      </c>
      <c r="K5" s="1">
        <f>+'2023 Nto driftsutg'!K5-'2023 Avskrivning'!K5</f>
        <v>166003</v>
      </c>
      <c r="L5" s="1">
        <f>+'2023 Nto driftsutg'!L5-'2023 Avskrivning'!L5</f>
        <v>0</v>
      </c>
      <c r="M5" s="1">
        <f>+'2023 Nto driftsutg'!M5-'2023 Avskrivning'!M5</f>
        <v>14531</v>
      </c>
      <c r="N5" s="1">
        <f>+'2023 Nto driftsutg'!N5-'2023 Avskrivning'!N5</f>
        <v>-49192</v>
      </c>
      <c r="O5" s="1">
        <f>+'2023 Nto driftsutg'!O5-'2023 Avskrivning'!O5</f>
        <v>0</v>
      </c>
      <c r="P5" s="1">
        <f>+'2023 Nto driftsutg'!P5-'2023 Avskrivning'!P5</f>
        <v>0</v>
      </c>
      <c r="Q5" s="1">
        <f>+'2023 Nto driftsutg'!Q5-'2023 Avskrivning'!Q5</f>
        <v>0</v>
      </c>
      <c r="R5" s="1">
        <f>+'2023 Nto driftsutg'!R5-'2023 Avskrivning'!R5</f>
        <v>-656025.221676777</v>
      </c>
      <c r="S5" s="1">
        <f>+'2023 Nto driftsutg'!S5</f>
        <v>380793.02942331578</v>
      </c>
      <c r="T5" s="1">
        <f>+'2023 Nto driftsutg'!T5</f>
        <v>-94849.976094931699</v>
      </c>
      <c r="V5" s="1"/>
      <c r="W5" s="1"/>
    </row>
    <row r="6" spans="1:23" x14ac:dyDescent="0.3">
      <c r="A6" s="41">
        <v>1100</v>
      </c>
      <c r="B6" s="42" t="s">
        <v>139</v>
      </c>
      <c r="C6" s="1">
        <f t="shared" si="1"/>
        <v>7449664</v>
      </c>
      <c r="D6" s="1">
        <f>+'2023 Nto driftsutg'!D6-'2023 Avskrivning'!D6</f>
        <v>3685512</v>
      </c>
      <c r="E6" s="1">
        <f>+'2023 Nto driftsutg'!E6-'2023 Avskrivning'!E6</f>
        <v>850100</v>
      </c>
      <c r="F6" s="1">
        <f>+'2023 Nto driftsutg'!F6-'2023 Avskrivning'!F6</f>
        <v>956282</v>
      </c>
      <c r="G6" s="1">
        <f>+'2023 Nto driftsutg'!G6-'2023 Avskrivning'!G6</f>
        <v>321797</v>
      </c>
      <c r="H6" s="1">
        <f>+'2023 Nto driftsutg'!H6-'2023 Avskrivning'!H6</f>
        <v>330234</v>
      </c>
      <c r="I6" s="9">
        <f t="shared" si="2"/>
        <v>562760</v>
      </c>
      <c r="J6" s="1">
        <f>+'2023 Nto driftsutg'!J6-'2023 Avskrivning'!J6</f>
        <v>0</v>
      </c>
      <c r="K6" s="1">
        <f>+'2023 Nto driftsutg'!K6-'2023 Avskrivning'!K6</f>
        <v>325540</v>
      </c>
      <c r="L6" s="1">
        <f>+'2023 Nto driftsutg'!L6-'2023 Avskrivning'!L6</f>
        <v>97879</v>
      </c>
      <c r="M6" s="1">
        <f>+'2023 Nto driftsutg'!M6-'2023 Avskrivning'!M6</f>
        <v>-70325</v>
      </c>
      <c r="N6" s="1">
        <f>+'2023 Nto driftsutg'!N6-'2023 Avskrivning'!N6</f>
        <v>201705</v>
      </c>
      <c r="O6" s="1">
        <f>+'2023 Nto driftsutg'!O6-'2023 Avskrivning'!O6</f>
        <v>0</v>
      </c>
      <c r="P6" s="1">
        <f>+'2023 Nto driftsutg'!P6-'2023 Avskrivning'!P6</f>
        <v>7961</v>
      </c>
      <c r="Q6" s="1">
        <f>+'2023 Nto driftsutg'!Q6-'2023 Avskrivning'!Q6</f>
        <v>0</v>
      </c>
      <c r="R6" s="1">
        <f>+'2023 Nto driftsutg'!R6-'2023 Avskrivning'!R6</f>
        <v>-272716</v>
      </c>
      <c r="S6" s="1">
        <f>+'2023 Nto driftsutg'!S6</f>
        <v>464920</v>
      </c>
      <c r="T6" s="1">
        <f>+'2023 Nto driftsutg'!T6</f>
        <v>550775</v>
      </c>
      <c r="V6" s="1"/>
      <c r="W6" s="1"/>
    </row>
    <row r="7" spans="1:23" x14ac:dyDescent="0.3">
      <c r="A7" s="41">
        <v>1500</v>
      </c>
      <c r="B7" s="42" t="s">
        <v>140</v>
      </c>
      <c r="C7" s="1">
        <f t="shared" si="1"/>
        <v>5792950</v>
      </c>
      <c r="D7" s="1">
        <f>+'2023 Nto driftsutg'!D7-'2023 Avskrivning'!D7</f>
        <v>2026227</v>
      </c>
      <c r="E7" s="1">
        <f>+'2023 Nto driftsutg'!E7-'2023 Avskrivning'!E7</f>
        <v>906696</v>
      </c>
      <c r="F7" s="1">
        <f>+'2023 Nto driftsutg'!F7-'2023 Avskrivning'!F7</f>
        <v>781121</v>
      </c>
      <c r="G7" s="1">
        <f>+'2023 Nto driftsutg'!G7-'2023 Avskrivning'!G7</f>
        <v>871123</v>
      </c>
      <c r="H7" s="1">
        <f>+'2023 Nto driftsutg'!H7-'2023 Avskrivning'!H7</f>
        <v>210517</v>
      </c>
      <c r="I7" s="9">
        <f t="shared" si="2"/>
        <v>601667</v>
      </c>
      <c r="J7" s="1">
        <f>+'2023 Nto driftsutg'!J7-'2023 Avskrivning'!J7</f>
        <v>0</v>
      </c>
      <c r="K7" s="1">
        <f>+'2023 Nto driftsutg'!K7-'2023 Avskrivning'!K7</f>
        <v>276066</v>
      </c>
      <c r="L7" s="1">
        <f>+'2023 Nto driftsutg'!L7-'2023 Avskrivning'!L7</f>
        <v>91538</v>
      </c>
      <c r="M7" s="1">
        <f>+'2023 Nto driftsutg'!M7-'2023 Avskrivning'!M7</f>
        <v>117206</v>
      </c>
      <c r="N7" s="1">
        <f>+'2023 Nto driftsutg'!N7-'2023 Avskrivning'!N7</f>
        <v>114527</v>
      </c>
      <c r="O7" s="1">
        <f>+'2023 Nto driftsutg'!O7-'2023 Avskrivning'!O7</f>
        <v>0</v>
      </c>
      <c r="P7" s="1">
        <f>+'2023 Nto driftsutg'!P7-'2023 Avskrivning'!P7</f>
        <v>2330</v>
      </c>
      <c r="Q7" s="1">
        <f>+'2023 Nto driftsutg'!Q7-'2023 Avskrivning'!Q7</f>
        <v>0</v>
      </c>
      <c r="R7" s="1">
        <f>+'2023 Nto driftsutg'!R7-'2023 Avskrivning'!R7</f>
        <v>-182410</v>
      </c>
      <c r="S7" s="1">
        <f>+'2023 Nto driftsutg'!S7</f>
        <v>519665</v>
      </c>
      <c r="T7" s="1">
        <f>+'2023 Nto driftsutg'!T7</f>
        <v>58344</v>
      </c>
      <c r="V7" s="1"/>
      <c r="W7" s="1"/>
    </row>
    <row r="8" spans="1:23" x14ac:dyDescent="0.3">
      <c r="A8" s="41">
        <v>1800</v>
      </c>
      <c r="B8" s="42" t="s">
        <v>141</v>
      </c>
      <c r="C8" s="1">
        <f t="shared" si="1"/>
        <v>6296643</v>
      </c>
      <c r="D8" s="1">
        <f>+'2023 Nto driftsutg'!D8-'2023 Avskrivning'!D8</f>
        <v>2088674</v>
      </c>
      <c r="E8" s="1">
        <f>+'2023 Nto driftsutg'!E8-'2023 Avskrivning'!E8</f>
        <v>842551</v>
      </c>
      <c r="F8" s="1">
        <f>+'2023 Nto driftsutg'!F8-'2023 Avskrivning'!F8</f>
        <v>1011783</v>
      </c>
      <c r="G8" s="1">
        <f>+'2023 Nto driftsutg'!G8-'2023 Avskrivning'!G8</f>
        <v>900446</v>
      </c>
      <c r="H8" s="1">
        <f>+'2023 Nto driftsutg'!H8-'2023 Avskrivning'!H8</f>
        <v>230605</v>
      </c>
      <c r="I8" s="9">
        <f t="shared" si="2"/>
        <v>790443</v>
      </c>
      <c r="J8" s="1">
        <f>+'2023 Nto driftsutg'!J8-'2023 Avskrivning'!J8</f>
        <v>0</v>
      </c>
      <c r="K8" s="1">
        <f>+'2023 Nto driftsutg'!K8-'2023 Avskrivning'!K8</f>
        <v>397180</v>
      </c>
      <c r="L8" s="1">
        <f>+'2023 Nto driftsutg'!L8-'2023 Avskrivning'!L8</f>
        <v>79320</v>
      </c>
      <c r="M8" s="1">
        <f>+'2023 Nto driftsutg'!M8-'2023 Avskrivning'!M8</f>
        <v>176996</v>
      </c>
      <c r="N8" s="1">
        <f>+'2023 Nto driftsutg'!N8-'2023 Avskrivning'!N8</f>
        <v>137000</v>
      </c>
      <c r="O8" s="1">
        <f>+'2023 Nto driftsutg'!O8-'2023 Avskrivning'!O8</f>
        <v>7</v>
      </c>
      <c r="P8" s="1">
        <f>+'2023 Nto driftsutg'!P8-'2023 Avskrivning'!P8</f>
        <v>-60</v>
      </c>
      <c r="Q8" s="1">
        <f>+'2023 Nto driftsutg'!Q8-'2023 Avskrivning'!Q8</f>
        <v>0</v>
      </c>
      <c r="R8" s="1">
        <f>+'2023 Nto driftsutg'!R8-'2023 Avskrivning'!R8</f>
        <v>-200862</v>
      </c>
      <c r="S8" s="1">
        <f>+'2023 Nto driftsutg'!S8</f>
        <v>259498</v>
      </c>
      <c r="T8" s="1">
        <f>+'2023 Nto driftsutg'!T8</f>
        <v>373505</v>
      </c>
      <c r="V8" s="1"/>
      <c r="W8" s="1"/>
    </row>
    <row r="9" spans="1:23" x14ac:dyDescent="0.3">
      <c r="A9" s="41">
        <v>3000</v>
      </c>
      <c r="B9" s="42" t="s">
        <v>403</v>
      </c>
      <c r="C9" s="1">
        <f t="shared" si="1"/>
        <v>16382106</v>
      </c>
      <c r="D9" s="1">
        <f>+'2023 Nto driftsutg'!D9-'2023 Avskrivning'!D9</f>
        <v>9019683</v>
      </c>
      <c r="E9" s="1">
        <f>+'2023 Nto driftsutg'!E9-'2023 Avskrivning'!E9</f>
        <v>1829219</v>
      </c>
      <c r="F9" s="1">
        <f>+'2023 Nto driftsutg'!F9-'2023 Avskrivning'!F9</f>
        <v>2675425</v>
      </c>
      <c r="G9" s="1">
        <f>+'2023 Nto driftsutg'!G9-'2023 Avskrivning'!G9</f>
        <v>0</v>
      </c>
      <c r="H9" s="1">
        <f>+'2023 Nto driftsutg'!H9-'2023 Avskrivning'!H9</f>
        <v>581829</v>
      </c>
      <c r="I9" s="9">
        <f t="shared" si="2"/>
        <v>2049954</v>
      </c>
      <c r="J9" s="1">
        <f>+'2023 Nto driftsutg'!J9-'2023 Avskrivning'!J9</f>
        <v>0</v>
      </c>
      <c r="K9" s="1">
        <f>+'2023 Nto driftsutg'!K9-'2023 Avskrivning'!K9</f>
        <v>1318484</v>
      </c>
      <c r="L9" s="1">
        <f>+'2023 Nto driftsutg'!L9-'2023 Avskrivning'!L9</f>
        <v>203360</v>
      </c>
      <c r="M9" s="1">
        <f>+'2023 Nto driftsutg'!M9-'2023 Avskrivning'!M9</f>
        <v>119478</v>
      </c>
      <c r="N9" s="1">
        <f>+'2023 Nto driftsutg'!N9-'2023 Avskrivning'!N9</f>
        <v>404083</v>
      </c>
      <c r="O9" s="1">
        <f>+'2023 Nto driftsutg'!O9-'2023 Avskrivning'!O9</f>
        <v>4820</v>
      </c>
      <c r="P9" s="1">
        <f>+'2023 Nto driftsutg'!P9-'2023 Avskrivning'!P9</f>
        <v>-271</v>
      </c>
      <c r="Q9" s="1">
        <f>+'2023 Nto driftsutg'!Q9-'2023 Avskrivning'!Q9</f>
        <v>0</v>
      </c>
      <c r="R9" s="1">
        <f>+'2023 Nto driftsutg'!R9-'2023 Avskrivning'!R9</f>
        <v>-609560</v>
      </c>
      <c r="S9" s="1">
        <f>+'2023 Nto driftsutg'!S9</f>
        <v>119091</v>
      </c>
      <c r="T9" s="1">
        <f>+'2023 Nto driftsutg'!T9</f>
        <v>716465</v>
      </c>
      <c r="V9" s="1"/>
      <c r="W9" s="1"/>
    </row>
    <row r="10" spans="1:23" x14ac:dyDescent="0.3">
      <c r="A10" s="41">
        <v>3400</v>
      </c>
      <c r="B10" s="42" t="s">
        <v>404</v>
      </c>
      <c r="C10" s="1">
        <f t="shared" si="1"/>
        <v>6241061</v>
      </c>
      <c r="D10" s="1">
        <f>+'2023 Nto driftsutg'!D10-'2023 Avskrivning'!D10</f>
        <v>2717580</v>
      </c>
      <c r="E10" s="1">
        <f>+'2023 Nto driftsutg'!E10-'2023 Avskrivning'!E10</f>
        <v>1233342</v>
      </c>
      <c r="F10" s="1">
        <f>+'2023 Nto driftsutg'!F10-'2023 Avskrivning'!F10</f>
        <v>881253</v>
      </c>
      <c r="G10" s="1">
        <f>+'2023 Nto driftsutg'!G10-'2023 Avskrivning'!G10</f>
        <v>17466</v>
      </c>
      <c r="H10" s="1">
        <f>+'2023 Nto driftsutg'!H10-'2023 Avskrivning'!H10</f>
        <v>247321</v>
      </c>
      <c r="I10" s="9">
        <f t="shared" si="2"/>
        <v>818223</v>
      </c>
      <c r="J10" s="1">
        <f>+'2023 Nto driftsutg'!J10-'2023 Avskrivning'!J10</f>
        <v>0</v>
      </c>
      <c r="K10" s="1">
        <f>+'2023 Nto driftsutg'!K10-'2023 Avskrivning'!K10</f>
        <v>403866</v>
      </c>
      <c r="L10" s="1">
        <f>+'2023 Nto driftsutg'!L10-'2023 Avskrivning'!L10</f>
        <v>134581</v>
      </c>
      <c r="M10" s="1">
        <f>+'2023 Nto driftsutg'!M10-'2023 Avskrivning'!M10</f>
        <v>109410</v>
      </c>
      <c r="N10" s="1">
        <f>+'2023 Nto driftsutg'!N10-'2023 Avskrivning'!N10</f>
        <v>165973</v>
      </c>
      <c r="O10" s="1">
        <f>+'2023 Nto driftsutg'!O10-'2023 Avskrivning'!O10</f>
        <v>0</v>
      </c>
      <c r="P10" s="1">
        <f>+'2023 Nto driftsutg'!P10-'2023 Avskrivning'!P10</f>
        <v>4393</v>
      </c>
      <c r="Q10" s="1">
        <f>+'2023 Nto driftsutg'!Q10-'2023 Avskrivning'!Q10</f>
        <v>0</v>
      </c>
      <c r="R10" s="1">
        <f>+'2023 Nto driftsutg'!R10-'2023 Avskrivning'!R10</f>
        <v>-276193</v>
      </c>
      <c r="S10" s="1">
        <f>+'2023 Nto driftsutg'!S10</f>
        <v>170354</v>
      </c>
      <c r="T10" s="1">
        <f>+'2023 Nto driftsutg'!T10</f>
        <v>431715</v>
      </c>
      <c r="V10" s="1"/>
      <c r="W10" s="1"/>
    </row>
    <row r="11" spans="1:23" x14ac:dyDescent="0.3">
      <c r="A11" s="41">
        <v>3800</v>
      </c>
      <c r="B11" s="42" t="s">
        <v>405</v>
      </c>
      <c r="C11" s="1">
        <f t="shared" si="1"/>
        <v>6062483</v>
      </c>
      <c r="D11" s="1">
        <f>+'2023 Nto driftsutg'!D11-'2023 Avskrivning'!D11</f>
        <v>3138956</v>
      </c>
      <c r="E11" s="1">
        <f>+'2023 Nto driftsutg'!E11-'2023 Avskrivning'!E11</f>
        <v>855339</v>
      </c>
      <c r="F11" s="1">
        <f>+'2023 Nto driftsutg'!F11-'2023 Avskrivning'!F11</f>
        <v>718847</v>
      </c>
      <c r="G11" s="1">
        <f>+'2023 Nto driftsutg'!G11-'2023 Avskrivning'!G11</f>
        <v>45498</v>
      </c>
      <c r="H11" s="1">
        <f>+'2023 Nto driftsutg'!H11-'2023 Avskrivning'!H11</f>
        <v>282086</v>
      </c>
      <c r="I11" s="9">
        <f t="shared" si="2"/>
        <v>827652</v>
      </c>
      <c r="J11" s="1">
        <f>+'2023 Nto driftsutg'!J11-'2023 Avskrivning'!J11</f>
        <v>0</v>
      </c>
      <c r="K11" s="1">
        <f>+'2023 Nto driftsutg'!K11-'2023 Avskrivning'!K11</f>
        <v>331398</v>
      </c>
      <c r="L11" s="1">
        <f>+'2023 Nto driftsutg'!L11-'2023 Avskrivning'!L11</f>
        <v>158675</v>
      </c>
      <c r="M11" s="1">
        <f>+'2023 Nto driftsutg'!M11-'2023 Avskrivning'!M11</f>
        <v>144058</v>
      </c>
      <c r="N11" s="1">
        <f>+'2023 Nto driftsutg'!N11-'2023 Avskrivning'!N11</f>
        <v>191040</v>
      </c>
      <c r="O11" s="1">
        <f>+'2023 Nto driftsutg'!O11-'2023 Avskrivning'!O11</f>
        <v>-30</v>
      </c>
      <c r="P11" s="1">
        <f>+'2023 Nto driftsutg'!P11-'2023 Avskrivning'!P11</f>
        <v>2511</v>
      </c>
      <c r="Q11" s="1">
        <f>+'2023 Nto driftsutg'!Q11-'2023 Avskrivning'!Q11</f>
        <v>0</v>
      </c>
      <c r="R11" s="1">
        <f>+'2023 Nto driftsutg'!R11-'2023 Avskrivning'!R11</f>
        <v>-302629</v>
      </c>
      <c r="S11" s="1">
        <f>+'2023 Nto driftsutg'!S11</f>
        <v>320334</v>
      </c>
      <c r="T11" s="1">
        <f>+'2023 Nto driftsutg'!T11</f>
        <v>176400</v>
      </c>
      <c r="V11" s="1"/>
      <c r="W11" s="1"/>
    </row>
    <row r="12" spans="1:23" x14ac:dyDescent="0.3">
      <c r="A12" s="41">
        <v>4200</v>
      </c>
      <c r="B12" s="42" t="s">
        <v>406</v>
      </c>
      <c r="C12" s="1">
        <f t="shared" si="1"/>
        <v>4916008</v>
      </c>
      <c r="D12" s="1">
        <f>+'2023 Nto driftsutg'!D12-'2023 Avskrivning'!D12</f>
        <v>2564404</v>
      </c>
      <c r="E12" s="1">
        <f>+'2023 Nto driftsutg'!E12-'2023 Avskrivning'!E12</f>
        <v>783276</v>
      </c>
      <c r="F12" s="1">
        <f>+'2023 Nto driftsutg'!F12-'2023 Avskrivning'!F12</f>
        <v>638206</v>
      </c>
      <c r="G12" s="1">
        <f>+'2023 Nto driftsutg'!G12-'2023 Avskrivning'!G12</f>
        <v>52436</v>
      </c>
      <c r="H12" s="1">
        <f>+'2023 Nto driftsutg'!H12-'2023 Avskrivning'!H12</f>
        <v>201489</v>
      </c>
      <c r="I12" s="9">
        <f t="shared" si="2"/>
        <v>74437</v>
      </c>
      <c r="J12" s="1">
        <f>+'2023 Nto driftsutg'!J12-'2023 Avskrivning'!J12</f>
        <v>0</v>
      </c>
      <c r="K12" s="1">
        <f>+'2023 Nto driftsutg'!K12-'2023 Avskrivning'!K12</f>
        <v>356267</v>
      </c>
      <c r="L12" s="1">
        <f>+'2023 Nto driftsutg'!L12-'2023 Avskrivning'!L12</f>
        <v>185168</v>
      </c>
      <c r="M12" s="1">
        <f>+'2023 Nto driftsutg'!M12-'2023 Avskrivning'!M12</f>
        <v>-655773</v>
      </c>
      <c r="N12" s="1">
        <f>+'2023 Nto driftsutg'!N12-'2023 Avskrivning'!N12</f>
        <v>169778</v>
      </c>
      <c r="O12" s="1">
        <f>+'2023 Nto driftsutg'!O12-'2023 Avskrivning'!O12</f>
        <v>0</v>
      </c>
      <c r="P12" s="1">
        <f>+'2023 Nto driftsutg'!P12-'2023 Avskrivning'!P12</f>
        <v>18997</v>
      </c>
      <c r="Q12" s="1">
        <f>+'2023 Nto driftsutg'!Q12-'2023 Avskrivning'!Q12</f>
        <v>0</v>
      </c>
      <c r="R12" s="1">
        <f>+'2023 Nto driftsutg'!R12-'2023 Avskrivning'!R12</f>
        <v>-248648</v>
      </c>
      <c r="S12" s="1">
        <f>+'2023 Nto driftsutg'!S12</f>
        <v>373925</v>
      </c>
      <c r="T12" s="1">
        <f>+'2023 Nto driftsutg'!T12</f>
        <v>476483</v>
      </c>
      <c r="V12" s="1"/>
      <c r="W12" s="1"/>
    </row>
    <row r="13" spans="1:23" x14ac:dyDescent="0.3">
      <c r="A13" s="41">
        <v>4600</v>
      </c>
      <c r="B13" s="42" t="s">
        <v>407</v>
      </c>
      <c r="C13" s="1">
        <f t="shared" si="1"/>
        <v>12103286</v>
      </c>
      <c r="D13" s="1">
        <f>+'2023 Nto driftsutg'!D13-'2023 Avskrivning'!D13</f>
        <v>4349711</v>
      </c>
      <c r="E13" s="1">
        <f>+'2023 Nto driftsutg'!E13-'2023 Avskrivning'!E13</f>
        <v>1614382</v>
      </c>
      <c r="F13" s="1">
        <f>+'2023 Nto driftsutg'!F13-'2023 Avskrivning'!F13</f>
        <v>2145022</v>
      </c>
      <c r="G13" s="1">
        <f>+'2023 Nto driftsutg'!G13-'2023 Avskrivning'!G13</f>
        <v>1116590</v>
      </c>
      <c r="H13" s="1">
        <f>+'2023 Nto driftsutg'!H13-'2023 Avskrivning'!H13</f>
        <v>400845</v>
      </c>
      <c r="I13" s="9">
        <f t="shared" si="2"/>
        <v>628586</v>
      </c>
      <c r="J13" s="1">
        <f>+'2023 Nto driftsutg'!J13-'2023 Avskrivning'!J13</f>
        <v>0</v>
      </c>
      <c r="K13" s="1">
        <f>+'2023 Nto driftsutg'!K13-'2023 Avskrivning'!K13</f>
        <v>572822</v>
      </c>
      <c r="L13" s="1">
        <f>+'2023 Nto driftsutg'!L13-'2023 Avskrivning'!L13</f>
        <v>121938</v>
      </c>
      <c r="M13" s="1">
        <f>+'2023 Nto driftsutg'!M13-'2023 Avskrivning'!M13</f>
        <v>-404213</v>
      </c>
      <c r="N13" s="1">
        <f>+'2023 Nto driftsutg'!N13-'2023 Avskrivning'!N13</f>
        <v>338038</v>
      </c>
      <c r="O13" s="1">
        <f>+'2023 Nto driftsutg'!O13-'2023 Avskrivning'!O13</f>
        <v>0</v>
      </c>
      <c r="P13" s="1">
        <f>+'2023 Nto driftsutg'!P13-'2023 Avskrivning'!P13</f>
        <v>1</v>
      </c>
      <c r="Q13" s="1">
        <f>+'2023 Nto driftsutg'!Q13-'2023 Avskrivning'!Q13</f>
        <v>0</v>
      </c>
      <c r="R13" s="1">
        <f>+'2023 Nto driftsutg'!R13-'2023 Avskrivning'!R13</f>
        <v>-129001</v>
      </c>
      <c r="S13" s="1">
        <f>+'2023 Nto driftsutg'!S13</f>
        <v>1120025</v>
      </c>
      <c r="T13" s="1">
        <f>+'2023 Nto driftsutg'!T13</f>
        <v>857126</v>
      </c>
      <c r="V13" s="1"/>
      <c r="W13" s="1"/>
    </row>
    <row r="14" spans="1:23" x14ac:dyDescent="0.3">
      <c r="A14" s="41">
        <v>5000</v>
      </c>
      <c r="B14" s="42" t="s">
        <v>388</v>
      </c>
      <c r="C14" s="1">
        <f t="shared" si="1"/>
        <v>7981997</v>
      </c>
      <c r="D14" s="1">
        <f>+'2023 Nto driftsutg'!D14-'2023 Avskrivning'!D14</f>
        <v>3490693</v>
      </c>
      <c r="E14" s="1">
        <f>+'2023 Nto driftsutg'!E14-'2023 Avskrivning'!E14</f>
        <v>1186177</v>
      </c>
      <c r="F14" s="1">
        <f>+'2023 Nto driftsutg'!F14-'2023 Avskrivning'!F14</f>
        <v>1153794</v>
      </c>
      <c r="G14" s="1">
        <f>+'2023 Nto driftsutg'!G14-'2023 Avskrivning'!G14</f>
        <v>320246</v>
      </c>
      <c r="H14" s="1">
        <f>+'2023 Nto driftsutg'!H14-'2023 Avskrivning'!H14</f>
        <v>339913</v>
      </c>
      <c r="I14" s="9">
        <f t="shared" si="2"/>
        <v>837570</v>
      </c>
      <c r="J14" s="1">
        <f>+'2023 Nto driftsutg'!J14-'2023 Avskrivning'!J14</f>
        <v>0</v>
      </c>
      <c r="K14" s="1">
        <f>+'2023 Nto driftsutg'!K14-'2023 Avskrivning'!K14</f>
        <v>408833</v>
      </c>
      <c r="L14" s="1">
        <f>+'2023 Nto driftsutg'!L14-'2023 Avskrivning'!L14</f>
        <v>89766</v>
      </c>
      <c r="M14" s="1">
        <f>+'2023 Nto driftsutg'!M14-'2023 Avskrivning'!M14</f>
        <v>91330</v>
      </c>
      <c r="N14" s="1">
        <f>+'2023 Nto driftsutg'!N14-'2023 Avskrivning'!N14</f>
        <v>247639</v>
      </c>
      <c r="O14" s="1">
        <f>+'2023 Nto driftsutg'!O14-'2023 Avskrivning'!O14</f>
        <v>0</v>
      </c>
      <c r="P14" s="1">
        <f>+'2023 Nto driftsutg'!P14-'2023 Avskrivning'!P14</f>
        <v>2</v>
      </c>
      <c r="Q14" s="1">
        <f>+'2023 Nto driftsutg'!Q14-'2023 Avskrivning'!Q14</f>
        <v>0</v>
      </c>
      <c r="R14" s="1">
        <f>+'2023 Nto driftsutg'!R14-'2023 Avskrivning'!R14</f>
        <v>-131740</v>
      </c>
      <c r="S14" s="1">
        <f>+'2023 Nto driftsutg'!S14</f>
        <v>670921</v>
      </c>
      <c r="T14" s="1">
        <f>+'2023 Nto driftsutg'!T14</f>
        <v>114423</v>
      </c>
      <c r="V14" s="1"/>
      <c r="W14" s="1"/>
    </row>
    <row r="15" spans="1:23" x14ac:dyDescent="0.3">
      <c r="A15" s="41">
        <v>5400</v>
      </c>
      <c r="B15" s="42" t="s">
        <v>408</v>
      </c>
      <c r="C15" s="1">
        <f t="shared" si="1"/>
        <v>6169239</v>
      </c>
      <c r="D15" s="1">
        <f>+'2023 Nto driftsutg'!D15-'2023 Avskrivning'!D15</f>
        <v>2108470</v>
      </c>
      <c r="E15" s="1">
        <f>+'2023 Nto driftsutg'!E15-'2023 Avskrivning'!E15</f>
        <v>996954</v>
      </c>
      <c r="F15" s="1">
        <f>+'2023 Nto driftsutg'!F15-'2023 Avskrivning'!F15</f>
        <v>1049453</v>
      </c>
      <c r="G15" s="1">
        <f>+'2023 Nto driftsutg'!G15-'2023 Avskrivning'!G15</f>
        <v>506769</v>
      </c>
      <c r="H15" s="1">
        <f>+'2023 Nto driftsutg'!H15-'2023 Avskrivning'!H15</f>
        <v>263724</v>
      </c>
      <c r="I15" s="9">
        <f t="shared" si="2"/>
        <v>414815</v>
      </c>
      <c r="J15" s="1">
        <f>+'2023 Nto driftsutg'!J15-'2023 Avskrivning'!J15</f>
        <v>0</v>
      </c>
      <c r="K15" s="1">
        <f>+'2023 Nto driftsutg'!K15-'2023 Avskrivning'!K15</f>
        <v>349869</v>
      </c>
      <c r="L15" s="1">
        <f>+'2023 Nto driftsutg'!L15-'2023 Avskrivning'!L15</f>
        <v>119848</v>
      </c>
      <c r="M15" s="1">
        <f>+'2023 Nto driftsutg'!M15-'2023 Avskrivning'!M15</f>
        <v>94675</v>
      </c>
      <c r="N15" s="1">
        <f>+'2023 Nto driftsutg'!N15-'2023 Avskrivning'!N15</f>
        <v>158469</v>
      </c>
      <c r="O15" s="1">
        <f>+'2023 Nto driftsutg'!O15-'2023 Avskrivning'!O15</f>
        <v>0</v>
      </c>
      <c r="P15" s="1">
        <f>+'2023 Nto driftsutg'!P15-'2023 Avskrivning'!P15</f>
        <v>-308046</v>
      </c>
      <c r="Q15" s="1">
        <f>+'2023 Nto driftsutg'!Q15-'2023 Avskrivning'!Q15</f>
        <v>0</v>
      </c>
      <c r="R15" s="1">
        <f>+'2023 Nto driftsutg'!R15-'2023 Avskrivning'!R15</f>
        <v>-266720</v>
      </c>
      <c r="S15" s="1">
        <f>+'2023 Nto driftsutg'!S15</f>
        <v>341486</v>
      </c>
      <c r="T15" s="1">
        <f>+'2023 Nto driftsutg'!T15</f>
        <v>754288</v>
      </c>
      <c r="V15" s="1"/>
      <c r="W15" s="1"/>
    </row>
    <row r="16" spans="1:23" x14ac:dyDescent="0.3">
      <c r="C16" s="1"/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3" x14ac:dyDescent="0.3">
      <c r="B17" s="1" t="s">
        <v>3</v>
      </c>
      <c r="C17" s="1">
        <f>+'2023 Nto driftsutg'!C17-'2023 Avskrivning'!C17</f>
        <v>87410860.831651598</v>
      </c>
      <c r="D17" s="1">
        <f t="shared" ref="D17:T17" si="3">SUM(D5:D15)</f>
        <v>39008039</v>
      </c>
      <c r="E17" s="1">
        <f t="shared" si="3"/>
        <v>11097855</v>
      </c>
      <c r="F17" s="1">
        <f t="shared" si="3"/>
        <v>16109641</v>
      </c>
      <c r="G17" s="1">
        <f t="shared" si="3"/>
        <v>4152371</v>
      </c>
      <c r="H17" s="1">
        <f t="shared" si="3"/>
        <v>3426324</v>
      </c>
      <c r="I17" s="9">
        <f t="shared" si="3"/>
        <v>7737449</v>
      </c>
      <c r="J17" s="1">
        <f t="shared" si="3"/>
        <v>0</v>
      </c>
      <c r="K17" s="1">
        <f t="shared" si="3"/>
        <v>4906328</v>
      </c>
      <c r="L17" s="1">
        <f t="shared" si="3"/>
        <v>1282073</v>
      </c>
      <c r="M17" s="1">
        <f t="shared" si="3"/>
        <v>-262627</v>
      </c>
      <c r="N17" s="1">
        <f t="shared" si="3"/>
        <v>2079060</v>
      </c>
      <c r="O17" s="1">
        <f t="shared" si="3"/>
        <v>4797</v>
      </c>
      <c r="P17" s="1">
        <f t="shared" si="3"/>
        <v>-272182</v>
      </c>
      <c r="Q17" s="1">
        <f t="shared" si="3"/>
        <v>0</v>
      </c>
      <c r="R17" s="1">
        <f t="shared" si="3"/>
        <v>-3276504.2216767771</v>
      </c>
      <c r="S17" s="1">
        <f t="shared" si="3"/>
        <v>4741012.029423316</v>
      </c>
      <c r="T17" s="1">
        <f t="shared" si="3"/>
        <v>4414674.0239050686</v>
      </c>
      <c r="U17" s="1"/>
      <c r="V17" s="1"/>
      <c r="W17" s="1"/>
    </row>
    <row r="18" spans="2:23" x14ac:dyDescent="0.3">
      <c r="C18" s="5"/>
      <c r="H18" s="5"/>
      <c r="I18" s="5">
        <f>SUM(J17:Q17)</f>
        <v>7737449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5E43-2E2E-439F-A38E-C0F3A81E3962}">
  <dimension ref="A2:P17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3" width="18.5546875" customWidth="1"/>
    <col min="4" max="4" width="20.5546875" customWidth="1"/>
  </cols>
  <sheetData>
    <row r="2" spans="1:16" ht="104.25" customHeight="1" x14ac:dyDescent="0.3">
      <c r="A2" s="22" t="s">
        <v>2</v>
      </c>
      <c r="B2" s="22" t="s">
        <v>1</v>
      </c>
      <c r="C2" s="22" t="s">
        <v>21</v>
      </c>
      <c r="D2" s="22" t="s">
        <v>88</v>
      </c>
    </row>
    <row r="3" spans="1:16" x14ac:dyDescent="0.3">
      <c r="A3" s="107">
        <v>1</v>
      </c>
      <c r="B3" s="107">
        <f>+A3+1</f>
        <v>2</v>
      </c>
      <c r="C3" s="107">
        <f t="shared" ref="C3:D3" si="0">+B3+1</f>
        <v>3</v>
      </c>
      <c r="D3" s="107">
        <f t="shared" si="0"/>
        <v>4</v>
      </c>
    </row>
    <row r="5" spans="1:16" x14ac:dyDescent="0.3">
      <c r="A5" s="41">
        <v>300</v>
      </c>
      <c r="B5" s="42" t="s">
        <v>0</v>
      </c>
      <c r="C5" s="3">
        <f>(('2023 Nto driftsutg eks avskriv'!C5*1000/'2023 Nto driftsutg'!W5)-'[2]2023 Korreksjoner'!AV5)/'[2]2023 Nto driftsutg landet'!$C$19</f>
        <v>0.93803559647706036</v>
      </c>
      <c r="D5" s="1">
        <f>C5*'[2]2023 Nto driftsutg landet'!$C$19-'[2]2023 Nto driftsutg landet'!$C$19</f>
        <v>-982.28270675161366</v>
      </c>
      <c r="E5" s="1"/>
      <c r="G5" s="5"/>
      <c r="H5" s="5"/>
      <c r="I5" s="5"/>
      <c r="J5" s="5"/>
      <c r="K5" s="5"/>
      <c r="L5" s="5"/>
      <c r="N5" s="5"/>
      <c r="P5" s="5"/>
    </row>
    <row r="6" spans="1:16" x14ac:dyDescent="0.3">
      <c r="A6" s="41">
        <v>1100</v>
      </c>
      <c r="B6" s="42" t="s">
        <v>139</v>
      </c>
      <c r="C6" s="3">
        <f>(('2023 Nto driftsutg eks avskriv'!C6*1000/'2023 Nto driftsutg'!W6)-'[2]2023 Korreksjoner'!AV6)/'[2]2023 Nto driftsutg landet'!$C$19</f>
        <v>0.96758467307863327</v>
      </c>
      <c r="D6" s="1">
        <f>C6*'[2]2023 Nto driftsutg landet'!$C$19-'[2]2023 Nto driftsutg landet'!$C$19</f>
        <v>-513.85978494525261</v>
      </c>
      <c r="G6" s="5"/>
      <c r="H6" s="5"/>
      <c r="I6" s="5"/>
      <c r="J6" s="5"/>
      <c r="K6" s="5"/>
      <c r="L6" s="5"/>
      <c r="N6" s="5"/>
    </row>
    <row r="7" spans="1:16" x14ac:dyDescent="0.3">
      <c r="A7" s="41">
        <v>1500</v>
      </c>
      <c r="B7" s="42" t="s">
        <v>140</v>
      </c>
      <c r="C7" s="3">
        <f>(('2023 Nto driftsutg eks avskriv'!C7*1000/'2023 Nto driftsutg'!W7)-'[2]2023 Korreksjoner'!AV7)/'[2]2023 Nto driftsutg landet'!$C$19</f>
        <v>1.0752295566045222</v>
      </c>
      <c r="D7" s="1">
        <f>C7*'[2]2023 Nto driftsutg landet'!$C$19-'[2]2023 Nto driftsutg landet'!$C$19</f>
        <v>1192.5668333409649</v>
      </c>
      <c r="G7" s="5"/>
      <c r="H7" s="5"/>
      <c r="I7" s="5"/>
      <c r="J7" s="5"/>
      <c r="K7" s="5"/>
      <c r="L7" s="5"/>
      <c r="N7" s="5"/>
    </row>
    <row r="8" spans="1:16" x14ac:dyDescent="0.3">
      <c r="A8" s="41">
        <v>1800</v>
      </c>
      <c r="B8" s="42" t="s">
        <v>141</v>
      </c>
      <c r="C8" s="3">
        <f>(('2023 Nto driftsutg eks avskriv'!C8*1000/'2023 Nto driftsutg'!W8)-'[2]2023 Korreksjoner'!AV8)/'[2]2023 Nto driftsutg landet'!$C$19</f>
        <v>1.2055843207898493</v>
      </c>
      <c r="D8" s="1">
        <f>C8*'[2]2023 Nto driftsutg landet'!$C$19-'[2]2023 Nto driftsutg landet'!$C$19</f>
        <v>3258.9989027552747</v>
      </c>
      <c r="G8" s="5"/>
      <c r="H8" s="5"/>
      <c r="I8" s="5"/>
      <c r="J8" s="5"/>
      <c r="K8" s="5"/>
      <c r="L8" s="5"/>
      <c r="N8" s="5"/>
    </row>
    <row r="9" spans="1:16" x14ac:dyDescent="0.3">
      <c r="A9" s="41">
        <v>3000</v>
      </c>
      <c r="B9" s="42" t="s">
        <v>403</v>
      </c>
      <c r="C9" s="3">
        <f>(('2023 Nto driftsutg eks avskriv'!C9*1000/'2023 Nto driftsutg'!W9)-'[2]2023 Korreksjoner'!AV9)/'[2]2023 Nto driftsutg landet'!$C$19</f>
        <v>0.95048265484573824</v>
      </c>
      <c r="D9" s="1">
        <f>C9*'[2]2023 Nto driftsutg landet'!$C$19-'[2]2023 Nto driftsutg landet'!$C$19</f>
        <v>-784.96732097607128</v>
      </c>
      <c r="G9" s="5"/>
      <c r="H9" s="5"/>
      <c r="I9" s="5"/>
      <c r="J9" s="5"/>
      <c r="K9" s="5"/>
      <c r="L9" s="5"/>
      <c r="N9" s="5"/>
    </row>
    <row r="10" spans="1:16" x14ac:dyDescent="0.3">
      <c r="A10" s="41">
        <v>3400</v>
      </c>
      <c r="B10" s="42" t="s">
        <v>404</v>
      </c>
      <c r="C10" s="3">
        <f>(('2023 Nto driftsutg eks avskriv'!C10*1000/'2023 Nto driftsutg'!W10)-'[2]2023 Korreksjoner'!AV10)/'[2]2023 Nto driftsutg landet'!$C$19</f>
        <v>1.0286703747567871</v>
      </c>
      <c r="D10" s="1">
        <f>C10*'[2]2023 Nto driftsutg landet'!$C$19-'[2]2023 Nto driftsutg landet'!$C$19</f>
        <v>454.49341425927014</v>
      </c>
      <c r="G10" s="5"/>
      <c r="H10" s="5"/>
      <c r="I10" s="5"/>
      <c r="J10" s="5"/>
      <c r="K10" s="5"/>
      <c r="L10" s="5"/>
      <c r="N10" s="5"/>
    </row>
    <row r="11" spans="1:16" x14ac:dyDescent="0.3">
      <c r="A11" s="41">
        <v>3800</v>
      </c>
      <c r="B11" s="42" t="s">
        <v>405</v>
      </c>
      <c r="C11" s="3">
        <f>(('2023 Nto driftsutg eks avskriv'!C11*1000/'2023 Nto driftsutg'!W11)-'[2]2023 Korreksjoner'!AV11)/'[2]2023 Nto driftsutg landet'!$C$19</f>
        <v>0.98533932682967384</v>
      </c>
      <c r="D11" s="1">
        <f>C11*'[2]2023 Nto driftsutg landet'!$C$19-'[2]2023 Nto driftsutg landet'!$C$19</f>
        <v>-232.40642862344976</v>
      </c>
      <c r="G11" s="5"/>
      <c r="H11" s="5"/>
      <c r="I11" s="5"/>
      <c r="J11" s="5"/>
      <c r="K11" s="5"/>
      <c r="L11" s="5"/>
      <c r="N11" s="5"/>
    </row>
    <row r="12" spans="1:16" x14ac:dyDescent="0.3">
      <c r="A12" s="41">
        <v>4200</v>
      </c>
      <c r="B12" s="42" t="s">
        <v>406</v>
      </c>
      <c r="C12" s="3">
        <f>(('2023 Nto driftsutg eks avskriv'!C12*1000/'2023 Nto driftsutg'!W12)-'[2]2023 Korreksjoner'!AV12)/'[2]2023 Nto driftsutg landet'!$C$19</f>
        <v>0.98708511111338293</v>
      </c>
      <c r="D12" s="1">
        <f>C12*'[2]2023 Nto driftsutg landet'!$C$19-'[2]2023 Nto driftsutg landet'!$C$19</f>
        <v>-204.73160866054423</v>
      </c>
      <c r="G12" s="5"/>
      <c r="H12" s="5"/>
      <c r="I12" s="5"/>
      <c r="J12" s="5"/>
      <c r="K12" s="5"/>
      <c r="L12" s="5"/>
      <c r="N12" s="5"/>
    </row>
    <row r="13" spans="1:16" x14ac:dyDescent="0.3">
      <c r="A13" s="41">
        <v>4600</v>
      </c>
      <c r="B13" s="42" t="s">
        <v>407</v>
      </c>
      <c r="C13" s="3">
        <f>(('2023 Nto driftsutg eks avskriv'!C13*1000/'2023 Nto driftsutg'!W13)-'[2]2023 Korreksjoner'!AV13)/'[2]2023 Nto driftsutg landet'!$C$19</f>
        <v>1.0345580964845926</v>
      </c>
      <c r="D13" s="1">
        <f>C13*'[2]2023 Nto driftsutg landet'!$C$19-'[2]2023 Nto driftsutg landet'!$C$19</f>
        <v>547.82776279774953</v>
      </c>
      <c r="G13" s="5"/>
      <c r="H13" s="5"/>
      <c r="I13" s="5"/>
      <c r="J13" s="5"/>
      <c r="K13" s="5"/>
      <c r="L13" s="5"/>
      <c r="N13" s="5"/>
    </row>
    <row r="14" spans="1:16" x14ac:dyDescent="0.3">
      <c r="A14" s="41">
        <v>5000</v>
      </c>
      <c r="B14" s="42" t="s">
        <v>388</v>
      </c>
      <c r="C14" s="3">
        <f>(('2023 Nto driftsutg eks avskriv'!C14*1000/'2023 Nto driftsutg'!W14)-'[2]2023 Korreksjoner'!AV14)/'[2]2023 Nto driftsutg landet'!$C$19</f>
        <v>0.96897601734258854</v>
      </c>
      <c r="D14" s="1">
        <f>C14*'[2]2023 Nto driftsutg landet'!$C$19-'[2]2023 Nto driftsutg landet'!$C$19</f>
        <v>-491.80367963447679</v>
      </c>
      <c r="G14" s="5"/>
      <c r="H14" s="5"/>
      <c r="I14" s="5"/>
      <c r="J14" s="5"/>
      <c r="K14" s="5"/>
      <c r="L14" s="5"/>
      <c r="N14" s="5"/>
    </row>
    <row r="15" spans="1:16" x14ac:dyDescent="0.3">
      <c r="A15" s="41">
        <v>5400</v>
      </c>
      <c r="B15" s="42" t="s">
        <v>408</v>
      </c>
      <c r="C15" s="3">
        <f>(('2023 Nto driftsutg eks avskriv'!C15*1000/'2023 Nto driftsutg'!W15)-'[2]2023 Korreksjoner'!AV15)/'[2]2023 Nto driftsutg landet'!$C$19</f>
        <v>1.1920758238616593</v>
      </c>
      <c r="D15" s="1">
        <f>C15*'[2]2023 Nto driftsutg landet'!$C$19-'[2]2023 Nto driftsutg landet'!$C$19</f>
        <v>3044.8571992552006</v>
      </c>
      <c r="G15" s="5"/>
      <c r="H15" s="5"/>
      <c r="I15" s="5"/>
      <c r="J15" s="5"/>
      <c r="K15" s="5"/>
      <c r="L15" s="5"/>
      <c r="N15" s="5"/>
    </row>
    <row r="17" spans="2:4" x14ac:dyDescent="0.3">
      <c r="B17" s="1" t="s">
        <v>3</v>
      </c>
      <c r="C17" s="3">
        <f>(('2023 Nto driftsutg eks avskriv'!C17*1000/'2023 Nto driftsutg'!W17)-'[2]2023 Korreksjoner'!AV17)/'[2]2023 Nto driftsutg landet'!$C$19</f>
        <v>0.99999999995654565</v>
      </c>
      <c r="D17" s="98">
        <f>C17*'[2]2023 Nto driftsutg landet'!$C$19-'[2]2023 Nto driftsutg landet'!$C$19</f>
        <v>-6.8885492510162294E-7</v>
      </c>
    </row>
  </sheetData>
  <sheetProtection algorithmName="SHA-512" hashValue="uFxmmWemLSPTf7ToShhwm2kcibrFdwizHxIkylyB7nRhTiMv73ZcqG5hfF+Sk33iq7KP5+0Dh60z3MQOpLqOjA==" saltValue="wHzgLl/qH+k6IeyHsWTEZ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8894-D4C4-4047-991A-1A29DEF85325}">
  <dimension ref="A2:F25"/>
  <sheetViews>
    <sheetView workbookViewId="0">
      <selection activeCell="B27" sqref="B27"/>
    </sheetView>
  </sheetViews>
  <sheetFormatPr baseColWidth="10" defaultRowHeight="14.4" x14ac:dyDescent="0.3"/>
  <cols>
    <col min="1" max="3" width="40.5546875" customWidth="1"/>
    <col min="4" max="5" width="21" customWidth="1"/>
  </cols>
  <sheetData>
    <row r="2" spans="1:6" ht="27" x14ac:dyDescent="0.3">
      <c r="A2" s="22" t="s">
        <v>10</v>
      </c>
      <c r="B2" s="22" t="s">
        <v>114</v>
      </c>
      <c r="C2" s="22" t="s">
        <v>115</v>
      </c>
      <c r="D2" s="22" t="s">
        <v>72</v>
      </c>
      <c r="E2" s="22" t="s">
        <v>74</v>
      </c>
    </row>
    <row r="3" spans="1:6" x14ac:dyDescent="0.3">
      <c r="A3" s="111"/>
      <c r="B3" s="111"/>
      <c r="C3" s="111"/>
      <c r="D3" s="111"/>
      <c r="E3" s="111"/>
    </row>
    <row r="4" spans="1:6" x14ac:dyDescent="0.3">
      <c r="A4" s="107">
        <v>1</v>
      </c>
      <c r="B4" s="107">
        <f>+A4+1</f>
        <v>2</v>
      </c>
      <c r="C4" s="107">
        <f t="shared" ref="C4:E4" si="0">+B4+1</f>
        <v>3</v>
      </c>
      <c r="D4" s="107">
        <f t="shared" si="0"/>
        <v>4</v>
      </c>
      <c r="E4" s="107">
        <f t="shared" si="0"/>
        <v>5</v>
      </c>
    </row>
    <row r="5" spans="1:6" x14ac:dyDescent="0.3">
      <c r="A5" s="112" t="s">
        <v>30</v>
      </c>
      <c r="B5" s="112"/>
      <c r="C5" s="112"/>
      <c r="D5" s="44"/>
      <c r="E5" s="5"/>
    </row>
    <row r="6" spans="1:6" x14ac:dyDescent="0.3">
      <c r="A6" t="s">
        <v>171</v>
      </c>
      <c r="B6" s="53">
        <f>+'2023 Bto driftsutg eks avskriv'!D$17*1000/'2023 Nto driftsutg'!W$17</f>
        <v>8312.0996594884055</v>
      </c>
      <c r="C6" s="53">
        <f>+'2023 Nto driftsutg eks avskriv'!D$17*1000/'2023 Nto driftsutg'!$W$17</f>
        <v>7074.2914108960813</v>
      </c>
      <c r="D6" s="44">
        <f>+'2023 Lønnsgr arbavg tjeneste'!D$17*1000/(B6*'2023 Nto driftsutg'!$W$17)</f>
        <v>0.61828761363742235</v>
      </c>
      <c r="E6" s="44">
        <f>+'2023 Arbavg tjeneste'!D$17/'2023 Lønnsgr arbavg tjeneste'!D$17</f>
        <v>0.12798421692998074</v>
      </c>
    </row>
    <row r="7" spans="1:6" x14ac:dyDescent="0.3">
      <c r="A7" t="s">
        <v>172</v>
      </c>
      <c r="B7" s="53">
        <f>+'2023 Bto driftsutg eks avskriv'!E$17*1000/'2023 Nto driftsutg'!W$17</f>
        <v>2149.403814542326</v>
      </c>
      <c r="C7" s="53">
        <f>+'2023 Nto driftsutg eks avskriv'!E$17*1000/'2023 Nto driftsutg'!$W$17</f>
        <v>2012.6482212005101</v>
      </c>
      <c r="D7" s="44">
        <f>+'2023 Lønnsgr arbavg tjeneste'!E$17*1000/(B7*'2023 Nto driftsutg'!$W$17)</f>
        <v>8.7273611823489042E-2</v>
      </c>
      <c r="E7" s="44">
        <f>+'2023 Arbavg tjeneste'!E$17/'2023 Lønnsgr arbavg tjeneste'!E$17</f>
        <v>0.20156309064243527</v>
      </c>
    </row>
    <row r="8" spans="1:6" x14ac:dyDescent="0.3">
      <c r="A8" t="s">
        <v>424</v>
      </c>
      <c r="B8" s="53">
        <f>+'2023 Bto driftsutg eks avskriv'!F$17*1000/'2023 Nto driftsutg'!W$17</f>
        <v>3976.2195015792367</v>
      </c>
      <c r="C8" s="53">
        <f>+'2023 Nto driftsutg eks avskriv'!F$17*1000/'2023 Nto driftsutg'!$W$17</f>
        <v>2921.5591934503386</v>
      </c>
      <c r="D8" s="44">
        <f>+'2023 Lønnsgr arbavg tjeneste'!F$17*1000/(B8*'2023 Nto driftsutg'!$W$17)</f>
        <v>1.7181816801084163E-2</v>
      </c>
      <c r="E8" s="44">
        <f>+'2023 Arbavg tjeneste'!F$17/'2023 Lønnsgr arbavg tjeneste'!F$17</f>
        <v>0.12933453318574087</v>
      </c>
    </row>
    <row r="9" spans="1:6" x14ac:dyDescent="0.3">
      <c r="A9" t="s">
        <v>417</v>
      </c>
      <c r="B9" s="53">
        <f>+'2023 Bto driftsutg eks avskriv'!G$17*1000/'2023 Nto driftsutg'!W$17</f>
        <v>851.5174673597802</v>
      </c>
      <c r="C9" s="53">
        <f>+'2023 Nto driftsutg eks avskriv'!G$17*1000/'2023 Nto driftsutg'!$W$17</f>
        <v>753.05201833278443</v>
      </c>
      <c r="D9" s="44">
        <f>+'2023 Lønnsgr arbavg tjeneste'!G$17*1000/(B9*'2023 Nto driftsutg'!$W$17)</f>
        <v>5.3167891824084223E-3</v>
      </c>
      <c r="E9" s="44">
        <f>+'2023 Arbavg tjeneste'!G$17/'2023 Lønnsgr arbavg tjeneste'!G$17</f>
        <v>0.13587566095177056</v>
      </c>
    </row>
    <row r="10" spans="1:6" x14ac:dyDescent="0.3">
      <c r="A10" t="s">
        <v>173</v>
      </c>
      <c r="B10" s="53">
        <f>+'2023 Bto driftsutg eks avskriv'!H$17*1000/'2023 Nto driftsutg'!W$17</f>
        <v>789.61820482055316</v>
      </c>
      <c r="C10" s="53">
        <f>+'2023 Nto driftsutg eks avskriv'!H$17*1000/'2023 Nto driftsutg'!$W$17</f>
        <v>621.37997873072015</v>
      </c>
      <c r="D10" s="44">
        <f>+'2023 Lønnsgr arbavg tjeneste'!H$17*1000/(B10*'2023 Nto driftsutg'!$W$17)</f>
        <v>0.61987290304843889</v>
      </c>
      <c r="E10" s="44">
        <f>+'2023 Arbavg tjeneste'!H$17/'2023 Lønnsgr arbavg tjeneste'!H$17</f>
        <v>0.11922223877201524</v>
      </c>
    </row>
    <row r="11" spans="1:6" x14ac:dyDescent="0.3">
      <c r="A11" s="112"/>
      <c r="B11" s="53"/>
      <c r="C11" s="53"/>
      <c r="D11" s="7"/>
      <c r="E11" s="44"/>
    </row>
    <row r="12" spans="1:6" x14ac:dyDescent="0.3">
      <c r="A12" s="112" t="s">
        <v>73</v>
      </c>
      <c r="B12" s="53"/>
      <c r="C12" s="53"/>
      <c r="D12" s="44"/>
      <c r="E12" s="44"/>
    </row>
    <row r="13" spans="1:6" x14ac:dyDescent="0.3">
      <c r="A13" t="s">
        <v>4</v>
      </c>
      <c r="B13" s="53">
        <f>+'2023 Bto driftsutg eks avskriv'!K$17*1000/'2023 Nto driftsutg'!W$17</f>
        <v>1016.2468426145836</v>
      </c>
      <c r="C13" s="53">
        <f>+'2023 Nto driftsutg eks avskriv'!K$17*1000/'2023 Nto driftsutg'!$W$17</f>
        <v>889.7856677552785</v>
      </c>
      <c r="D13" s="44">
        <f>+'2023 Lønnsgr arbavg tjeneste'!K$17*1000/(B13*'2023 Nto driftsutg'!$W$17)</f>
        <v>0.55045664944334416</v>
      </c>
      <c r="E13" s="44">
        <f>+'2023 Arbavg tjeneste'!K$17/'2023 Lønnsgr arbavg tjeneste'!K$17</f>
        <v>0.10460609966666257</v>
      </c>
    </row>
    <row r="14" spans="1:6" x14ac:dyDescent="0.3">
      <c r="A14" t="s">
        <v>174</v>
      </c>
      <c r="B14" s="53">
        <f>+'2023 Bto driftsutg eks avskriv'!L$17*1000/'2023 Nto driftsutg'!W$17</f>
        <v>467.82005841072345</v>
      </c>
      <c r="C14" s="53">
        <f>+'2023 Nto driftsutg eks avskriv'!L$17*1000/'2023 Nto driftsutg'!$W$17</f>
        <v>232.50997088168853</v>
      </c>
      <c r="D14" s="44">
        <f>+'2023 Lønnsgr arbavg tjeneste'!L$17*1000/(B14*'2023 Nto driftsutg'!$W$17)</f>
        <v>0.27498947505529958</v>
      </c>
      <c r="E14" s="44">
        <f>+'2023 Arbavg tjeneste'!L$17/'2023 Lønnsgr arbavg tjeneste'!L$17</f>
        <v>0.12785345643038293</v>
      </c>
    </row>
    <row r="15" spans="1:6" x14ac:dyDescent="0.3">
      <c r="A15" t="s">
        <v>36</v>
      </c>
      <c r="B15" s="53">
        <f>+'2023 Bto driftsutg eks avskriv'!M$17*1000/'2023 Nto driftsutg'!W$17</f>
        <v>502.81643857080888</v>
      </c>
      <c r="C15" s="53">
        <f>+'2023 Nto driftsutg eks avskriv'!M$17*1000/'2023 Nto driftsutg'!$W$17</f>
        <v>-47.628642146543307</v>
      </c>
      <c r="D15" s="44">
        <f>+'2023 Lønnsgr arbavg tjeneste'!M$17*1000/(B15*'2023 Nto driftsutg'!$W$17)</f>
        <v>0.10294536669746855</v>
      </c>
      <c r="E15" s="44">
        <f>+'2023 Arbavg tjeneste'!M$17/'2023 Lønnsgr arbavg tjeneste'!M$17</f>
        <v>0.12270953185108366</v>
      </c>
      <c r="F15" s="44"/>
    </row>
    <row r="16" spans="1:6" x14ac:dyDescent="0.3">
      <c r="A16" t="s">
        <v>175</v>
      </c>
      <c r="B16" s="53">
        <f>+'2023 Bto driftsutg eks avskriv'!N$17*1000/'2023 Nto driftsutg'!W$17</f>
        <v>759.00770684954955</v>
      </c>
      <c r="C16" s="53">
        <f>+'2023 Nto driftsutg eks avskriv'!N$17*1000/'2023 Nto driftsutg'!$W$17</f>
        <v>377.04731326631429</v>
      </c>
      <c r="D16" s="44">
        <f>+'2023 Lønnsgr arbavg tjeneste'!N$17*1000/(B16*'2023 Nto driftsutg'!$W$17)</f>
        <v>9.3542953987266114E-2</v>
      </c>
      <c r="E16" s="44">
        <f>+'2023 Arbavg tjeneste'!N$17/'2023 Lønnsgr arbavg tjeneste'!N$17</f>
        <v>0.11685147012620786</v>
      </c>
      <c r="F16" s="44"/>
    </row>
    <row r="17" spans="1:6" x14ac:dyDescent="0.3">
      <c r="A17" t="s">
        <v>37</v>
      </c>
      <c r="B17" s="53">
        <f>+'2023 Bto driftsutg eks avskriv'!O$17*1000/'2023 Nto driftsutg'!W$17</f>
        <v>15.579638654377105</v>
      </c>
      <c r="C17" s="53">
        <f>+'2023 Nto driftsutg eks avskriv'!O$17*1000/'2023 Nto driftsutg'!$W$17</f>
        <v>0.86995852055184064</v>
      </c>
      <c r="D17" s="44">
        <f>+'2023 Lønnsgr arbavg tjeneste'!O$17*1000/(B17*'2023 Nto driftsutg'!$W$17)</f>
        <v>0.5033000803194152</v>
      </c>
      <c r="E17" s="44">
        <f>+'2023 Arbavg tjeneste'!O$17/'2023 Lønnsgr arbavg tjeneste'!O$17</f>
        <v>0.14390452621597244</v>
      </c>
      <c r="F17" s="44"/>
    </row>
    <row r="18" spans="1:6" x14ac:dyDescent="0.3">
      <c r="A18" t="s">
        <v>38</v>
      </c>
      <c r="B18" s="53">
        <f>+'2023 Bto driftsutg eks avskriv'!P$17*1000/'2023 Nto driftsutg'!W$17</f>
        <v>150.39165362121821</v>
      </c>
      <c r="C18" s="53">
        <f>+'2023 Nto driftsutg eks avskriv'!P$17*1000/'2023 Nto driftsutg'!$W$17</f>
        <v>-49.361486354146564</v>
      </c>
      <c r="D18" s="44">
        <f>+'2023 Lønnsgr arbavg tjeneste'!P$17*1000/(B18*'2023 Nto driftsutg'!$W$17)</f>
        <v>8.4480529816657587E-2</v>
      </c>
      <c r="E18" s="44">
        <f>+'2023 Arbavg tjeneste'!P$17/'2023 Lønnsgr arbavg tjeneste'!P$17</f>
        <v>0.1028162781734873</v>
      </c>
      <c r="F18" s="44"/>
    </row>
    <row r="19" spans="1:6" x14ac:dyDescent="0.3">
      <c r="A19" s="112"/>
      <c r="B19" s="112"/>
      <c r="C19" s="53"/>
      <c r="D19" s="44"/>
      <c r="E19" s="7"/>
    </row>
    <row r="20" spans="1:6" x14ac:dyDescent="0.3">
      <c r="A20" s="112" t="s">
        <v>26</v>
      </c>
      <c r="B20" s="53"/>
      <c r="C20" s="53"/>
      <c r="D20" s="44"/>
      <c r="E20" s="44">
        <f>+'2023 Arbavg tjeneste'!R$17/'2023 Lønnsgr arbavg tjeneste'!R$17</f>
        <v>0.11376520959678545</v>
      </c>
    </row>
    <row r="21" spans="1:6" x14ac:dyDescent="0.3">
      <c r="A21" s="112"/>
      <c r="B21" s="112"/>
      <c r="C21" s="53"/>
      <c r="D21" s="44"/>
      <c r="E21" s="7"/>
    </row>
    <row r="22" spans="1:6" x14ac:dyDescent="0.3">
      <c r="A22" s="112" t="s">
        <v>75</v>
      </c>
      <c r="B22" s="112"/>
      <c r="C22" s="53"/>
      <c r="D22" s="44">
        <f>+'2023 Lønnsgr arbavg tjeneste'!C$17/'2023 Bto driftsutg eks avskriv'!C17</f>
        <v>0.33548065845910069</v>
      </c>
      <c r="E22" s="44">
        <f>+'2023 Arbavg tjeneste'!C$17/'2023 Lønnsgr arbavg tjeneste'!C$17</f>
        <v>0.12844914539465235</v>
      </c>
    </row>
    <row r="23" spans="1:6" x14ac:dyDescent="0.3">
      <c r="A23" s="112"/>
      <c r="B23" s="112"/>
      <c r="C23" s="112"/>
      <c r="D23" s="44"/>
      <c r="E23" s="7"/>
    </row>
    <row r="24" spans="1:6" x14ac:dyDescent="0.3">
      <c r="A24" s="112"/>
      <c r="B24" s="7"/>
      <c r="C24" s="7"/>
      <c r="D24" s="44"/>
      <c r="E24" s="44"/>
    </row>
    <row r="25" spans="1:6" x14ac:dyDescent="0.3">
      <c r="A25" s="112"/>
      <c r="B25" s="112"/>
      <c r="C25" s="112"/>
      <c r="D25" s="7"/>
      <c r="E25" s="7"/>
    </row>
  </sheetData>
  <sheetProtection algorithmName="SHA-512" hashValue="rtlcoTNSAYfTGQvCRYTV0U4OER8qGkESq7a6W9Z08Cyy7EvUVThDDHZEM19piOHZMN1cVXyyLjcBJ8YIfk2vCg==" saltValue="HlNVm8gsUvl97nTwvOsyGQ==" spinCount="100000" sheet="1" selectLockedCells="1" selectUnlockedCells="1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727CE-D533-4401-BC90-C2EDFC112501}">
  <dimension ref="A2:H24"/>
  <sheetViews>
    <sheetView workbookViewId="0">
      <selection activeCell="B27" sqref="B27"/>
    </sheetView>
  </sheetViews>
  <sheetFormatPr baseColWidth="10" defaultRowHeight="14.4" x14ac:dyDescent="0.3"/>
  <cols>
    <col min="1" max="3" width="40.5546875" customWidth="1"/>
    <col min="4" max="5" width="21" customWidth="1"/>
    <col min="8" max="8" width="11.5546875" style="86"/>
  </cols>
  <sheetData>
    <row r="2" spans="1:7" x14ac:dyDescent="0.3">
      <c r="A2" s="22" t="s">
        <v>10</v>
      </c>
      <c r="B2" s="22" t="s">
        <v>114</v>
      </c>
      <c r="C2" s="22" t="s">
        <v>115</v>
      </c>
      <c r="D2" s="22" t="s">
        <v>72</v>
      </c>
      <c r="E2" s="22" t="s">
        <v>97</v>
      </c>
    </row>
    <row r="3" spans="1:7" x14ac:dyDescent="0.3">
      <c r="A3" s="111"/>
      <c r="B3" s="111"/>
      <c r="C3" s="111"/>
      <c r="D3" s="111"/>
      <c r="E3" s="111"/>
    </row>
    <row r="4" spans="1:7" x14ac:dyDescent="0.3">
      <c r="A4" s="107">
        <v>1</v>
      </c>
      <c r="B4" s="107">
        <f>+A4+1</f>
        <v>2</v>
      </c>
      <c r="C4" s="107">
        <f t="shared" ref="C4" si="0">+B4+1</f>
        <v>3</v>
      </c>
      <c r="D4" s="107">
        <f>+A4+1</f>
        <v>2</v>
      </c>
      <c r="E4" s="107">
        <f>+D4+1</f>
        <v>3</v>
      </c>
    </row>
    <row r="5" spans="1:7" x14ac:dyDescent="0.3">
      <c r="A5" s="112" t="s">
        <v>30</v>
      </c>
      <c r="B5" s="112"/>
      <c r="C5" s="112"/>
      <c r="D5" s="44"/>
      <c r="E5" s="5"/>
    </row>
    <row r="6" spans="1:7" x14ac:dyDescent="0.3">
      <c r="A6" t="s">
        <v>171</v>
      </c>
      <c r="B6" s="53">
        <f>+'2023 Bto driftsutg eks avskriv'!D$17*1000/'2023 Nto driftsutg'!W$17</f>
        <v>8312.0996594884055</v>
      </c>
      <c r="C6" s="53">
        <f>+'2023 Nto driftsutg eks avskriv'!D$17*1000/'2023 Nto driftsutg'!$W$17</f>
        <v>7074.2914108960813</v>
      </c>
      <c r="D6" s="44">
        <f>+'2023 Lønnsgr pensjon tjeneste'!D$17*1000/(B6*'2023 Nto driftsutg'!$W$17)</f>
        <v>0.53741871945171493</v>
      </c>
      <c r="E6" s="44">
        <f>+'2023 Pensjon tjeneste'!D$17/'2023 Lønnsgr pensjon tjeneste'!D$17</f>
        <v>0.15047651162618864</v>
      </c>
      <c r="G6" s="53"/>
    </row>
    <row r="7" spans="1:7" x14ac:dyDescent="0.3">
      <c r="A7" t="s">
        <v>172</v>
      </c>
      <c r="B7" s="53">
        <f>+'2023 Bto driftsutg eks avskriv'!E$17*1000/'2023 Nto driftsutg'!W$17</f>
        <v>2149.403814542326</v>
      </c>
      <c r="C7" s="53">
        <f>+'2023 Nto driftsutg eks avskriv'!E$17*1000/'2023 Nto driftsutg'!$W$17</f>
        <v>2012.6482212005101</v>
      </c>
      <c r="D7" s="44">
        <f>+'2023 Lønnsgr pensjon tjeneste'!E$17*1000/(B7*'2023 Nto driftsutg'!$W$17)</f>
        <v>6.3365191146456876E-2</v>
      </c>
      <c r="E7" s="44">
        <f>+'2023 Pensjon tjeneste'!E$17/'2023 Lønnsgr pensjon tjeneste'!E$17</f>
        <v>0.3773115845539281</v>
      </c>
      <c r="G7" s="53"/>
    </row>
    <row r="8" spans="1:7" x14ac:dyDescent="0.3">
      <c r="A8" t="s">
        <v>424</v>
      </c>
      <c r="B8" s="53">
        <f>+'2023 Bto driftsutg eks avskriv'!F$17*1000/'2023 Nto driftsutg'!W$17</f>
        <v>3976.2195015792367</v>
      </c>
      <c r="C8" s="53">
        <f>+'2023 Nto driftsutg eks avskriv'!F$17*1000/'2023 Nto driftsutg'!$W$17</f>
        <v>2921.5591934503386</v>
      </c>
      <c r="D8" s="44">
        <f>+'2023 Lønnsgr pensjon tjeneste'!F$17*1000/(B8*'2023 Nto driftsutg'!$W$17)</f>
        <v>1.3844819021781295E-2</v>
      </c>
      <c r="E8" s="44">
        <f>+'2023 Pensjon tjeneste'!F$17/'2023 Lønnsgr pensjon tjeneste'!F$17</f>
        <v>0.24102863129181779</v>
      </c>
      <c r="G8" s="53"/>
    </row>
    <row r="9" spans="1:7" x14ac:dyDescent="0.3">
      <c r="A9" t="s">
        <v>417</v>
      </c>
      <c r="B9" s="53">
        <f>+'2023 Bto driftsutg eks avskriv'!G$17*1000/'2023 Nto driftsutg'!W$17</f>
        <v>851.5174673597802</v>
      </c>
      <c r="C9" s="53">
        <f>+'2023 Nto driftsutg eks avskriv'!G$17*1000/'2023 Nto driftsutg'!$W$17</f>
        <v>753.05201833278443</v>
      </c>
      <c r="D9" s="44">
        <f>+'2023 Lønnsgr pensjon tjeneste'!G$17*1000/(B9*'2023 Nto driftsutg'!$W$17)</f>
        <v>4.4663670062604962E-3</v>
      </c>
      <c r="E9" s="44">
        <f>+'2023 Pensjon tjeneste'!G$17/'2023 Lønnsgr pensjon tjeneste'!G$17</f>
        <v>0.19040579848362024</v>
      </c>
      <c r="G9" s="53"/>
    </row>
    <row r="10" spans="1:7" x14ac:dyDescent="0.3">
      <c r="A10" t="s">
        <v>173</v>
      </c>
      <c r="B10" s="53">
        <f>+'2023 Bto driftsutg eks avskriv'!H$17*1000/'2023 Nto driftsutg'!W$17</f>
        <v>789.61820482055316</v>
      </c>
      <c r="C10" s="53">
        <f>+'2023 Nto driftsutg eks avskriv'!H$17*1000/'2023 Nto driftsutg'!$W$17</f>
        <v>621.37997873072015</v>
      </c>
      <c r="D10" s="44">
        <f>+'2023 Lønnsgr pensjon tjeneste'!H$17*1000/(B10*'2023 Nto driftsutg'!$W$17)</f>
        <v>0.49930213580664579</v>
      </c>
      <c r="E10" s="44">
        <f>+'2023 Pensjon tjeneste'!H$17/'2023 Lønnsgr pensjon tjeneste'!H$17</f>
        <v>0.24147857298268</v>
      </c>
      <c r="G10" s="53"/>
    </row>
    <row r="11" spans="1:7" x14ac:dyDescent="0.3">
      <c r="A11" s="112"/>
      <c r="B11" s="53"/>
      <c r="C11" s="53"/>
      <c r="D11" s="7"/>
      <c r="E11" s="44"/>
      <c r="G11" s="53"/>
    </row>
    <row r="12" spans="1:7" x14ac:dyDescent="0.3">
      <c r="A12" s="112" t="s">
        <v>73</v>
      </c>
      <c r="B12" s="53"/>
      <c r="C12" s="53"/>
      <c r="D12" s="44"/>
      <c r="E12" s="44"/>
      <c r="G12" s="53"/>
    </row>
    <row r="13" spans="1:7" x14ac:dyDescent="0.3">
      <c r="A13" t="s">
        <v>4</v>
      </c>
      <c r="B13" s="53">
        <f>+'2023 Bto driftsutg eks avskriv'!K$17*1000/'2023 Nto driftsutg'!W$17</f>
        <v>1016.2468426145836</v>
      </c>
      <c r="C13" s="53">
        <f>+'2023 Nto driftsutg eks avskriv'!K$17*1000/'2023 Nto driftsutg'!$W$17</f>
        <v>889.7856677552785</v>
      </c>
      <c r="D13" s="44">
        <f>+'2023 Lønnsgr pensjon tjeneste'!K$17*1000/(B13*'2023 Nto driftsutg'!$W$17)</f>
        <v>0.40828678919888173</v>
      </c>
      <c r="E13" s="44">
        <f>+'2023 Pensjon tjeneste'!K$17/'2023 Lønnsgr pensjon tjeneste'!K$17</f>
        <v>0.42135799182916334</v>
      </c>
      <c r="G13" s="53"/>
    </row>
    <row r="14" spans="1:7" x14ac:dyDescent="0.3">
      <c r="A14" t="s">
        <v>174</v>
      </c>
      <c r="B14" s="53">
        <f>+'2023 Bto driftsutg eks avskriv'!L$17*1000/'2023 Nto driftsutg'!W$17</f>
        <v>467.82005841072345</v>
      </c>
      <c r="C14" s="53">
        <f>+'2023 Nto driftsutg eks avskriv'!L$17*1000/'2023 Nto driftsutg'!$W$17</f>
        <v>232.50997088168853</v>
      </c>
      <c r="D14" s="44">
        <f>+'2023 Lønnsgr pensjon tjeneste'!L$17*1000/(B14*'2023 Nto driftsutg'!$W$17)</f>
        <v>0.15883168849575086</v>
      </c>
      <c r="E14" s="44">
        <f>+'2023 Pensjon tjeneste'!L$17/'2023 Lønnsgr pensjon tjeneste'!L$17</f>
        <v>0.32286927657912723</v>
      </c>
      <c r="G14" s="53"/>
    </row>
    <row r="15" spans="1:7" x14ac:dyDescent="0.3">
      <c r="A15" t="s">
        <v>36</v>
      </c>
      <c r="B15" s="53">
        <f>+'2023 Bto driftsutg eks avskriv'!M$17*1000/'2023 Nto driftsutg'!W$17</f>
        <v>502.81643857080888</v>
      </c>
      <c r="C15" s="53">
        <f>+'2023 Nto driftsutg eks avskriv'!M$17*1000/'2023 Nto driftsutg'!$W$17</f>
        <v>-47.628642146543307</v>
      </c>
      <c r="D15" s="44">
        <f>+'2023 Lønnsgr pensjon tjeneste'!M$17*1000/(B15*'2023 Nto driftsutg'!$W$17)</f>
        <v>8.3812493733223969E-2</v>
      </c>
      <c r="E15" s="44">
        <f>+'2023 Pensjon tjeneste'!M$17/'2023 Lønnsgr pensjon tjeneste'!M$17</f>
        <v>0.22828187197417968</v>
      </c>
      <c r="G15" s="53"/>
    </row>
    <row r="16" spans="1:7" x14ac:dyDescent="0.3">
      <c r="A16" t="s">
        <v>175</v>
      </c>
      <c r="B16" s="53">
        <f>+'2023 Bto driftsutg eks avskriv'!N$17*1000/'2023 Nto driftsutg'!W$17</f>
        <v>759.00770684954955</v>
      </c>
      <c r="C16" s="53">
        <f>+'2023 Nto driftsutg eks avskriv'!N$17*1000/'2023 Nto driftsutg'!$W$17</f>
        <v>377.04731326631429</v>
      </c>
      <c r="D16" s="44">
        <f>+'2023 Lønnsgr pensjon tjeneste'!N$17*1000/(B16*'2023 Nto driftsutg'!$W$17)</f>
        <v>7.8068943238465152E-2</v>
      </c>
      <c r="E16" s="44">
        <f>+'2023 Pensjon tjeneste'!N$17/'2023 Lønnsgr pensjon tjeneste'!N$17</f>
        <v>0.19820955820466127</v>
      </c>
      <c r="G16" s="53"/>
    </row>
    <row r="17" spans="1:7" x14ac:dyDescent="0.3">
      <c r="A17" t="s">
        <v>37</v>
      </c>
      <c r="B17" s="53">
        <f>+'2023 Bto driftsutg eks avskriv'!O$17*1000/'2023 Nto driftsutg'!W$17</f>
        <v>15.579638654377105</v>
      </c>
      <c r="C17" s="53">
        <f>+'2023 Nto driftsutg eks avskriv'!O$17*1000/'2023 Nto driftsutg'!$W$17</f>
        <v>0.86995852055184064</v>
      </c>
      <c r="D17" s="44">
        <f>+'2023 Lønnsgr pensjon tjeneste'!O$17*1000/(B17*'2023 Nto driftsutg'!$W$17)</f>
        <v>0.45243111737111064</v>
      </c>
      <c r="E17" s="44">
        <f>+'2023 Pensjon tjeneste'!O$17/'2023 Lønnsgr pensjon tjeneste'!O$17</f>
        <v>0.11243471325288805</v>
      </c>
      <c r="G17" s="53"/>
    </row>
    <row r="18" spans="1:7" x14ac:dyDescent="0.3">
      <c r="A18" t="s">
        <v>38</v>
      </c>
      <c r="B18" s="53">
        <f>+'2023 Bto driftsutg eks avskriv'!P$17*1000/'2023 Nto driftsutg'!W$17</f>
        <v>150.39165362121821</v>
      </c>
      <c r="C18" s="53">
        <f>+'2023 Nto driftsutg eks avskriv'!P$17*1000/'2023 Nto driftsutg'!$W$17</f>
        <v>-49.361486354146564</v>
      </c>
      <c r="D18" s="44">
        <f>+'2023 Lønnsgr pensjon tjeneste'!P$17*1000/(B18*'2023 Nto driftsutg'!$W$17)</f>
        <v>6.5801405576966676E-2</v>
      </c>
      <c r="E18" s="44">
        <f>+'2023 Pensjon tjeneste'!P$17/'2023 Lønnsgr pensjon tjeneste'!P$17</f>
        <v>0.28387120420767131</v>
      </c>
      <c r="G18" s="53"/>
    </row>
    <row r="19" spans="1:7" x14ac:dyDescent="0.3">
      <c r="A19" s="112"/>
      <c r="B19" s="112"/>
      <c r="C19" s="112"/>
      <c r="D19" s="44"/>
      <c r="E19" s="7"/>
    </row>
    <row r="20" spans="1:7" x14ac:dyDescent="0.3">
      <c r="A20" s="112"/>
      <c r="B20" s="112"/>
      <c r="C20" s="112"/>
      <c r="D20" s="44"/>
      <c r="E20" s="7"/>
    </row>
    <row r="21" spans="1:7" x14ac:dyDescent="0.3">
      <c r="A21" s="112" t="s">
        <v>75</v>
      </c>
      <c r="B21" s="112"/>
      <c r="C21" s="112"/>
      <c r="D21" s="44">
        <f>+'2023 Lønnsgr pensjon tjeneste'!C$17/('2023 Bto driftsutg eks avskriv'!C17-'2023 Bto driftsutg eks avskriv'!J17)</f>
        <v>0.30712479454417885</v>
      </c>
      <c r="E21" s="44">
        <f>+'2023 Pensjon tjeneste'!C$17/'2023 Lønnsgr pensjon tjeneste'!C$17</f>
        <v>9.954920206153102E-2</v>
      </c>
      <c r="G21" s="5"/>
    </row>
    <row r="22" spans="1:7" x14ac:dyDescent="0.3">
      <c r="A22" s="112"/>
      <c r="B22" s="112"/>
      <c r="C22" s="112"/>
      <c r="D22" s="44"/>
      <c r="E22" s="7"/>
    </row>
    <row r="23" spans="1:7" x14ac:dyDescent="0.3">
      <c r="A23" s="112"/>
      <c r="B23" s="7"/>
      <c r="C23" s="7"/>
      <c r="D23" s="7"/>
      <c r="E23" s="7"/>
    </row>
    <row r="24" spans="1:7" x14ac:dyDescent="0.3">
      <c r="A24" s="112"/>
      <c r="B24" s="112"/>
      <c r="C24" s="112"/>
      <c r="D24" s="7"/>
      <c r="E24" s="7"/>
    </row>
  </sheetData>
  <sheetProtection algorithmName="SHA-512" hashValue="HmlZ3MvFF7DgbAmI7tnIav2uVXfYZFVYa6TUwKW3vZSeGPu2pVA3kCwWfQYiram5mlSj9IKPSvzCuO/eAIjK+w==" saltValue="iGM7xD/znl8qrKbo3bFeTg==" spinCount="100000" sheet="1" selectLockedCells="1" selectUnlockedCells="1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533D-13D7-4157-A2DD-383C42B78117}">
  <sheetPr>
    <tabColor rgb="FF92D050"/>
  </sheetPr>
  <dimension ref="A1:R20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ColWidth="11.44140625" defaultRowHeight="14.4" x14ac:dyDescent="0.3"/>
  <cols>
    <col min="2" max="2" width="13.44140625" customWidth="1"/>
    <col min="6" max="6" width="13.109375" customWidth="1"/>
    <col min="7" max="7" width="12.88671875" customWidth="1"/>
    <col min="9" max="9" width="12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58</v>
      </c>
      <c r="D2" s="22" t="s">
        <v>191</v>
      </c>
      <c r="E2" s="22" t="s">
        <v>192</v>
      </c>
      <c r="F2" s="22" t="s">
        <v>425</v>
      </c>
      <c r="G2" s="22" t="s">
        <v>426</v>
      </c>
      <c r="H2" s="22" t="s">
        <v>193</v>
      </c>
      <c r="I2" s="11" t="s">
        <v>70</v>
      </c>
      <c r="J2" s="22" t="s">
        <v>60</v>
      </c>
      <c r="K2" s="22" t="s">
        <v>194</v>
      </c>
      <c r="L2" s="22" t="s">
        <v>195</v>
      </c>
      <c r="M2" s="22" t="s">
        <v>61</v>
      </c>
      <c r="N2" s="22" t="s">
        <v>196</v>
      </c>
      <c r="O2" s="22" t="s">
        <v>62</v>
      </c>
      <c r="P2" s="22" t="s">
        <v>63</v>
      </c>
      <c r="Q2" s="22" t="s">
        <v>197</v>
      </c>
      <c r="R2" s="22" t="s">
        <v>59</v>
      </c>
    </row>
    <row r="3" spans="1:18" x14ac:dyDescent="0.3">
      <c r="A3" s="107">
        <v>1</v>
      </c>
      <c r="B3" s="107">
        <v>2</v>
      </c>
      <c r="C3" s="107">
        <v>3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0">
        <f>+H3+1</f>
        <v>10</v>
      </c>
      <c r="J3" s="107">
        <f>+I3+1</f>
        <v>11</v>
      </c>
      <c r="K3" s="107">
        <f t="shared" ref="K3:R3" si="0">+J3+1</f>
        <v>12</v>
      </c>
      <c r="L3" s="107">
        <f t="shared" si="0"/>
        <v>13</v>
      </c>
      <c r="M3" s="107">
        <f t="shared" si="0"/>
        <v>14</v>
      </c>
      <c r="N3" s="107">
        <f t="shared" si="0"/>
        <v>15</v>
      </c>
      <c r="O3" s="107">
        <f t="shared" si="0"/>
        <v>16</v>
      </c>
      <c r="P3" s="107">
        <f t="shared" si="0"/>
        <v>17</v>
      </c>
      <c r="Q3" s="107">
        <f t="shared" si="0"/>
        <v>18</v>
      </c>
      <c r="R3" s="107">
        <f t="shared" si="0"/>
        <v>19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2252886.6269265758</v>
      </c>
      <c r="D5" s="5">
        <v>2488450</v>
      </c>
      <c r="E5" s="5">
        <v>505</v>
      </c>
      <c r="F5" s="5">
        <v>29325</v>
      </c>
      <c r="G5" s="5">
        <v>0</v>
      </c>
      <c r="H5" s="5">
        <v>189572</v>
      </c>
      <c r="I5" s="9">
        <f t="shared" ref="I5:I15" si="2">SUM(J5:Q5)</f>
        <v>119991</v>
      </c>
      <c r="J5" s="5"/>
      <c r="K5" s="5">
        <v>115516</v>
      </c>
      <c r="L5" s="5">
        <v>0</v>
      </c>
      <c r="M5" s="5">
        <v>3</v>
      </c>
      <c r="N5" s="5">
        <v>4472</v>
      </c>
      <c r="O5" s="5">
        <v>0</v>
      </c>
      <c r="P5" s="5">
        <v>0</v>
      </c>
      <c r="Q5" s="5"/>
      <c r="R5" s="118">
        <v>-574956.3730734241</v>
      </c>
    </row>
    <row r="6" spans="1:18" x14ac:dyDescent="0.3">
      <c r="A6" s="41">
        <v>1100</v>
      </c>
      <c r="B6" s="42" t="s">
        <v>139</v>
      </c>
      <c r="C6" s="5">
        <f t="shared" si="1"/>
        <v>3102929</v>
      </c>
      <c r="D6" s="5">
        <v>2696905</v>
      </c>
      <c r="E6" s="5">
        <v>90332</v>
      </c>
      <c r="F6" s="5">
        <v>5702</v>
      </c>
      <c r="G6" s="5">
        <v>150</v>
      </c>
      <c r="H6" s="5">
        <v>303784</v>
      </c>
      <c r="I6" s="9">
        <f t="shared" si="2"/>
        <v>245142</v>
      </c>
      <c r="J6" s="5"/>
      <c r="K6" s="5">
        <v>141285</v>
      </c>
      <c r="L6" s="5">
        <v>59438</v>
      </c>
      <c r="M6" s="5">
        <v>20724</v>
      </c>
      <c r="N6" s="5">
        <v>17589</v>
      </c>
      <c r="O6" s="5">
        <v>0</v>
      </c>
      <c r="P6" s="5">
        <v>6106</v>
      </c>
      <c r="Q6" s="5"/>
      <c r="R6" s="5">
        <v>-239086</v>
      </c>
    </row>
    <row r="7" spans="1:18" x14ac:dyDescent="0.3">
      <c r="A7" s="41">
        <v>1500</v>
      </c>
      <c r="B7" s="42" t="s">
        <v>140</v>
      </c>
      <c r="C7" s="5">
        <f t="shared" si="1"/>
        <v>1792201</v>
      </c>
      <c r="D7" s="5">
        <v>1474960</v>
      </c>
      <c r="E7" s="5">
        <v>63851</v>
      </c>
      <c r="F7" s="5">
        <v>30098</v>
      </c>
      <c r="G7" s="5">
        <v>10556</v>
      </c>
      <c r="H7" s="5">
        <v>146640</v>
      </c>
      <c r="I7" s="9">
        <f t="shared" si="2"/>
        <v>231390</v>
      </c>
      <c r="J7" s="5"/>
      <c r="K7" s="5">
        <v>145260</v>
      </c>
      <c r="L7" s="5">
        <v>49886</v>
      </c>
      <c r="M7" s="5">
        <v>18470</v>
      </c>
      <c r="N7" s="5">
        <v>17774</v>
      </c>
      <c r="O7" s="5">
        <v>0</v>
      </c>
      <c r="P7" s="5">
        <v>0</v>
      </c>
      <c r="Q7" s="5"/>
      <c r="R7" s="5">
        <v>-165294</v>
      </c>
    </row>
    <row r="8" spans="1:18" x14ac:dyDescent="0.3">
      <c r="A8" s="41">
        <v>1800</v>
      </c>
      <c r="B8" s="42" t="s">
        <v>141</v>
      </c>
      <c r="C8" s="5">
        <f t="shared" si="1"/>
        <v>2107053</v>
      </c>
      <c r="D8" s="5">
        <v>1614583</v>
      </c>
      <c r="E8" s="5">
        <v>70465</v>
      </c>
      <c r="F8" s="5">
        <v>20587</v>
      </c>
      <c r="G8" s="5">
        <v>2314</v>
      </c>
      <c r="H8" s="5">
        <v>220243</v>
      </c>
      <c r="I8" s="9">
        <f t="shared" si="2"/>
        <v>373924</v>
      </c>
      <c r="J8" s="5"/>
      <c r="K8" s="5">
        <v>236314</v>
      </c>
      <c r="L8" s="5">
        <v>57944</v>
      </c>
      <c r="M8" s="5">
        <v>37778</v>
      </c>
      <c r="N8" s="5">
        <v>41888</v>
      </c>
      <c r="O8" s="5">
        <v>0</v>
      </c>
      <c r="P8" s="5">
        <v>0</v>
      </c>
      <c r="Q8" s="5"/>
      <c r="R8" s="5">
        <v>-195063</v>
      </c>
    </row>
    <row r="9" spans="1:18" x14ac:dyDescent="0.3">
      <c r="A9" s="41">
        <v>3000</v>
      </c>
      <c r="B9" s="42" t="s">
        <v>403</v>
      </c>
      <c r="C9" s="5">
        <f t="shared" si="1"/>
        <v>7629680</v>
      </c>
      <c r="D9" s="5">
        <v>6293980</v>
      </c>
      <c r="E9" s="5">
        <v>160972</v>
      </c>
      <c r="F9" s="5">
        <v>52935</v>
      </c>
      <c r="G9" s="5">
        <v>0</v>
      </c>
      <c r="H9" s="5">
        <v>383595</v>
      </c>
      <c r="I9" s="9">
        <f t="shared" si="2"/>
        <v>1290719</v>
      </c>
      <c r="J9" s="5"/>
      <c r="K9" s="5">
        <v>1011110</v>
      </c>
      <c r="L9" s="5">
        <v>128650</v>
      </c>
      <c r="M9" s="5">
        <v>30314</v>
      </c>
      <c r="N9" s="5">
        <v>76258</v>
      </c>
      <c r="O9" s="5">
        <v>41767</v>
      </c>
      <c r="P9" s="5">
        <v>2620</v>
      </c>
      <c r="Q9" s="5"/>
      <c r="R9" s="5">
        <v>-552521</v>
      </c>
    </row>
    <row r="10" spans="1:18" x14ac:dyDescent="0.3">
      <c r="A10" s="41">
        <v>3400</v>
      </c>
      <c r="B10" s="42" t="s">
        <v>404</v>
      </c>
      <c r="C10" s="5">
        <f t="shared" si="1"/>
        <v>2635420</v>
      </c>
      <c r="D10" s="5">
        <v>2133051</v>
      </c>
      <c r="E10" s="5">
        <v>128782</v>
      </c>
      <c r="F10" s="5">
        <v>41620</v>
      </c>
      <c r="G10" s="5">
        <v>10629</v>
      </c>
      <c r="H10" s="5">
        <v>200046</v>
      </c>
      <c r="I10" s="9">
        <f t="shared" si="2"/>
        <v>363454</v>
      </c>
      <c r="J10" s="5"/>
      <c r="K10" s="5">
        <v>218462</v>
      </c>
      <c r="L10" s="5">
        <v>69542</v>
      </c>
      <c r="M10" s="5">
        <v>28895</v>
      </c>
      <c r="N10" s="5">
        <v>32832</v>
      </c>
      <c r="O10" s="5">
        <v>0</v>
      </c>
      <c r="P10" s="5">
        <v>13723</v>
      </c>
      <c r="Q10" s="5"/>
      <c r="R10" s="5">
        <v>-242162</v>
      </c>
    </row>
    <row r="11" spans="1:18" x14ac:dyDescent="0.3">
      <c r="A11" s="41">
        <v>3800</v>
      </c>
      <c r="B11" s="42" t="s">
        <v>405</v>
      </c>
      <c r="C11" s="5">
        <f t="shared" si="1"/>
        <v>2900060</v>
      </c>
      <c r="D11" s="5">
        <v>2333804</v>
      </c>
      <c r="E11" s="5">
        <v>191222</v>
      </c>
      <c r="F11" s="5">
        <v>34341</v>
      </c>
      <c r="G11" s="5">
        <v>0</v>
      </c>
      <c r="H11" s="5">
        <v>207920</v>
      </c>
      <c r="I11" s="9">
        <f t="shared" si="2"/>
        <v>398711</v>
      </c>
      <c r="J11" s="5"/>
      <c r="K11" s="5">
        <v>251469</v>
      </c>
      <c r="L11" s="5">
        <v>82259</v>
      </c>
      <c r="M11" s="5">
        <v>29506</v>
      </c>
      <c r="N11" s="5">
        <v>33092</v>
      </c>
      <c r="O11" s="5">
        <v>1470</v>
      </c>
      <c r="P11" s="5">
        <v>915</v>
      </c>
      <c r="Q11" s="5"/>
      <c r="R11" s="5">
        <v>-265938</v>
      </c>
    </row>
    <row r="12" spans="1:18" x14ac:dyDescent="0.3">
      <c r="A12" s="41">
        <v>4200</v>
      </c>
      <c r="B12" s="42" t="s">
        <v>406</v>
      </c>
      <c r="C12" s="5">
        <f t="shared" si="1"/>
        <v>2192823</v>
      </c>
      <c r="D12" s="5">
        <v>1851658</v>
      </c>
      <c r="E12" s="5">
        <v>72343</v>
      </c>
      <c r="F12" s="5">
        <v>1707</v>
      </c>
      <c r="G12" s="5">
        <v>527</v>
      </c>
      <c r="H12" s="5">
        <v>154161</v>
      </c>
      <c r="I12" s="9">
        <f t="shared" si="2"/>
        <v>335894</v>
      </c>
      <c r="J12" s="5"/>
      <c r="K12" s="5">
        <v>229972</v>
      </c>
      <c r="L12" s="5">
        <v>85665</v>
      </c>
      <c r="M12" s="5">
        <v>1895</v>
      </c>
      <c r="N12" s="5">
        <v>17499</v>
      </c>
      <c r="O12" s="5">
        <v>0</v>
      </c>
      <c r="P12" s="5">
        <v>863</v>
      </c>
      <c r="Q12" s="5"/>
      <c r="R12" s="5">
        <v>-223467</v>
      </c>
    </row>
    <row r="13" spans="1:18" x14ac:dyDescent="0.3">
      <c r="A13" s="41">
        <v>4600</v>
      </c>
      <c r="B13" s="42" t="s">
        <v>407</v>
      </c>
      <c r="C13" s="5">
        <f t="shared" si="1"/>
        <v>3983077</v>
      </c>
      <c r="D13" s="5">
        <v>3128281</v>
      </c>
      <c r="E13" s="5">
        <v>93260</v>
      </c>
      <c r="F13" s="5">
        <v>90347</v>
      </c>
      <c r="G13" s="5">
        <v>0</v>
      </c>
      <c r="H13" s="5">
        <v>332053</v>
      </c>
      <c r="I13" s="9">
        <f t="shared" si="2"/>
        <v>451727</v>
      </c>
      <c r="J13" s="5"/>
      <c r="K13" s="5">
        <v>284791</v>
      </c>
      <c r="L13" s="5">
        <v>60278</v>
      </c>
      <c r="M13" s="5">
        <v>53693</v>
      </c>
      <c r="N13" s="5">
        <v>52379</v>
      </c>
      <c r="O13" s="5">
        <v>0</v>
      </c>
      <c r="P13" s="5">
        <v>586</v>
      </c>
      <c r="Q13" s="5"/>
      <c r="R13" s="5">
        <v>-112591</v>
      </c>
    </row>
    <row r="14" spans="1:18" x14ac:dyDescent="0.3">
      <c r="A14" s="41">
        <v>5000</v>
      </c>
      <c r="B14" s="42" t="s">
        <v>388</v>
      </c>
      <c r="C14" s="5">
        <f t="shared" si="1"/>
        <v>3168851</v>
      </c>
      <c r="D14" s="5">
        <v>2542137</v>
      </c>
      <c r="E14" s="5">
        <v>84290</v>
      </c>
      <c r="F14" s="5">
        <v>25621</v>
      </c>
      <c r="G14" s="5">
        <v>170</v>
      </c>
      <c r="H14" s="5">
        <v>281295</v>
      </c>
      <c r="I14" s="9">
        <f t="shared" si="2"/>
        <v>350794</v>
      </c>
      <c r="J14" s="5"/>
      <c r="K14" s="5">
        <v>209833</v>
      </c>
      <c r="L14" s="5">
        <v>60309</v>
      </c>
      <c r="M14" s="5">
        <v>34828</v>
      </c>
      <c r="N14" s="5">
        <v>45824</v>
      </c>
      <c r="O14" s="5">
        <v>0</v>
      </c>
      <c r="P14" s="5">
        <v>0</v>
      </c>
      <c r="Q14" s="5"/>
      <c r="R14" s="5">
        <v>-115456</v>
      </c>
    </row>
    <row r="15" spans="1:18" x14ac:dyDescent="0.3">
      <c r="A15" s="41">
        <v>5400</v>
      </c>
      <c r="B15" s="42" t="s">
        <v>408</v>
      </c>
      <c r="C15" s="5">
        <f t="shared" si="1"/>
        <v>2349868</v>
      </c>
      <c r="D15" s="5">
        <v>1780404</v>
      </c>
      <c r="E15" s="5">
        <v>78339</v>
      </c>
      <c r="F15" s="5">
        <v>44430</v>
      </c>
      <c r="G15" s="5">
        <v>618</v>
      </c>
      <c r="H15" s="5">
        <v>279617</v>
      </c>
      <c r="I15" s="9">
        <f t="shared" si="2"/>
        <v>422388</v>
      </c>
      <c r="J15" s="5"/>
      <c r="K15" s="5">
        <v>240550</v>
      </c>
      <c r="L15" s="5">
        <v>55388</v>
      </c>
      <c r="M15" s="5">
        <v>29316</v>
      </c>
      <c r="N15" s="5">
        <v>51890</v>
      </c>
      <c r="O15" s="5">
        <v>0</v>
      </c>
      <c r="P15" s="5">
        <v>45244</v>
      </c>
      <c r="Q15" s="5"/>
      <c r="R15" s="5">
        <v>-255928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3">SUM(C5:C16)</f>
        <v>34114848.626926571</v>
      </c>
      <c r="D17" s="5">
        <f t="shared" si="3"/>
        <v>28338213</v>
      </c>
      <c r="E17" s="5">
        <f t="shared" si="3"/>
        <v>1034361</v>
      </c>
      <c r="F17" s="5">
        <f t="shared" si="3"/>
        <v>376713</v>
      </c>
      <c r="G17" s="5">
        <f t="shared" si="3"/>
        <v>24964</v>
      </c>
      <c r="H17" s="5">
        <f t="shared" si="3"/>
        <v>2698926</v>
      </c>
      <c r="I17" s="15">
        <f t="shared" si="3"/>
        <v>4584134</v>
      </c>
      <c r="J17" s="5">
        <f t="shared" si="3"/>
        <v>0</v>
      </c>
      <c r="K17" s="5">
        <f t="shared" si="3"/>
        <v>3084562</v>
      </c>
      <c r="L17" s="5">
        <f t="shared" si="3"/>
        <v>709359</v>
      </c>
      <c r="M17" s="5">
        <f t="shared" si="3"/>
        <v>285422</v>
      </c>
      <c r="N17" s="5">
        <f t="shared" si="3"/>
        <v>391497</v>
      </c>
      <c r="O17" s="5">
        <f t="shared" si="3"/>
        <v>43237</v>
      </c>
      <c r="P17" s="5">
        <f t="shared" si="3"/>
        <v>70057</v>
      </c>
      <c r="Q17" s="5">
        <f t="shared" si="3"/>
        <v>0</v>
      </c>
      <c r="R17" s="5">
        <f t="shared" si="3"/>
        <v>-2942462.3730734242</v>
      </c>
    </row>
    <row r="18" spans="2:18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7507-989D-4A6A-AF89-90BE1E010E4A}">
  <sheetPr>
    <tabColor rgb="FF92D050"/>
  </sheetPr>
  <dimension ref="A1:R20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106.2" x14ac:dyDescent="0.3">
      <c r="A2" s="22" t="s">
        <v>2</v>
      </c>
      <c r="B2" s="22" t="s">
        <v>1</v>
      </c>
      <c r="C2" s="22" t="s">
        <v>64</v>
      </c>
      <c r="D2" s="22" t="s">
        <v>198</v>
      </c>
      <c r="E2" s="22" t="s">
        <v>199</v>
      </c>
      <c r="F2" s="22" t="s">
        <v>427</v>
      </c>
      <c r="G2" s="22" t="s">
        <v>428</v>
      </c>
      <c r="H2" s="22" t="s">
        <v>200</v>
      </c>
      <c r="I2" s="11" t="s">
        <v>71</v>
      </c>
      <c r="J2" s="22" t="s">
        <v>66</v>
      </c>
      <c r="K2" s="22" t="s">
        <v>201</v>
      </c>
      <c r="L2" s="22" t="s">
        <v>202</v>
      </c>
      <c r="M2" s="22" t="s">
        <v>67</v>
      </c>
      <c r="N2" s="22" t="s">
        <v>203</v>
      </c>
      <c r="O2" s="22" t="s">
        <v>68</v>
      </c>
      <c r="P2" s="22" t="s">
        <v>69</v>
      </c>
      <c r="Q2" s="22" t="s">
        <v>204</v>
      </c>
      <c r="R2" s="22" t="s">
        <v>65</v>
      </c>
    </row>
    <row r="3" spans="1:18" x14ac:dyDescent="0.3">
      <c r="A3" s="107">
        <v>1</v>
      </c>
      <c r="B3" s="107">
        <v>2</v>
      </c>
      <c r="C3" s="107">
        <f>+B3+1</f>
        <v>3</v>
      </c>
      <c r="D3" s="107">
        <f t="shared" ref="D3:H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>+I3+1</f>
        <v>10</v>
      </c>
      <c r="K3" s="107">
        <f t="shared" ref="K3:R3" si="1">+J3+1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2">SUM(D5:I5)+R5</f>
        <v>320775.15139664721</v>
      </c>
      <c r="D5" s="5">
        <v>352076</v>
      </c>
      <c r="E5" s="5">
        <v>74</v>
      </c>
      <c r="F5" s="5">
        <v>4137</v>
      </c>
      <c r="G5" s="5">
        <v>0</v>
      </c>
      <c r="H5" s="5">
        <v>24208</v>
      </c>
      <c r="I5" s="9">
        <f t="shared" ref="I5:I15" si="3">SUM(J5:Q5)</f>
        <v>21349</v>
      </c>
      <c r="J5" s="5"/>
      <c r="K5" s="5">
        <v>20781</v>
      </c>
      <c r="L5" s="5">
        <v>0</v>
      </c>
      <c r="M5" s="5">
        <v>0</v>
      </c>
      <c r="N5" s="5">
        <v>568</v>
      </c>
      <c r="O5" s="5">
        <v>0</v>
      </c>
      <c r="P5" s="5">
        <v>0</v>
      </c>
      <c r="Q5" s="5"/>
      <c r="R5" s="118">
        <v>-81068.848603352788</v>
      </c>
    </row>
    <row r="6" spans="1:18" x14ac:dyDescent="0.3">
      <c r="A6" s="41">
        <v>1100</v>
      </c>
      <c r="B6" s="42" t="s">
        <v>139</v>
      </c>
      <c r="C6" s="5">
        <f t="shared" si="2"/>
        <v>440784</v>
      </c>
      <c r="D6" s="5">
        <v>381496</v>
      </c>
      <c r="E6" s="5">
        <v>13003</v>
      </c>
      <c r="F6" s="5">
        <v>826</v>
      </c>
      <c r="G6" s="5">
        <v>21</v>
      </c>
      <c r="H6" s="5">
        <v>43614</v>
      </c>
      <c r="I6" s="9">
        <f t="shared" si="3"/>
        <v>35537</v>
      </c>
      <c r="J6" s="5"/>
      <c r="K6" s="5">
        <v>20628</v>
      </c>
      <c r="L6" s="5">
        <v>8517</v>
      </c>
      <c r="M6" s="5">
        <v>2980</v>
      </c>
      <c r="N6" s="5">
        <v>2524</v>
      </c>
      <c r="O6" s="5">
        <v>0</v>
      </c>
      <c r="P6" s="5">
        <v>888</v>
      </c>
      <c r="Q6" s="5"/>
      <c r="R6" s="5">
        <v>-33713</v>
      </c>
    </row>
    <row r="7" spans="1:18" x14ac:dyDescent="0.3">
      <c r="A7" s="41">
        <v>1500</v>
      </c>
      <c r="B7" s="42" t="s">
        <v>140</v>
      </c>
      <c r="C7" s="5">
        <f t="shared" si="2"/>
        <v>261043</v>
      </c>
      <c r="D7" s="5">
        <v>201064</v>
      </c>
      <c r="E7" s="5">
        <v>19455</v>
      </c>
      <c r="F7" s="5">
        <v>4737</v>
      </c>
      <c r="G7" s="5">
        <v>1536</v>
      </c>
      <c r="H7" s="5">
        <v>18734</v>
      </c>
      <c r="I7" s="9">
        <f t="shared" si="3"/>
        <v>32633</v>
      </c>
      <c r="J7" s="5"/>
      <c r="K7" s="5">
        <v>20816</v>
      </c>
      <c r="L7" s="5">
        <v>6832</v>
      </c>
      <c r="M7" s="5">
        <v>2575</v>
      </c>
      <c r="N7" s="5">
        <v>2410</v>
      </c>
      <c r="O7" s="5">
        <v>0</v>
      </c>
      <c r="P7" s="5">
        <v>0</v>
      </c>
      <c r="Q7" s="5"/>
      <c r="R7" s="5">
        <v>-17116</v>
      </c>
    </row>
    <row r="8" spans="1:18" x14ac:dyDescent="0.3">
      <c r="A8" s="41">
        <v>1800</v>
      </c>
      <c r="B8" s="42" t="s">
        <v>141</v>
      </c>
      <c r="C8" s="5">
        <f t="shared" si="2"/>
        <v>136238</v>
      </c>
      <c r="D8" s="5">
        <v>94663</v>
      </c>
      <c r="E8" s="5">
        <v>6851</v>
      </c>
      <c r="F8" s="5">
        <v>1506</v>
      </c>
      <c r="G8" s="5">
        <v>170</v>
      </c>
      <c r="H8" s="5">
        <v>12330</v>
      </c>
      <c r="I8" s="9">
        <f t="shared" si="3"/>
        <v>26517</v>
      </c>
      <c r="J8" s="5"/>
      <c r="K8" s="5">
        <v>17180</v>
      </c>
      <c r="L8" s="5">
        <v>4024</v>
      </c>
      <c r="M8" s="5">
        <v>2807</v>
      </c>
      <c r="N8" s="5">
        <v>2506</v>
      </c>
      <c r="O8" s="5">
        <v>0</v>
      </c>
      <c r="P8" s="5">
        <v>0</v>
      </c>
      <c r="Q8" s="5"/>
      <c r="R8" s="5">
        <v>-5799</v>
      </c>
    </row>
    <row r="9" spans="1:18" x14ac:dyDescent="0.3">
      <c r="A9" s="41">
        <v>3000</v>
      </c>
      <c r="B9" s="42" t="s">
        <v>403</v>
      </c>
      <c r="C9" s="5">
        <f t="shared" si="2"/>
        <v>1054837</v>
      </c>
      <c r="D9" s="5">
        <v>910486</v>
      </c>
      <c r="E9" s="5">
        <v>41486</v>
      </c>
      <c r="F9" s="5">
        <v>7289</v>
      </c>
      <c r="G9" s="5">
        <v>0</v>
      </c>
      <c r="H9" s="5">
        <v>54856</v>
      </c>
      <c r="I9" s="9">
        <f t="shared" si="3"/>
        <v>98092</v>
      </c>
      <c r="J9" s="5"/>
      <c r="K9" s="5">
        <v>57450</v>
      </c>
      <c r="L9" s="5">
        <v>18603</v>
      </c>
      <c r="M9" s="5">
        <v>4574</v>
      </c>
      <c r="N9" s="5">
        <v>11027</v>
      </c>
      <c r="O9" s="5">
        <v>6065</v>
      </c>
      <c r="P9" s="5">
        <v>373</v>
      </c>
      <c r="Q9" s="5"/>
      <c r="R9" s="5">
        <v>-57372</v>
      </c>
    </row>
    <row r="10" spans="1:18" x14ac:dyDescent="0.3">
      <c r="A10" s="41">
        <v>3400</v>
      </c>
      <c r="B10" s="42" t="s">
        <v>404</v>
      </c>
      <c r="C10" s="5">
        <f t="shared" si="2"/>
        <v>336250</v>
      </c>
      <c r="D10" s="5">
        <v>269739</v>
      </c>
      <c r="E10" s="5">
        <v>16278</v>
      </c>
      <c r="F10" s="5">
        <v>5918</v>
      </c>
      <c r="G10" s="5">
        <v>1538</v>
      </c>
      <c r="H10" s="5">
        <v>24685</v>
      </c>
      <c r="I10" s="9">
        <f t="shared" si="3"/>
        <v>52236</v>
      </c>
      <c r="J10" s="5"/>
      <c r="K10" s="5">
        <v>31588</v>
      </c>
      <c r="L10" s="5">
        <v>9911</v>
      </c>
      <c r="M10" s="5">
        <v>4133</v>
      </c>
      <c r="N10" s="5">
        <v>4655</v>
      </c>
      <c r="O10" s="5">
        <v>0</v>
      </c>
      <c r="P10" s="5">
        <v>1949</v>
      </c>
      <c r="Q10" s="5"/>
      <c r="R10" s="5">
        <v>-34144</v>
      </c>
    </row>
    <row r="11" spans="1:18" x14ac:dyDescent="0.3">
      <c r="A11" s="41">
        <v>3800</v>
      </c>
      <c r="B11" s="42" t="s">
        <v>405</v>
      </c>
      <c r="C11" s="5">
        <f t="shared" si="2"/>
        <v>410272</v>
      </c>
      <c r="D11" s="5">
        <v>327989</v>
      </c>
      <c r="E11" s="5">
        <v>27735</v>
      </c>
      <c r="F11" s="5">
        <v>4911</v>
      </c>
      <c r="G11" s="5">
        <v>0</v>
      </c>
      <c r="H11" s="5">
        <v>29156</v>
      </c>
      <c r="I11" s="9">
        <f t="shared" si="3"/>
        <v>57270</v>
      </c>
      <c r="J11" s="5"/>
      <c r="K11" s="5">
        <v>36572</v>
      </c>
      <c r="L11" s="5">
        <v>11281</v>
      </c>
      <c r="M11" s="5">
        <v>4466</v>
      </c>
      <c r="N11" s="5">
        <v>4655</v>
      </c>
      <c r="O11" s="5">
        <v>157</v>
      </c>
      <c r="P11" s="5">
        <v>139</v>
      </c>
      <c r="Q11" s="5"/>
      <c r="R11" s="5">
        <v>-36789</v>
      </c>
    </row>
    <row r="12" spans="1:18" x14ac:dyDescent="0.3">
      <c r="A12" s="41">
        <v>4200</v>
      </c>
      <c r="B12" s="42" t="s">
        <v>406</v>
      </c>
      <c r="C12" s="5">
        <f t="shared" si="2"/>
        <v>316543</v>
      </c>
      <c r="D12" s="5">
        <v>261541</v>
      </c>
      <c r="E12" s="5">
        <v>15633</v>
      </c>
      <c r="F12" s="5">
        <v>269</v>
      </c>
      <c r="G12" s="5">
        <v>74</v>
      </c>
      <c r="H12" s="5">
        <v>21665</v>
      </c>
      <c r="I12" s="9">
        <f t="shared" si="3"/>
        <v>42542</v>
      </c>
      <c r="J12" s="5"/>
      <c r="K12" s="5">
        <v>27333</v>
      </c>
      <c r="L12" s="5">
        <v>12321</v>
      </c>
      <c r="M12" s="5">
        <v>268</v>
      </c>
      <c r="N12" s="5">
        <v>2498</v>
      </c>
      <c r="O12" s="5">
        <v>0</v>
      </c>
      <c r="P12" s="5">
        <v>122</v>
      </c>
      <c r="Q12" s="5"/>
      <c r="R12" s="5">
        <v>-25181</v>
      </c>
    </row>
    <row r="13" spans="1:18" x14ac:dyDescent="0.3">
      <c r="A13" s="41">
        <v>4600</v>
      </c>
      <c r="B13" s="42" t="s">
        <v>407</v>
      </c>
      <c r="C13" s="5">
        <f t="shared" si="2"/>
        <v>577018</v>
      </c>
      <c r="D13" s="5">
        <v>432914</v>
      </c>
      <c r="E13" s="5">
        <v>39853</v>
      </c>
      <c r="F13" s="5">
        <v>12963</v>
      </c>
      <c r="G13" s="5">
        <v>0</v>
      </c>
      <c r="H13" s="5">
        <v>45643</v>
      </c>
      <c r="I13" s="9">
        <f t="shared" si="3"/>
        <v>62055</v>
      </c>
      <c r="J13" s="5"/>
      <c r="K13" s="5">
        <v>40071</v>
      </c>
      <c r="L13" s="5">
        <v>7988</v>
      </c>
      <c r="M13" s="5">
        <v>7203</v>
      </c>
      <c r="N13" s="5">
        <v>6710</v>
      </c>
      <c r="O13" s="5">
        <v>0</v>
      </c>
      <c r="P13" s="5">
        <v>83</v>
      </c>
      <c r="Q13" s="5"/>
      <c r="R13" s="5">
        <v>-16410</v>
      </c>
    </row>
    <row r="14" spans="1:18" x14ac:dyDescent="0.3">
      <c r="A14" s="41">
        <v>5000</v>
      </c>
      <c r="B14" s="42" t="s">
        <v>388</v>
      </c>
      <c r="C14" s="5">
        <f t="shared" si="2"/>
        <v>423893</v>
      </c>
      <c r="D14" s="5">
        <v>319091</v>
      </c>
      <c r="E14" s="5">
        <v>24485</v>
      </c>
      <c r="F14" s="5">
        <v>3675</v>
      </c>
      <c r="G14" s="5">
        <v>22</v>
      </c>
      <c r="H14" s="5">
        <v>36270</v>
      </c>
      <c r="I14" s="9">
        <f t="shared" si="3"/>
        <v>56634</v>
      </c>
      <c r="J14" s="5"/>
      <c r="K14" s="5">
        <v>37206</v>
      </c>
      <c r="L14" s="5">
        <v>8342</v>
      </c>
      <c r="M14" s="5">
        <v>4676</v>
      </c>
      <c r="N14" s="5">
        <v>6410</v>
      </c>
      <c r="O14" s="5">
        <v>0</v>
      </c>
      <c r="P14" s="5">
        <v>0</v>
      </c>
      <c r="Q14" s="5"/>
      <c r="R14" s="5">
        <v>-16284</v>
      </c>
    </row>
    <row r="15" spans="1:18" x14ac:dyDescent="0.3">
      <c r="A15" s="41">
        <v>5400</v>
      </c>
      <c r="B15" s="42" t="s">
        <v>408</v>
      </c>
      <c r="C15" s="5">
        <f t="shared" si="2"/>
        <v>104370</v>
      </c>
      <c r="D15" s="5">
        <v>75785</v>
      </c>
      <c r="E15" s="5">
        <v>3636</v>
      </c>
      <c r="F15" s="5">
        <v>2491</v>
      </c>
      <c r="G15" s="5">
        <v>31</v>
      </c>
      <c r="H15" s="5">
        <v>10611</v>
      </c>
      <c r="I15" s="9">
        <f t="shared" si="3"/>
        <v>22689</v>
      </c>
      <c r="J15" s="5"/>
      <c r="K15" s="5">
        <v>13039</v>
      </c>
      <c r="L15" s="5">
        <v>2875</v>
      </c>
      <c r="M15" s="5">
        <v>1342</v>
      </c>
      <c r="N15" s="5">
        <v>1784</v>
      </c>
      <c r="O15" s="5">
        <v>0</v>
      </c>
      <c r="P15" s="5">
        <v>3649</v>
      </c>
      <c r="Q15" s="5"/>
      <c r="R15" s="5">
        <v>-10873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4">SUM(C5:C16)</f>
        <v>4382023.1513966471</v>
      </c>
      <c r="D17" s="5">
        <f t="shared" si="4"/>
        <v>3626844</v>
      </c>
      <c r="E17" s="5">
        <f t="shared" si="4"/>
        <v>208489</v>
      </c>
      <c r="F17" s="5">
        <f t="shared" si="4"/>
        <v>48722</v>
      </c>
      <c r="G17" s="5">
        <f t="shared" si="4"/>
        <v>3392</v>
      </c>
      <c r="H17" s="5">
        <f t="shared" si="4"/>
        <v>321772</v>
      </c>
      <c r="I17" s="15">
        <f t="shared" si="4"/>
        <v>507554</v>
      </c>
      <c r="J17" s="5">
        <f t="shared" si="4"/>
        <v>0</v>
      </c>
      <c r="K17" s="5">
        <f t="shared" si="4"/>
        <v>322664</v>
      </c>
      <c r="L17" s="5">
        <f t="shared" si="4"/>
        <v>90694</v>
      </c>
      <c r="M17" s="5">
        <f t="shared" si="4"/>
        <v>35024</v>
      </c>
      <c r="N17" s="5">
        <f t="shared" si="4"/>
        <v>45747</v>
      </c>
      <c r="O17" s="5">
        <f t="shared" si="4"/>
        <v>6222</v>
      </c>
      <c r="P17" s="5">
        <f t="shared" si="4"/>
        <v>7203</v>
      </c>
      <c r="Q17" s="5">
        <f t="shared" si="4"/>
        <v>0</v>
      </c>
      <c r="R17" s="5">
        <f t="shared" si="4"/>
        <v>-334749.84860335279</v>
      </c>
    </row>
    <row r="18" spans="2:18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E5117-6DE4-47E6-AF9D-652EB0852228}">
  <sheetPr>
    <tabColor rgb="FF92D050"/>
  </sheetPr>
  <dimension ref="A1:R20"/>
  <sheetViews>
    <sheetView workbookViewId="0">
      <pane xSplit="2" ySplit="4" topLeftCell="C5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ColWidth="11.44140625" defaultRowHeight="14.4" x14ac:dyDescent="0.3"/>
  <cols>
    <col min="2" max="2" width="13.44140625" customWidth="1"/>
    <col min="9" max="9" width="12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58</v>
      </c>
      <c r="D2" s="22" t="s">
        <v>191</v>
      </c>
      <c r="E2" s="22" t="s">
        <v>192</v>
      </c>
      <c r="F2" s="22" t="s">
        <v>425</v>
      </c>
      <c r="G2" s="22" t="s">
        <v>426</v>
      </c>
      <c r="H2" s="22" t="s">
        <v>193</v>
      </c>
      <c r="I2" s="11" t="s">
        <v>70</v>
      </c>
      <c r="J2" s="22" t="s">
        <v>60</v>
      </c>
      <c r="K2" s="22" t="s">
        <v>194</v>
      </c>
      <c r="L2" s="22" t="s">
        <v>195</v>
      </c>
      <c r="M2" s="22" t="s">
        <v>61</v>
      </c>
      <c r="N2" s="22" t="s">
        <v>196</v>
      </c>
      <c r="O2" s="22" t="s">
        <v>62</v>
      </c>
      <c r="P2" s="22" t="s">
        <v>63</v>
      </c>
      <c r="Q2" s="22" t="s">
        <v>197</v>
      </c>
      <c r="R2" s="22" t="s">
        <v>59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 t="shared" ref="C5:C15" si="1">SUM(D5:I5)+R5</f>
        <v>2392173</v>
      </c>
      <c r="D5" s="5">
        <v>2160166</v>
      </c>
      <c r="E5" s="5">
        <v>433</v>
      </c>
      <c r="F5" s="5">
        <v>23174</v>
      </c>
      <c r="G5" s="5">
        <v>0</v>
      </c>
      <c r="H5" s="5">
        <v>131611</v>
      </c>
      <c r="I5" s="9">
        <f t="shared" ref="I5:I15" si="2">SUM(J5:Q5)</f>
        <v>76789</v>
      </c>
      <c r="J5" s="5"/>
      <c r="K5" s="5">
        <v>73575</v>
      </c>
      <c r="L5" s="5">
        <v>0</v>
      </c>
      <c r="M5" s="5">
        <v>3</v>
      </c>
      <c r="N5" s="5">
        <v>3211</v>
      </c>
      <c r="O5" s="5">
        <v>0</v>
      </c>
      <c r="P5" s="5">
        <v>0</v>
      </c>
      <c r="Q5" s="5"/>
      <c r="R5" s="5">
        <v>0</v>
      </c>
    </row>
    <row r="6" spans="1:18" x14ac:dyDescent="0.3">
      <c r="A6" s="41">
        <v>1100</v>
      </c>
      <c r="B6" s="42" t="s">
        <v>139</v>
      </c>
      <c r="C6" s="5">
        <f t="shared" si="1"/>
        <v>2833636</v>
      </c>
      <c r="D6" s="5">
        <v>2322507</v>
      </c>
      <c r="E6" s="5">
        <v>71987</v>
      </c>
      <c r="F6" s="5">
        <v>4413</v>
      </c>
      <c r="G6" s="5">
        <v>125</v>
      </c>
      <c r="H6" s="5">
        <v>241875</v>
      </c>
      <c r="I6" s="9">
        <f t="shared" si="2"/>
        <v>192729</v>
      </c>
      <c r="J6" s="5"/>
      <c r="K6" s="5">
        <v>130696</v>
      </c>
      <c r="L6" s="5">
        <v>27186</v>
      </c>
      <c r="M6" s="5">
        <v>16285</v>
      </c>
      <c r="N6" s="5">
        <v>13738</v>
      </c>
      <c r="O6" s="5">
        <v>0</v>
      </c>
      <c r="P6" s="5">
        <v>4824</v>
      </c>
      <c r="Q6" s="5"/>
      <c r="R6" s="5">
        <v>0</v>
      </c>
    </row>
    <row r="7" spans="1:18" x14ac:dyDescent="0.3">
      <c r="A7" s="41">
        <v>1500</v>
      </c>
      <c r="B7" s="42" t="s">
        <v>140</v>
      </c>
      <c r="C7" s="5">
        <f t="shared" si="1"/>
        <v>1621048</v>
      </c>
      <c r="D7" s="5">
        <v>1258314</v>
      </c>
      <c r="E7" s="5">
        <v>36660</v>
      </c>
      <c r="F7" s="5">
        <v>22577</v>
      </c>
      <c r="G7" s="5">
        <v>8228</v>
      </c>
      <c r="H7" s="5">
        <v>113479</v>
      </c>
      <c r="I7" s="9">
        <f t="shared" si="2"/>
        <v>181790</v>
      </c>
      <c r="J7" s="5"/>
      <c r="K7" s="5">
        <v>124269</v>
      </c>
      <c r="L7" s="5">
        <v>29301</v>
      </c>
      <c r="M7" s="5">
        <v>14567</v>
      </c>
      <c r="N7" s="5">
        <v>13653</v>
      </c>
      <c r="O7" s="5">
        <v>0</v>
      </c>
      <c r="P7" s="5">
        <v>0</v>
      </c>
      <c r="Q7" s="5"/>
      <c r="R7" s="5">
        <v>0</v>
      </c>
    </row>
    <row r="8" spans="1:18" x14ac:dyDescent="0.3">
      <c r="A8" s="41">
        <v>1800</v>
      </c>
      <c r="B8" s="42" t="s">
        <v>141</v>
      </c>
      <c r="C8" s="5">
        <f t="shared" si="1"/>
        <v>1892941</v>
      </c>
      <c r="D8" s="5">
        <v>1379301</v>
      </c>
      <c r="E8" s="5">
        <v>44869</v>
      </c>
      <c r="F8" s="5">
        <v>15268</v>
      </c>
      <c r="G8" s="5">
        <v>1743</v>
      </c>
      <c r="H8" s="5">
        <v>166486</v>
      </c>
      <c r="I8" s="9">
        <f t="shared" si="2"/>
        <v>285274</v>
      </c>
      <c r="J8" s="5"/>
      <c r="K8" s="5">
        <v>184962</v>
      </c>
      <c r="L8" s="5">
        <v>39625</v>
      </c>
      <c r="M8" s="5">
        <v>28942</v>
      </c>
      <c r="N8" s="5">
        <v>31745</v>
      </c>
      <c r="O8" s="5">
        <v>0</v>
      </c>
      <c r="P8" s="5">
        <v>0</v>
      </c>
      <c r="Q8" s="5"/>
      <c r="R8" s="5">
        <v>0</v>
      </c>
    </row>
    <row r="9" spans="1:18" x14ac:dyDescent="0.3">
      <c r="A9" s="41">
        <v>3000</v>
      </c>
      <c r="B9" s="42" t="s">
        <v>403</v>
      </c>
      <c r="C9" s="5">
        <f t="shared" si="1"/>
        <v>6885107</v>
      </c>
      <c r="D9" s="5">
        <v>5629343</v>
      </c>
      <c r="E9" s="5">
        <v>133790</v>
      </c>
      <c r="F9" s="5">
        <v>44357</v>
      </c>
      <c r="G9" s="5">
        <v>0</v>
      </c>
      <c r="H9" s="5">
        <v>344130</v>
      </c>
      <c r="I9" s="9">
        <f t="shared" si="2"/>
        <v>733487</v>
      </c>
      <c r="J9" s="5"/>
      <c r="K9" s="5">
        <v>512070</v>
      </c>
      <c r="L9" s="5">
        <v>85394</v>
      </c>
      <c r="M9" s="5">
        <v>27200</v>
      </c>
      <c r="N9" s="5">
        <v>68861</v>
      </c>
      <c r="O9" s="5">
        <v>37607</v>
      </c>
      <c r="P9" s="5">
        <v>2355</v>
      </c>
      <c r="Q9" s="5"/>
      <c r="R9" s="5">
        <v>0</v>
      </c>
    </row>
    <row r="10" spans="1:18" x14ac:dyDescent="0.3">
      <c r="A10" s="41">
        <v>3400</v>
      </c>
      <c r="B10" s="42" t="s">
        <v>404</v>
      </c>
      <c r="C10" s="5">
        <f t="shared" si="1"/>
        <v>2395477</v>
      </c>
      <c r="D10" s="5">
        <v>1829285</v>
      </c>
      <c r="E10" s="5">
        <v>94118</v>
      </c>
      <c r="F10" s="5">
        <v>30438</v>
      </c>
      <c r="G10" s="5">
        <v>9768</v>
      </c>
      <c r="H10" s="5">
        <v>150743</v>
      </c>
      <c r="I10" s="9">
        <f t="shared" si="2"/>
        <v>281125</v>
      </c>
      <c r="J10" s="5"/>
      <c r="K10" s="5">
        <v>190935</v>
      </c>
      <c r="L10" s="5">
        <v>29935</v>
      </c>
      <c r="M10" s="5">
        <v>21770</v>
      </c>
      <c r="N10" s="5">
        <v>29701</v>
      </c>
      <c r="O10" s="5">
        <v>0</v>
      </c>
      <c r="P10" s="5">
        <v>8784</v>
      </c>
      <c r="Q10" s="5"/>
      <c r="R10" s="5">
        <v>0</v>
      </c>
    </row>
    <row r="11" spans="1:18" x14ac:dyDescent="0.3">
      <c r="A11" s="41">
        <v>3800</v>
      </c>
      <c r="B11" s="42" t="s">
        <v>405</v>
      </c>
      <c r="C11" s="5">
        <f t="shared" si="1"/>
        <v>2610180</v>
      </c>
      <c r="D11" s="5">
        <v>1969077</v>
      </c>
      <c r="E11" s="5">
        <v>148313</v>
      </c>
      <c r="F11" s="5">
        <v>26573</v>
      </c>
      <c r="G11" s="5">
        <v>0</v>
      </c>
      <c r="H11" s="5">
        <v>156778</v>
      </c>
      <c r="I11" s="9">
        <f t="shared" si="2"/>
        <v>309439</v>
      </c>
      <c r="J11" s="5"/>
      <c r="K11" s="5">
        <v>205775</v>
      </c>
      <c r="L11" s="5">
        <v>53530</v>
      </c>
      <c r="M11" s="5">
        <v>22687</v>
      </c>
      <c r="N11" s="5">
        <v>25411</v>
      </c>
      <c r="O11" s="5">
        <v>1260</v>
      </c>
      <c r="P11" s="5">
        <v>776</v>
      </c>
      <c r="Q11" s="5"/>
      <c r="R11" s="5">
        <v>0</v>
      </c>
    </row>
    <row r="12" spans="1:18" x14ac:dyDescent="0.3">
      <c r="A12" s="41">
        <v>4200</v>
      </c>
      <c r="B12" s="42" t="s">
        <v>406</v>
      </c>
      <c r="C12" s="5">
        <f t="shared" si="1"/>
        <v>2020318</v>
      </c>
      <c r="D12" s="5">
        <v>1608729</v>
      </c>
      <c r="E12" s="5">
        <v>51100</v>
      </c>
      <c r="F12" s="5">
        <v>1422</v>
      </c>
      <c r="G12" s="5">
        <v>451</v>
      </c>
      <c r="H12" s="5">
        <v>121547</v>
      </c>
      <c r="I12" s="9">
        <f t="shared" si="2"/>
        <v>237069</v>
      </c>
      <c r="J12" s="5"/>
      <c r="K12" s="5">
        <v>164207</v>
      </c>
      <c r="L12" s="5">
        <v>56439</v>
      </c>
      <c r="M12" s="5">
        <v>1526</v>
      </c>
      <c r="N12" s="5">
        <v>14165</v>
      </c>
      <c r="O12" s="5">
        <v>0</v>
      </c>
      <c r="P12" s="5">
        <v>732</v>
      </c>
      <c r="Q12" s="5"/>
      <c r="R12" s="5">
        <v>0</v>
      </c>
    </row>
    <row r="13" spans="1:18" x14ac:dyDescent="0.3">
      <c r="A13" s="41">
        <v>4600</v>
      </c>
      <c r="B13" s="42" t="s">
        <v>407</v>
      </c>
      <c r="C13" s="5">
        <f t="shared" si="1"/>
        <v>3616790</v>
      </c>
      <c r="D13" s="5">
        <v>2800585</v>
      </c>
      <c r="E13" s="5">
        <v>48568</v>
      </c>
      <c r="F13" s="5">
        <v>77008</v>
      </c>
      <c r="G13" s="5">
        <v>0</v>
      </c>
      <c r="H13" s="5">
        <v>279316</v>
      </c>
      <c r="I13" s="9">
        <f t="shared" si="2"/>
        <v>411313</v>
      </c>
      <c r="J13" s="5"/>
      <c r="K13" s="5">
        <v>287713</v>
      </c>
      <c r="L13" s="5">
        <v>33383</v>
      </c>
      <c r="M13" s="5">
        <v>45566</v>
      </c>
      <c r="N13" s="5">
        <v>44160</v>
      </c>
      <c r="O13" s="5">
        <v>0</v>
      </c>
      <c r="P13" s="5">
        <v>491</v>
      </c>
      <c r="Q13" s="5"/>
      <c r="R13" s="5">
        <v>0</v>
      </c>
    </row>
    <row r="14" spans="1:18" x14ac:dyDescent="0.3">
      <c r="A14" s="41">
        <v>5000</v>
      </c>
      <c r="B14" s="42" t="s">
        <v>388</v>
      </c>
      <c r="C14" s="5">
        <f t="shared" si="1"/>
        <v>2844292</v>
      </c>
      <c r="D14" s="5">
        <v>2230658</v>
      </c>
      <c r="E14" s="5">
        <v>59591</v>
      </c>
      <c r="F14" s="5">
        <v>21626</v>
      </c>
      <c r="G14" s="5">
        <v>148</v>
      </c>
      <c r="H14" s="5">
        <v>239451</v>
      </c>
      <c r="I14" s="9">
        <f t="shared" si="2"/>
        <v>292818</v>
      </c>
      <c r="J14" s="5"/>
      <c r="K14" s="5">
        <v>190807</v>
      </c>
      <c r="L14" s="5">
        <v>32774</v>
      </c>
      <c r="M14" s="5">
        <v>29801</v>
      </c>
      <c r="N14" s="5">
        <v>39436</v>
      </c>
      <c r="O14" s="5">
        <v>0</v>
      </c>
      <c r="P14" s="5">
        <v>0</v>
      </c>
      <c r="Q14" s="5"/>
      <c r="R14" s="5">
        <v>0</v>
      </c>
    </row>
    <row r="15" spans="1:18" x14ac:dyDescent="0.3">
      <c r="A15" s="41">
        <v>5400</v>
      </c>
      <c r="B15" s="42" t="s">
        <v>408</v>
      </c>
      <c r="C15" s="5">
        <f t="shared" si="1"/>
        <v>2119394</v>
      </c>
      <c r="D15" s="5">
        <v>1443753</v>
      </c>
      <c r="E15" s="5">
        <v>61571</v>
      </c>
      <c r="F15" s="5">
        <v>36693</v>
      </c>
      <c r="G15" s="5">
        <v>508</v>
      </c>
      <c r="H15" s="5">
        <v>228545</v>
      </c>
      <c r="I15" s="9">
        <f t="shared" si="2"/>
        <v>348324</v>
      </c>
      <c r="J15" s="5"/>
      <c r="K15" s="5">
        <v>222884</v>
      </c>
      <c r="L15" s="5">
        <v>22153</v>
      </c>
      <c r="M15" s="5">
        <v>24028</v>
      </c>
      <c r="N15" s="5">
        <v>42654</v>
      </c>
      <c r="O15" s="5">
        <v>0</v>
      </c>
      <c r="P15" s="5">
        <v>36605</v>
      </c>
      <c r="Q15" s="5"/>
      <c r="R15" s="5">
        <v>0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2" t="s">
        <v>3</v>
      </c>
      <c r="C17" s="5">
        <f t="shared" ref="C17:R17" si="3">SUM(C5:C16)</f>
        <v>31231356</v>
      </c>
      <c r="D17" s="5">
        <f t="shared" si="3"/>
        <v>24631718</v>
      </c>
      <c r="E17" s="5">
        <f t="shared" si="3"/>
        <v>751000</v>
      </c>
      <c r="F17" s="5">
        <f t="shared" si="3"/>
        <v>303549</v>
      </c>
      <c r="G17" s="5">
        <f t="shared" si="3"/>
        <v>20971</v>
      </c>
      <c r="H17" s="5">
        <f t="shared" si="3"/>
        <v>2173961</v>
      </c>
      <c r="I17" s="15">
        <f t="shared" si="3"/>
        <v>3350157</v>
      </c>
      <c r="J17" s="5">
        <f t="shared" si="3"/>
        <v>0</v>
      </c>
      <c r="K17" s="5">
        <f t="shared" si="3"/>
        <v>2287893</v>
      </c>
      <c r="L17" s="5">
        <f t="shared" si="3"/>
        <v>409720</v>
      </c>
      <c r="M17" s="5">
        <f t="shared" si="3"/>
        <v>232375</v>
      </c>
      <c r="N17" s="5">
        <f t="shared" si="3"/>
        <v>326735</v>
      </c>
      <c r="O17" s="5">
        <f t="shared" si="3"/>
        <v>38867</v>
      </c>
      <c r="P17" s="5">
        <f t="shared" si="3"/>
        <v>54567</v>
      </c>
      <c r="Q17" s="5">
        <f t="shared" si="3"/>
        <v>0</v>
      </c>
      <c r="R17" s="5">
        <f t="shared" si="3"/>
        <v>0</v>
      </c>
    </row>
    <row r="18" spans="2:18" x14ac:dyDescent="0.3">
      <c r="B18" s="43"/>
      <c r="C18" s="5">
        <f>+C17*1000/'2023 Nto driftsutg'!$V$17</f>
        <v>5663.9533584715136</v>
      </c>
      <c r="D18" s="5">
        <f>+D17*1000/'2023 Nto driftsutg'!$V$17</f>
        <v>4467.0779549572944</v>
      </c>
      <c r="E18" s="5">
        <f>+E17*1000/'2023 Nto driftsutg'!$V$17</f>
        <v>136.19738355939802</v>
      </c>
      <c r="F18" s="5">
        <f>+F17*1000/'2023 Nto driftsutg'!$V$17</f>
        <v>55.050039390241956</v>
      </c>
      <c r="G18" s="5">
        <f>+G17*1000/'2023 Nto driftsutg'!$V$17</f>
        <v>3.8031895214702209</v>
      </c>
      <c r="H18" s="5">
        <f>+H17*1000/'2023 Nto driftsutg'!$V$17</f>
        <v>394.25805613871171</v>
      </c>
      <c r="I18" s="5">
        <f>+I17*1000/'2023 Nto driftsutg'!$V$17</f>
        <v>607.56673490439709</v>
      </c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>
        <f>SUM(D18:H18)</f>
        <v>5056.3866235671157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029A-715C-47F9-B487-3B5FAB5968FA}">
  <sheetPr>
    <tabColor rgb="FF92D050"/>
  </sheetPr>
  <dimension ref="A1:S20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93" x14ac:dyDescent="0.3">
      <c r="A2" s="22" t="s">
        <v>2</v>
      </c>
      <c r="B2" s="22" t="s">
        <v>1</v>
      </c>
      <c r="C2" s="22" t="s">
        <v>91</v>
      </c>
      <c r="D2" s="22" t="s">
        <v>205</v>
      </c>
      <c r="E2" s="22" t="s">
        <v>206</v>
      </c>
      <c r="F2" s="22" t="s">
        <v>429</v>
      </c>
      <c r="G2" s="22" t="s">
        <v>430</v>
      </c>
      <c r="H2" s="22" t="s">
        <v>207</v>
      </c>
      <c r="I2" s="11" t="s">
        <v>92</v>
      </c>
      <c r="J2" s="22" t="s">
        <v>93</v>
      </c>
      <c r="K2" s="22" t="s">
        <v>208</v>
      </c>
      <c r="L2" s="22" t="s">
        <v>209</v>
      </c>
      <c r="M2" s="22" t="s">
        <v>94</v>
      </c>
      <c r="N2" s="22" t="s">
        <v>210</v>
      </c>
      <c r="O2" s="22" t="s">
        <v>95</v>
      </c>
      <c r="P2" s="22" t="s">
        <v>96</v>
      </c>
      <c r="Q2" s="22" t="s">
        <v>211</v>
      </c>
      <c r="R2" s="22" t="s">
        <v>105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19"/>
    </row>
    <row r="5" spans="1:18" x14ac:dyDescent="0.3">
      <c r="A5" s="41">
        <v>300</v>
      </c>
      <c r="B5" s="42" t="s">
        <v>0</v>
      </c>
      <c r="C5" s="5">
        <f>SUM(D5:I5)+R5</f>
        <v>86277.569099609216</v>
      </c>
      <c r="D5" s="5">
        <v>328284</v>
      </c>
      <c r="E5" s="5">
        <v>72</v>
      </c>
      <c r="F5" s="5">
        <v>6151</v>
      </c>
      <c r="G5" s="5">
        <v>0</v>
      </c>
      <c r="H5" s="5">
        <v>57961</v>
      </c>
      <c r="I5" s="9">
        <f t="shared" ref="I5:I15" si="1">SUM(J5:Q5)</f>
        <v>43202</v>
      </c>
      <c r="J5" s="5"/>
      <c r="K5" s="5">
        <v>41941</v>
      </c>
      <c r="L5" s="5">
        <v>0</v>
      </c>
      <c r="M5" s="5">
        <v>0</v>
      </c>
      <c r="N5" s="5">
        <v>1261</v>
      </c>
      <c r="O5" s="5">
        <v>0</v>
      </c>
      <c r="P5" s="5">
        <v>0</v>
      </c>
      <c r="Q5" s="5"/>
      <c r="R5" s="118">
        <v>-349392.43090039078</v>
      </c>
    </row>
    <row r="6" spans="1:18" x14ac:dyDescent="0.3">
      <c r="A6" s="41">
        <v>1100</v>
      </c>
      <c r="B6" s="42" t="s">
        <v>139</v>
      </c>
      <c r="C6" s="5">
        <f t="shared" ref="C6:C15" si="2">SUM(D6:I6)+R6</f>
        <v>269293</v>
      </c>
      <c r="D6" s="5">
        <v>374398</v>
      </c>
      <c r="E6" s="5">
        <v>18345</v>
      </c>
      <c r="F6" s="5">
        <v>1289</v>
      </c>
      <c r="G6" s="5">
        <v>25</v>
      </c>
      <c r="H6" s="5">
        <v>61909</v>
      </c>
      <c r="I6" s="9">
        <f t="shared" si="1"/>
        <v>52413</v>
      </c>
      <c r="J6" s="5"/>
      <c r="K6" s="5">
        <v>29800</v>
      </c>
      <c r="L6" s="5">
        <v>13041</v>
      </c>
      <c r="M6" s="5">
        <v>4439</v>
      </c>
      <c r="N6" s="5">
        <v>3851</v>
      </c>
      <c r="O6" s="5">
        <v>0</v>
      </c>
      <c r="P6" s="5">
        <v>1282</v>
      </c>
      <c r="Q6" s="5"/>
      <c r="R6" s="5">
        <v>-239086</v>
      </c>
    </row>
    <row r="7" spans="1:18" x14ac:dyDescent="0.3">
      <c r="A7" s="41">
        <v>1500</v>
      </c>
      <c r="B7" s="42" t="s">
        <v>140</v>
      </c>
      <c r="C7" s="5">
        <f t="shared" si="2"/>
        <v>171153</v>
      </c>
      <c r="D7" s="5">
        <v>216646</v>
      </c>
      <c r="E7" s="5">
        <v>27191</v>
      </c>
      <c r="F7" s="5">
        <v>7521</v>
      </c>
      <c r="G7" s="5">
        <v>2328</v>
      </c>
      <c r="H7" s="5">
        <v>33161</v>
      </c>
      <c r="I7" s="9">
        <f t="shared" si="1"/>
        <v>49600</v>
      </c>
      <c r="J7" s="5"/>
      <c r="K7" s="5">
        <v>30781</v>
      </c>
      <c r="L7" s="5">
        <v>10795</v>
      </c>
      <c r="M7" s="5">
        <v>3903</v>
      </c>
      <c r="N7" s="5">
        <v>4121</v>
      </c>
      <c r="O7" s="5">
        <v>0</v>
      </c>
      <c r="P7" s="5">
        <v>0</v>
      </c>
      <c r="Q7" s="5"/>
      <c r="R7" s="5">
        <v>-165294</v>
      </c>
    </row>
    <row r="8" spans="1:18" x14ac:dyDescent="0.3">
      <c r="A8" s="41">
        <v>1800</v>
      </c>
      <c r="B8" s="42" t="s">
        <v>141</v>
      </c>
      <c r="C8" s="5">
        <f t="shared" si="2"/>
        <v>214112</v>
      </c>
      <c r="D8" s="5">
        <v>235282</v>
      </c>
      <c r="E8" s="5">
        <v>25596</v>
      </c>
      <c r="F8" s="5">
        <v>5319</v>
      </c>
      <c r="G8" s="5">
        <v>571</v>
      </c>
      <c r="H8" s="5">
        <v>53757</v>
      </c>
      <c r="I8" s="9">
        <f t="shared" si="1"/>
        <v>88650</v>
      </c>
      <c r="J8" s="5"/>
      <c r="K8" s="5">
        <v>55521</v>
      </c>
      <c r="L8" s="5">
        <v>14150</v>
      </c>
      <c r="M8" s="5">
        <v>8836</v>
      </c>
      <c r="N8" s="5">
        <v>10143</v>
      </c>
      <c r="O8" s="5">
        <v>0</v>
      </c>
      <c r="P8" s="5">
        <v>0</v>
      </c>
      <c r="Q8" s="5"/>
      <c r="R8" s="5">
        <v>-195063</v>
      </c>
    </row>
    <row r="9" spans="1:18" x14ac:dyDescent="0.3">
      <c r="A9" s="41">
        <v>3000</v>
      </c>
      <c r="B9" s="42" t="s">
        <v>403</v>
      </c>
      <c r="C9" s="5">
        <f t="shared" si="2"/>
        <v>744573</v>
      </c>
      <c r="D9" s="5">
        <v>664637</v>
      </c>
      <c r="E9" s="5">
        <v>27182</v>
      </c>
      <c r="F9" s="5">
        <v>8578</v>
      </c>
      <c r="G9" s="5">
        <v>0</v>
      </c>
      <c r="H9" s="5">
        <v>39465</v>
      </c>
      <c r="I9" s="9">
        <f t="shared" si="1"/>
        <v>557232</v>
      </c>
      <c r="J9" s="5"/>
      <c r="K9" s="5">
        <v>529712</v>
      </c>
      <c r="L9" s="5">
        <v>12584</v>
      </c>
      <c r="M9" s="5">
        <v>3114</v>
      </c>
      <c r="N9" s="5">
        <v>7397</v>
      </c>
      <c r="O9" s="5">
        <v>4160</v>
      </c>
      <c r="P9" s="5">
        <v>265</v>
      </c>
      <c r="Q9" s="5"/>
      <c r="R9" s="5">
        <v>-552521</v>
      </c>
    </row>
    <row r="10" spans="1:18" x14ac:dyDescent="0.3">
      <c r="A10" s="41">
        <v>3400</v>
      </c>
      <c r="B10" s="42" t="s">
        <v>404</v>
      </c>
      <c r="C10" s="5">
        <f t="shared" si="2"/>
        <v>239943</v>
      </c>
      <c r="D10" s="5">
        <v>303766</v>
      </c>
      <c r="E10" s="5">
        <v>34664</v>
      </c>
      <c r="F10" s="5">
        <v>11182</v>
      </c>
      <c r="G10" s="5">
        <v>861</v>
      </c>
      <c r="H10" s="5">
        <v>49303</v>
      </c>
      <c r="I10" s="9">
        <f t="shared" si="1"/>
        <v>82329</v>
      </c>
      <c r="J10" s="5"/>
      <c r="K10" s="5">
        <v>47979</v>
      </c>
      <c r="L10" s="5">
        <v>19155</v>
      </c>
      <c r="M10" s="5">
        <v>7125</v>
      </c>
      <c r="N10" s="5">
        <v>3131</v>
      </c>
      <c r="O10" s="5">
        <v>0</v>
      </c>
      <c r="P10" s="5">
        <v>4939</v>
      </c>
      <c r="Q10" s="5"/>
      <c r="R10" s="5">
        <v>-242162</v>
      </c>
    </row>
    <row r="11" spans="1:18" x14ac:dyDescent="0.3">
      <c r="A11" s="41">
        <v>3800</v>
      </c>
      <c r="B11" s="42" t="s">
        <v>405</v>
      </c>
      <c r="C11" s="5">
        <f t="shared" si="2"/>
        <v>289880</v>
      </c>
      <c r="D11" s="5">
        <v>364727</v>
      </c>
      <c r="E11" s="5">
        <v>42909</v>
      </c>
      <c r="F11" s="5">
        <v>7768</v>
      </c>
      <c r="G11" s="5">
        <v>0</v>
      </c>
      <c r="H11" s="5">
        <v>51142</v>
      </c>
      <c r="I11" s="9">
        <f t="shared" si="1"/>
        <v>89272</v>
      </c>
      <c r="J11" s="5"/>
      <c r="K11" s="5">
        <v>56911</v>
      </c>
      <c r="L11" s="5">
        <v>17512</v>
      </c>
      <c r="M11" s="5">
        <v>6819</v>
      </c>
      <c r="N11" s="5">
        <v>7681</v>
      </c>
      <c r="O11" s="5">
        <v>210</v>
      </c>
      <c r="P11" s="5">
        <v>139</v>
      </c>
      <c r="Q11" s="5"/>
      <c r="R11" s="5">
        <v>-265938</v>
      </c>
    </row>
    <row r="12" spans="1:18" x14ac:dyDescent="0.3">
      <c r="A12" s="41">
        <v>4200</v>
      </c>
      <c r="B12" s="42" t="s">
        <v>406</v>
      </c>
      <c r="C12" s="5">
        <f t="shared" si="2"/>
        <v>172505</v>
      </c>
      <c r="D12" s="5">
        <v>242929</v>
      </c>
      <c r="E12" s="5">
        <v>21243</v>
      </c>
      <c r="F12" s="5">
        <v>285</v>
      </c>
      <c r="G12" s="5">
        <v>76</v>
      </c>
      <c r="H12" s="5">
        <v>32614</v>
      </c>
      <c r="I12" s="9">
        <f t="shared" si="1"/>
        <v>98825</v>
      </c>
      <c r="J12" s="5"/>
      <c r="K12" s="5">
        <v>78381</v>
      </c>
      <c r="L12" s="5">
        <v>16610</v>
      </c>
      <c r="M12" s="5">
        <v>369</v>
      </c>
      <c r="N12" s="5">
        <v>3334</v>
      </c>
      <c r="O12" s="5">
        <v>0</v>
      </c>
      <c r="P12" s="5">
        <v>131</v>
      </c>
      <c r="Q12" s="5"/>
      <c r="R12" s="5">
        <v>-223467</v>
      </c>
    </row>
    <row r="13" spans="1:18" x14ac:dyDescent="0.3">
      <c r="A13" s="41">
        <v>4600</v>
      </c>
      <c r="B13" s="42" t="s">
        <v>407</v>
      </c>
      <c r="C13" s="5">
        <f t="shared" si="2"/>
        <v>366287</v>
      </c>
      <c r="D13" s="5">
        <v>327696</v>
      </c>
      <c r="E13" s="5">
        <v>44692</v>
      </c>
      <c r="F13" s="5">
        <v>13339</v>
      </c>
      <c r="G13" s="5">
        <v>0</v>
      </c>
      <c r="H13" s="5">
        <v>52737</v>
      </c>
      <c r="I13" s="9">
        <f t="shared" si="1"/>
        <v>40414</v>
      </c>
      <c r="J13" s="5"/>
      <c r="K13" s="5">
        <v>14806</v>
      </c>
      <c r="L13" s="5">
        <v>9167</v>
      </c>
      <c r="M13" s="5">
        <v>8127</v>
      </c>
      <c r="N13" s="5">
        <v>8219</v>
      </c>
      <c r="O13" s="5">
        <v>0</v>
      </c>
      <c r="P13" s="5">
        <v>95</v>
      </c>
      <c r="Q13" s="5"/>
      <c r="R13" s="5">
        <v>-112591</v>
      </c>
    </row>
    <row r="14" spans="1:18" x14ac:dyDescent="0.3">
      <c r="A14" s="41">
        <v>5000</v>
      </c>
      <c r="B14" s="42" t="s">
        <v>388</v>
      </c>
      <c r="C14" s="5">
        <f t="shared" si="2"/>
        <v>324559</v>
      </c>
      <c r="D14" s="5">
        <v>311479</v>
      </c>
      <c r="E14" s="5">
        <v>24699</v>
      </c>
      <c r="F14" s="5">
        <v>3995</v>
      </c>
      <c r="G14" s="5">
        <v>22</v>
      </c>
      <c r="H14" s="5">
        <v>41844</v>
      </c>
      <c r="I14" s="9">
        <f t="shared" si="1"/>
        <v>57976</v>
      </c>
      <c r="J14" s="5"/>
      <c r="K14" s="5">
        <v>37515</v>
      </c>
      <c r="L14" s="5">
        <v>9046</v>
      </c>
      <c r="M14" s="5">
        <v>5027</v>
      </c>
      <c r="N14" s="5">
        <v>6388</v>
      </c>
      <c r="O14" s="5">
        <v>0</v>
      </c>
      <c r="P14" s="5">
        <v>0</v>
      </c>
      <c r="Q14" s="5"/>
      <c r="R14" s="5">
        <v>-115456</v>
      </c>
    </row>
    <row r="15" spans="1:18" x14ac:dyDescent="0.3">
      <c r="A15" s="41">
        <v>5400</v>
      </c>
      <c r="B15" s="42" t="s">
        <v>408</v>
      </c>
      <c r="C15" s="5">
        <f t="shared" si="2"/>
        <v>230474</v>
      </c>
      <c r="D15" s="5">
        <v>336651</v>
      </c>
      <c r="E15" s="5">
        <v>16768</v>
      </c>
      <c r="F15" s="5">
        <v>7737</v>
      </c>
      <c r="G15" s="5">
        <v>110</v>
      </c>
      <c r="H15" s="5">
        <v>51072</v>
      </c>
      <c r="I15" s="9">
        <f t="shared" si="1"/>
        <v>74064</v>
      </c>
      <c r="J15" s="5"/>
      <c r="K15" s="5">
        <v>40675</v>
      </c>
      <c r="L15" s="5">
        <v>10226</v>
      </c>
      <c r="M15" s="5">
        <v>5288</v>
      </c>
      <c r="N15" s="5">
        <v>9236</v>
      </c>
      <c r="O15" s="5">
        <v>0</v>
      </c>
      <c r="P15" s="5">
        <v>8639</v>
      </c>
      <c r="Q15" s="5"/>
      <c r="R15" s="5">
        <v>-255928</v>
      </c>
    </row>
    <row r="16" spans="1:18" x14ac:dyDescent="0.3">
      <c r="B16" s="43"/>
      <c r="C16" s="5"/>
      <c r="D16" s="5"/>
      <c r="E16" s="5"/>
      <c r="F16" s="5"/>
      <c r="G16" s="5"/>
      <c r="H16" s="5"/>
      <c r="I16" s="9"/>
      <c r="J16" s="5"/>
      <c r="K16" s="5"/>
      <c r="L16" s="5"/>
      <c r="M16" s="5"/>
      <c r="N16" s="5"/>
      <c r="O16" s="5"/>
      <c r="P16" s="5"/>
      <c r="Q16" s="5"/>
    </row>
    <row r="17" spans="2:19" x14ac:dyDescent="0.3">
      <c r="B17" s="42" t="s">
        <v>3</v>
      </c>
      <c r="C17" s="5">
        <f t="shared" ref="C17:R17" si="3">SUM(C5:C16)</f>
        <v>3109056.5690996093</v>
      </c>
      <c r="D17" s="5">
        <f t="shared" si="3"/>
        <v>3706495</v>
      </c>
      <c r="E17" s="5">
        <f t="shared" si="3"/>
        <v>283361</v>
      </c>
      <c r="F17" s="5">
        <f t="shared" si="3"/>
        <v>73164</v>
      </c>
      <c r="G17" s="5">
        <f t="shared" si="3"/>
        <v>3993</v>
      </c>
      <c r="H17" s="5">
        <f t="shared" si="3"/>
        <v>524965</v>
      </c>
      <c r="I17" s="15">
        <f t="shared" si="3"/>
        <v>1233977</v>
      </c>
      <c r="J17" s="5">
        <f t="shared" si="3"/>
        <v>0</v>
      </c>
      <c r="K17" s="5">
        <f t="shared" si="3"/>
        <v>964022</v>
      </c>
      <c r="L17" s="5">
        <f t="shared" si="3"/>
        <v>132286</v>
      </c>
      <c r="M17" s="5">
        <f t="shared" si="3"/>
        <v>53047</v>
      </c>
      <c r="N17" s="5">
        <f t="shared" si="3"/>
        <v>64762</v>
      </c>
      <c r="O17" s="5">
        <f t="shared" si="3"/>
        <v>4370</v>
      </c>
      <c r="P17" s="5">
        <f t="shared" si="3"/>
        <v>15490</v>
      </c>
      <c r="Q17" s="5">
        <f t="shared" si="3"/>
        <v>0</v>
      </c>
      <c r="R17" s="5">
        <f t="shared" si="3"/>
        <v>-2716898.4309003907</v>
      </c>
      <c r="S17" s="113"/>
    </row>
    <row r="18" spans="2:19" x14ac:dyDescent="0.3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9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9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sheet="1" objects="1" scenarios="1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514A-4CA3-4458-9C78-831A0623DF36}">
  <dimension ref="A2:AE17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6.109375" customWidth="1"/>
    <col min="2" max="2" width="17.88671875" bestFit="1" customWidth="1"/>
    <col min="3" max="3" width="12" customWidth="1"/>
    <col min="4" max="9" width="17.88671875" customWidth="1"/>
    <col min="10" max="10" width="14.44140625" customWidth="1"/>
    <col min="11" max="11" width="14.109375" customWidth="1"/>
    <col min="12" max="12" width="15.44140625" customWidth="1"/>
    <col min="13" max="13" width="14.44140625" customWidth="1"/>
    <col min="14" max="14" width="15.109375" customWidth="1"/>
    <col min="15" max="15" width="15.44140625" customWidth="1"/>
    <col min="16" max="16" width="14.44140625" customWidth="1"/>
    <col min="17" max="17" width="13.44140625" customWidth="1"/>
    <col min="18" max="21" width="15.44140625" customWidth="1"/>
    <col min="22" max="22" width="14.44140625" customWidth="1"/>
    <col min="23" max="23" width="13.44140625" customWidth="1"/>
    <col min="24" max="24" width="15.44140625" customWidth="1"/>
    <col min="26" max="30" width="13.5546875" customWidth="1"/>
  </cols>
  <sheetData>
    <row r="2" spans="1:30" ht="40.200000000000003" x14ac:dyDescent="0.3">
      <c r="A2" s="22" t="s">
        <v>2</v>
      </c>
      <c r="B2" s="22" t="s">
        <v>1</v>
      </c>
      <c r="C2" s="22" t="s">
        <v>411</v>
      </c>
      <c r="D2" s="22" t="s">
        <v>212</v>
      </c>
      <c r="E2" s="22" t="s">
        <v>213</v>
      </c>
      <c r="F2" s="22" t="s">
        <v>431</v>
      </c>
      <c r="G2" s="22" t="s">
        <v>432</v>
      </c>
      <c r="H2" s="22" t="s">
        <v>214</v>
      </c>
      <c r="I2" s="22" t="s">
        <v>131</v>
      </c>
      <c r="J2" s="22" t="s">
        <v>215</v>
      </c>
      <c r="K2" s="22" t="s">
        <v>216</v>
      </c>
      <c r="L2" s="22" t="s">
        <v>217</v>
      </c>
      <c r="M2" s="22" t="s">
        <v>218</v>
      </c>
      <c r="N2" s="22" t="s">
        <v>219</v>
      </c>
      <c r="O2" s="22" t="s">
        <v>220</v>
      </c>
      <c r="P2" s="22" t="s">
        <v>433</v>
      </c>
      <c r="Q2" s="22" t="s">
        <v>434</v>
      </c>
      <c r="R2" s="22" t="s">
        <v>435</v>
      </c>
      <c r="S2" s="22" t="s">
        <v>436</v>
      </c>
      <c r="T2" s="22" t="s">
        <v>437</v>
      </c>
      <c r="U2" s="22" t="s">
        <v>438</v>
      </c>
      <c r="V2" s="22" t="s">
        <v>221</v>
      </c>
      <c r="W2" s="22" t="s">
        <v>222</v>
      </c>
      <c r="X2" s="22" t="s">
        <v>223</v>
      </c>
      <c r="Y2" s="22"/>
      <c r="Z2" s="22" t="s">
        <v>224</v>
      </c>
      <c r="AA2" s="22" t="s">
        <v>225</v>
      </c>
      <c r="AB2" s="22" t="s">
        <v>439</v>
      </c>
      <c r="AC2" s="22" t="s">
        <v>440</v>
      </c>
      <c r="AD2" s="22" t="s">
        <v>226</v>
      </c>
    </row>
    <row r="3" spans="1:30" x14ac:dyDescent="0.3">
      <c r="A3" s="107">
        <v>1</v>
      </c>
      <c r="B3" s="107">
        <f>+A3+1</f>
        <v>2</v>
      </c>
      <c r="C3" s="107">
        <f t="shared" ref="C3:AD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</row>
    <row r="5" spans="1:30" x14ac:dyDescent="0.3">
      <c r="A5" s="41">
        <v>300</v>
      </c>
      <c r="B5" s="42" t="s">
        <v>0</v>
      </c>
      <c r="C5" s="42">
        <f>+'2023 Nto driftsutg'!W5</f>
        <v>711918</v>
      </c>
      <c r="D5" s="3">
        <f>+'2023 Grunnlag korreksjoner'!D5</f>
        <v>0.71053058348772868</v>
      </c>
      <c r="E5" s="3">
        <f>+'2023 Grunnlag korreksjoner'!E5</f>
        <v>0.21462039411895759</v>
      </c>
      <c r="F5" s="3">
        <f>+'2023 Grunnlag korreksjoner'!F5</f>
        <v>1.5114284535122655</v>
      </c>
      <c r="G5" s="3">
        <f>+'2023 Grunnlag korreksjoner'!G5</f>
        <v>0</v>
      </c>
      <c r="H5" s="3">
        <f>+'2023 Grunnlag korreksjoner'!H5</f>
        <v>0.80830409059491792</v>
      </c>
      <c r="I5" s="2">
        <v>0.72711853063315557</v>
      </c>
      <c r="J5" s="5">
        <f>(D5-1)*'[2]2023 Nto driftsutg landet'!$C$5*C5</f>
        <v>-1457859278.0857313</v>
      </c>
      <c r="K5" s="5">
        <f>+J5-$J$17*C5/$C$17</f>
        <v>-1457859278.0857313</v>
      </c>
      <c r="L5" s="5">
        <f t="shared" ref="L5:L15" si="1">+K5/C5</f>
        <v>-2047.7910069498612</v>
      </c>
      <c r="M5" s="5">
        <f>(E5-1)*'[2]2023 Nto driftsutg landet'!$C$6*$C5</f>
        <v>-1125323704.306397</v>
      </c>
      <c r="N5" s="5">
        <f t="shared" ref="N5:N15" si="2">+M5-$M$17*$C5/$C$17</f>
        <v>-1125323704.306397</v>
      </c>
      <c r="O5" s="5">
        <f>+N5/$C5</f>
        <v>-1580.6928667436375</v>
      </c>
      <c r="P5" s="5">
        <f>(F5-1)*'[2]2023 Nto driftsutg landet'!$C$7*$C5</f>
        <v>1063725450.2903917</v>
      </c>
      <c r="Q5" s="5">
        <f t="shared" ref="Q5:Q15" si="3">+P5-$P$17*$C5/$C$17</f>
        <v>1063725450.2903917</v>
      </c>
      <c r="R5" s="5">
        <f>+Q5/$C5</f>
        <v>1494.1685001508483</v>
      </c>
      <c r="S5" s="5">
        <f>(G5-1)*'[2]2023 Nto driftsutg landet'!$C$8*$C5</f>
        <v>-536111286.78743923</v>
      </c>
      <c r="T5" s="5">
        <f>+S5-$S$17*$C5/$C$17</f>
        <v>-536111286.78743923</v>
      </c>
      <c r="U5" s="5">
        <f>+T5/$C5</f>
        <v>-753.05201833278443</v>
      </c>
      <c r="V5" s="5">
        <f>(H5-1)*'[2]2023 Nto driftsutg landet'!$C$9*$C5</f>
        <v>-84800824.565524995</v>
      </c>
      <c r="W5" s="5">
        <f t="shared" ref="W5:W15" si="4">+V5-$V$17*$C5/$C$17</f>
        <v>-84800824.56552498</v>
      </c>
      <c r="X5" s="5">
        <f>+W5/$C5</f>
        <v>-119.11600010889595</v>
      </c>
      <c r="Z5" s="2">
        <f>1+L5/'[2]2023 Nto driftsutg landet'!$C$5</f>
        <v>0.71053058348772868</v>
      </c>
      <c r="AA5" s="2">
        <f>1+O5/'[2]2023 Nto driftsutg landet'!$C$6</f>
        <v>0.21462039411895761</v>
      </c>
      <c r="AB5" s="2">
        <f>1+R5/'[2]2023 Nto driftsutg landet'!$C$7</f>
        <v>1.5114284535122655</v>
      </c>
      <c r="AC5" s="2">
        <f>1+U5/'[2]2023 Nto driftsutg landet'!$C$8</f>
        <v>0</v>
      </c>
      <c r="AD5" s="2">
        <f>1+X5/'[2]2023 Nto driftsutg landet'!$C$9</f>
        <v>0.80830409059491792</v>
      </c>
    </row>
    <row r="6" spans="1:30" x14ac:dyDescent="0.3">
      <c r="A6" s="41">
        <v>1100</v>
      </c>
      <c r="B6" s="42" t="s">
        <v>139</v>
      </c>
      <c r="C6" s="42">
        <f>+'2023 Nto driftsutg'!W6</f>
        <v>495545</v>
      </c>
      <c r="D6" s="3">
        <f>+'2023 Grunnlag korreksjoner'!D6</f>
        <v>1.0774887931615929</v>
      </c>
      <c r="E6" s="3">
        <f>+'2023 Grunnlag korreksjoner'!E6</f>
        <v>0.79939004925414059</v>
      </c>
      <c r="F6" s="3">
        <f>+'2023 Grunnlag korreksjoner'!F6</f>
        <v>0.9424851409192746</v>
      </c>
      <c r="G6" s="3">
        <f>+'2023 Grunnlag korreksjoner'!G6</f>
        <v>0.64870346692722514</v>
      </c>
      <c r="H6" s="3">
        <f>+'2023 Grunnlag korreksjoner'!H6</f>
        <v>1.0173396804533479</v>
      </c>
      <c r="I6" s="2">
        <v>0.96871128833669684</v>
      </c>
      <c r="J6" s="5">
        <f>(D6-1)*'[2]2023 Nto driftsutg landet'!$C$5*C6</f>
        <v>271647017.60798842</v>
      </c>
      <c r="K6" s="5">
        <f t="shared" ref="K6:K15" si="5">+J6-$J$17*C6/$C$17</f>
        <v>271647017.60798842</v>
      </c>
      <c r="L6" s="5">
        <f t="shared" si="1"/>
        <v>548.17830390375934</v>
      </c>
      <c r="M6" s="5">
        <f>(E6-1)*'[2]2023 Nto driftsutg landet'!$C$6*$C6</f>
        <v>-200079891.66625452</v>
      </c>
      <c r="N6" s="5">
        <f t="shared" si="2"/>
        <v>-200079891.66625452</v>
      </c>
      <c r="O6" s="5">
        <f t="shared" ref="O6:O15" si="6">+N6/$C6</f>
        <v>-403.75726052377587</v>
      </c>
      <c r="P6" s="5">
        <f>(F6-1)*'[2]2023 Nto driftsutg landet'!$C$7*$C6</f>
        <v>-83267945.347702995</v>
      </c>
      <c r="Q6" s="5">
        <f t="shared" si="3"/>
        <v>-83267945.347702995</v>
      </c>
      <c r="R6" s="5">
        <f t="shared" ref="R6:R15" si="7">+Q6/$C6</f>
        <v>-168.03306530729398</v>
      </c>
      <c r="S6" s="5">
        <f>(G6-1)*'[2]2023 Nto driftsutg landet'!$C$8*$C6</f>
        <v>-131093735.60254137</v>
      </c>
      <c r="T6" s="5">
        <f t="shared" ref="T6:T15" si="8">+S6-$S$17*$C6/$C$17</f>
        <v>-131093735.60254137</v>
      </c>
      <c r="U6" s="5">
        <f t="shared" ref="U6:U15" si="9">+T6/$C6</f>
        <v>-264.54456326376288</v>
      </c>
      <c r="V6" s="5">
        <f>(H6-1)*'[2]2023 Nto driftsutg landet'!$C$9*$C6</f>
        <v>5339264.60329076</v>
      </c>
      <c r="W6" s="5">
        <f t="shared" si="4"/>
        <v>5339264.6032907674</v>
      </c>
      <c r="X6" s="5">
        <f t="shared" ref="X6:X15" si="10">+W6/$C6</f>
        <v>10.774530271298808</v>
      </c>
      <c r="Z6" s="2">
        <f>1+L6/'[2]2023 Nto driftsutg landet'!$C$5</f>
        <v>1.0774887931615929</v>
      </c>
      <c r="AA6" s="2">
        <f>1+O6/'[2]2023 Nto driftsutg landet'!$C$6</f>
        <v>0.79939004925414059</v>
      </c>
      <c r="AB6" s="2">
        <f>1+R6/'[2]2023 Nto driftsutg landet'!$C$7</f>
        <v>0.9424851409192746</v>
      </c>
      <c r="AC6" s="2">
        <f>1+U6/'[2]2023 Nto driftsutg landet'!$C$8</f>
        <v>0.64870346692722514</v>
      </c>
      <c r="AD6" s="2">
        <f>1+X6/'[2]2023 Nto driftsutg landet'!$C$9</f>
        <v>1.0173396804533479</v>
      </c>
    </row>
    <row r="7" spans="1:30" x14ac:dyDescent="0.3">
      <c r="A7" s="41">
        <v>1500</v>
      </c>
      <c r="B7" s="42" t="s">
        <v>140</v>
      </c>
      <c r="C7" s="42">
        <f>+'2023 Nto driftsutg'!W7</f>
        <v>269164</v>
      </c>
      <c r="D7" s="3">
        <f>+'2023 Grunnlag korreksjoner'!D7</f>
        <v>1.0989358133062832</v>
      </c>
      <c r="E7" s="3">
        <f>+'2023 Grunnlag korreksjoner'!E7</f>
        <v>1.5552146008066416</v>
      </c>
      <c r="F7" s="3">
        <f>+'2023 Grunnlag korreksjoner'!F7</f>
        <v>1.0728168111973642</v>
      </c>
      <c r="G7" s="3">
        <f>+'2023 Grunnlag korreksjoner'!G7</f>
        <v>3.6508681383265915</v>
      </c>
      <c r="H7" s="3">
        <f>+'2023 Grunnlag korreksjoner'!H7</f>
        <v>1.0804828658338601</v>
      </c>
      <c r="I7" s="2">
        <v>1.3275293243605546</v>
      </c>
      <c r="J7" s="5">
        <f>(D7-1)*'[2]2023 Nto driftsutg landet'!$C$5*C7</f>
        <v>188388092.01440051</v>
      </c>
      <c r="K7" s="5">
        <f t="shared" si="5"/>
        <v>188388092.01440048</v>
      </c>
      <c r="L7" s="5">
        <f t="shared" si="1"/>
        <v>699.9007743026574</v>
      </c>
      <c r="M7" s="5">
        <f>(E7-1)*'[2]2023 Nto driftsutg landet'!$C$6*$C7</f>
        <v>300777763.6450789</v>
      </c>
      <c r="N7" s="5">
        <f t="shared" si="2"/>
        <v>300777763.6450789</v>
      </c>
      <c r="O7" s="5">
        <f t="shared" si="6"/>
        <v>1117.4516786980387</v>
      </c>
      <c r="P7" s="5">
        <f>(F7-1)*'[2]2023 Nto driftsutg landet'!$C$7*$C7</f>
        <v>57261579.041853137</v>
      </c>
      <c r="Q7" s="5">
        <f t="shared" si="3"/>
        <v>57261579.041853137</v>
      </c>
      <c r="R7" s="5">
        <f t="shared" si="7"/>
        <v>212.73862419139684</v>
      </c>
      <c r="S7" s="5">
        <f>(G7-1)*'[2]2023 Nto driftsutg landet'!$C$8*$C7</f>
        <v>537316374.53405666</v>
      </c>
      <c r="T7" s="5">
        <f t="shared" si="8"/>
        <v>537316374.53405666</v>
      </c>
      <c r="U7" s="5">
        <f t="shared" si="9"/>
        <v>1996.2416019009104</v>
      </c>
      <c r="V7" s="5">
        <f>(H7-1)*'[2]2023 Nto driftsutg landet'!$C$9*$C7</f>
        <v>13461010.46514789</v>
      </c>
      <c r="W7" s="5">
        <f t="shared" si="4"/>
        <v>13461010.465147894</v>
      </c>
      <c r="X7" s="5">
        <f t="shared" si="10"/>
        <v>50.010441460031409</v>
      </c>
      <c r="Z7" s="2">
        <f>1+L7/'[2]2023 Nto driftsutg landet'!$C$5</f>
        <v>1.0989358133062832</v>
      </c>
      <c r="AA7" s="2">
        <f>1+O7/'[2]2023 Nto driftsutg landet'!$C$6</f>
        <v>1.5552146008066416</v>
      </c>
      <c r="AB7" s="2">
        <f>1+R7/'[2]2023 Nto driftsutg landet'!$C$7</f>
        <v>1.0728168111973642</v>
      </c>
      <c r="AC7" s="2">
        <f>1+U7/'[2]2023 Nto driftsutg landet'!$C$8</f>
        <v>3.6508681383265915</v>
      </c>
      <c r="AD7" s="2">
        <f>1+X7/'[2]2023 Nto driftsutg landet'!$C$9</f>
        <v>1.0804828658338601</v>
      </c>
    </row>
    <row r="8" spans="1:30" x14ac:dyDescent="0.3">
      <c r="A8" s="41">
        <v>1800</v>
      </c>
      <c r="B8" s="42" t="s">
        <v>141</v>
      </c>
      <c r="C8" s="42">
        <f>+'2023 Nto driftsutg'!W8</f>
        <v>241960</v>
      </c>
      <c r="D8" s="3">
        <f>+'2023 Grunnlag korreksjoner'!D8</f>
        <v>1.0853378047755211</v>
      </c>
      <c r="E8" s="3">
        <f>+'2023 Grunnlag korreksjoner'!E8</f>
        <v>1.9381931214813777</v>
      </c>
      <c r="F8" s="3">
        <f>+'2023 Grunnlag korreksjoner'!F8</f>
        <v>1.3547771165025086</v>
      </c>
      <c r="G8" s="3">
        <f>+'2023 Grunnlag korreksjoner'!G8</f>
        <v>5.2548770101082702</v>
      </c>
      <c r="H8" s="3">
        <f>+'2023 Grunnlag korreksjoner'!H8</f>
        <v>1.1605514881983592</v>
      </c>
      <c r="I8" s="2">
        <v>1.544848768424659</v>
      </c>
      <c r="J8" s="5">
        <f>(D8-1)*'[2]2023 Nto driftsutg landet'!$C$5*C8</f>
        <v>146072340.66228941</v>
      </c>
      <c r="K8" s="5">
        <f t="shared" si="5"/>
        <v>146072340.66228941</v>
      </c>
      <c r="L8" s="5">
        <f t="shared" si="1"/>
        <v>603.70449934819567</v>
      </c>
      <c r="M8" s="5">
        <f>(E8-1)*'[2]2023 Nto driftsutg landet'!$C$6*$C8</f>
        <v>456881627.42759216</v>
      </c>
      <c r="N8" s="5">
        <f t="shared" si="2"/>
        <v>456881627.42759216</v>
      </c>
      <c r="O8" s="5">
        <f t="shared" si="6"/>
        <v>1888.2527170920489</v>
      </c>
      <c r="P8" s="5">
        <f>(F8-1)*'[2]2023 Nto driftsutg landet'!$C$7*$C8</f>
        <v>250792107.7213231</v>
      </c>
      <c r="Q8" s="5">
        <f t="shared" si="3"/>
        <v>250792107.7213231</v>
      </c>
      <c r="R8" s="5">
        <f t="shared" si="7"/>
        <v>1036.502346343706</v>
      </c>
      <c r="S8" s="5">
        <f>(G8-1)*'[2]2023 Nto driftsutg landet'!$C$8*$C8</f>
        <v>775274614.54438186</v>
      </c>
      <c r="T8" s="5">
        <f t="shared" si="8"/>
        <v>775274614.54438186</v>
      </c>
      <c r="U8" s="5">
        <f t="shared" si="9"/>
        <v>3204.1437202197963</v>
      </c>
      <c r="V8" s="5">
        <f>(H8-1)*'[2]2023 Nto driftsutg landet'!$C$9*$C8</f>
        <v>24138771.698682543</v>
      </c>
      <c r="W8" s="5">
        <f t="shared" si="4"/>
        <v>24138771.698682547</v>
      </c>
      <c r="X8" s="5">
        <f t="shared" si="10"/>
        <v>99.763480321881914</v>
      </c>
      <c r="Z8" s="2">
        <f>1+L8/'[2]2023 Nto driftsutg landet'!$C$5</f>
        <v>1.0853378047755211</v>
      </c>
      <c r="AA8" s="2">
        <f>1+O8/'[2]2023 Nto driftsutg landet'!$C$6</f>
        <v>1.9381931214813777</v>
      </c>
      <c r="AB8" s="2">
        <f>1+R8/'[2]2023 Nto driftsutg landet'!$C$7</f>
        <v>1.3547771165025086</v>
      </c>
      <c r="AC8" s="2">
        <f>1+U8/'[2]2023 Nto driftsutg landet'!$C$8</f>
        <v>5.2548770101082702</v>
      </c>
      <c r="AD8" s="2">
        <f>1+X8/'[2]2023 Nto driftsutg landet'!$C$9</f>
        <v>1.1605514881983592</v>
      </c>
    </row>
    <row r="9" spans="1:30" x14ac:dyDescent="0.3">
      <c r="A9" s="41">
        <v>3000</v>
      </c>
      <c r="B9" s="42" t="s">
        <v>403</v>
      </c>
      <c r="C9" s="42">
        <f>+'2023 Nto driftsutg'!W9</f>
        <v>1300096</v>
      </c>
      <c r="D9" s="3">
        <f>+'2023 Grunnlag korreksjoner'!D9</f>
        <v>1.0109508011160717</v>
      </c>
      <c r="E9" s="3">
        <f>+'2023 Grunnlag korreksjoner'!E9</f>
        <v>0.60627924197881555</v>
      </c>
      <c r="F9" s="3">
        <f>+'2023 Grunnlag korreksjoner'!F9</f>
        <v>0.65317532338165341</v>
      </c>
      <c r="G9" s="3">
        <f>+'2023 Grunnlag korreksjoner'!G9</f>
        <v>2.6179811137927375E-2</v>
      </c>
      <c r="H9" s="3">
        <f>+'2023 Grunnlag korreksjoner'!H9</f>
        <v>0.96460045526742033</v>
      </c>
      <c r="I9" s="2">
        <v>0.80383143915257038</v>
      </c>
      <c r="J9" s="5">
        <f>(D9-1)*'[2]2023 Nto driftsutg landet'!$C$5*C9</f>
        <v>100717342.80040926</v>
      </c>
      <c r="K9" s="5">
        <f t="shared" si="5"/>
        <v>100717342.80040918</v>
      </c>
      <c r="L9" s="5">
        <f t="shared" si="1"/>
        <v>77.469158277857318</v>
      </c>
      <c r="M9" s="5">
        <f>(E9-1)*'[2]2023 Nto driftsutg landet'!$C$6*$C9</f>
        <v>-1030223870.7181642</v>
      </c>
      <c r="N9" s="5">
        <f t="shared" si="2"/>
        <v>-1030223870.7181642</v>
      </c>
      <c r="O9" s="5">
        <f t="shared" si="6"/>
        <v>-792.42138328105329</v>
      </c>
      <c r="P9" s="5">
        <f>(F9-1)*'[2]2023 Nto driftsutg landet'!$C$7*$C9</f>
        <v>-1317346743.0436616</v>
      </c>
      <c r="Q9" s="5">
        <f t="shared" si="3"/>
        <v>-1317346743.0436616</v>
      </c>
      <c r="R9" s="5">
        <f t="shared" si="7"/>
        <v>-1013.2688224897712</v>
      </c>
      <c r="S9" s="5">
        <f>(G9-1)*'[2]2023 Nto driftsutg landet'!$C$8*$C9</f>
        <v>-953408836.70737302</v>
      </c>
      <c r="T9" s="5">
        <f t="shared" si="8"/>
        <v>-953408836.70737302</v>
      </c>
      <c r="U9" s="5">
        <f t="shared" si="9"/>
        <v>-733.33725871579713</v>
      </c>
      <c r="V9" s="5">
        <f>(H9-1)*'[2]2023 Nto driftsutg landet'!$C$9*$C9</f>
        <v>-28597650.529471681</v>
      </c>
      <c r="W9" s="5">
        <f t="shared" si="4"/>
        <v>-28597650.529471662</v>
      </c>
      <c r="X9" s="5">
        <f t="shared" si="10"/>
        <v>-21.996568353007518</v>
      </c>
      <c r="Z9" s="2">
        <f>1+L9/'[2]2023 Nto driftsutg landet'!$C$5</f>
        <v>1.0109508011160717</v>
      </c>
      <c r="AA9" s="2">
        <f>1+O9/'[2]2023 Nto driftsutg landet'!$C$6</f>
        <v>0.60627924197881555</v>
      </c>
      <c r="AB9" s="2">
        <f>1+R9/'[2]2023 Nto driftsutg landet'!$C$7</f>
        <v>0.65317532338165341</v>
      </c>
      <c r="AC9" s="2">
        <f>1+U9/'[2]2023 Nto driftsutg landet'!$C$8</f>
        <v>2.6179811137927333E-2</v>
      </c>
      <c r="AD9" s="2">
        <f>1+X9/'[2]2023 Nto driftsutg landet'!$C$9</f>
        <v>0.96460045526742033</v>
      </c>
    </row>
    <row r="10" spans="1:30" x14ac:dyDescent="0.3">
      <c r="A10" s="41">
        <v>3400</v>
      </c>
      <c r="B10" s="42" t="s">
        <v>404</v>
      </c>
      <c r="C10" s="42">
        <f>+'2023 Nto driftsutg'!W10</f>
        <v>374624</v>
      </c>
      <c r="D10" s="3">
        <f>+'2023 Grunnlag korreksjoner'!D10</f>
        <v>1.0062398373243804</v>
      </c>
      <c r="E10" s="3">
        <f>+'2023 Grunnlag korreksjoner'!E10</f>
        <v>1.5174599383336682</v>
      </c>
      <c r="F10" s="3">
        <f>+'2023 Grunnlag korreksjoner'!F10</f>
        <v>0.94309915694030932</v>
      </c>
      <c r="G10" s="3">
        <f>+'2023 Grunnlag korreksjoner'!G10</f>
        <v>5.9463031673505369E-2</v>
      </c>
      <c r="H10" s="3">
        <f>+'2023 Grunnlag korreksjoner'!H10</f>
        <v>1.0216409626046192</v>
      </c>
      <c r="I10" s="2">
        <v>1.0463243671153175</v>
      </c>
      <c r="J10" s="5">
        <f>(D10-1)*'[2]2023 Nto driftsutg landet'!$C$5*C10</f>
        <v>16536812.793196285</v>
      </c>
      <c r="K10" s="5">
        <f t="shared" si="5"/>
        <v>16536812.793196263</v>
      </c>
      <c r="L10" s="5">
        <f t="shared" si="1"/>
        <v>44.142427589252861</v>
      </c>
      <c r="M10" s="5">
        <f>(E10-1)*'[2]2023 Nto driftsutg landet'!$C$6*$C10</f>
        <v>390157718.38718301</v>
      </c>
      <c r="N10" s="5">
        <f t="shared" si="2"/>
        <v>390157718.38718301</v>
      </c>
      <c r="O10" s="5">
        <f t="shared" si="6"/>
        <v>1041.464824429783</v>
      </c>
      <c r="P10" s="5">
        <f>(F10-1)*'[2]2023 Nto driftsutg landet'!$C$7*$C10</f>
        <v>-62277187.001428127</v>
      </c>
      <c r="Q10" s="5">
        <f t="shared" si="3"/>
        <v>-62277187.001428127</v>
      </c>
      <c r="R10" s="5">
        <f t="shared" si="7"/>
        <v>-166.2391811561142</v>
      </c>
      <c r="S10" s="5">
        <f>(G10-1)*'[2]2023 Nto driftsutg landet'!$C$8*$C10</f>
        <v>-265336162.62144393</v>
      </c>
      <c r="T10" s="5">
        <f t="shared" si="8"/>
        <v>-265336162.62144393</v>
      </c>
      <c r="U10" s="5">
        <f t="shared" si="9"/>
        <v>-708.27326231486484</v>
      </c>
      <c r="V10" s="5">
        <f>(H10-1)*'[2]2023 Nto driftsutg landet'!$C$9*$C10</f>
        <v>5037666.6610219805</v>
      </c>
      <c r="W10" s="5">
        <f t="shared" si="4"/>
        <v>5037666.661021986</v>
      </c>
      <c r="X10" s="5">
        <f t="shared" si="10"/>
        <v>13.447260882970621</v>
      </c>
      <c r="Z10" s="2">
        <f>1+L10/'[2]2023 Nto driftsutg landet'!$C$5</f>
        <v>1.0062398373243804</v>
      </c>
      <c r="AA10" s="2">
        <f>1+O10/'[2]2023 Nto driftsutg landet'!$C$6</f>
        <v>1.5174599383336682</v>
      </c>
      <c r="AB10" s="2">
        <f>1+R10/'[2]2023 Nto driftsutg landet'!$C$7</f>
        <v>0.94309915694030932</v>
      </c>
      <c r="AC10" s="2">
        <f>1+U10/'[2]2023 Nto driftsutg landet'!$C$8</f>
        <v>5.9463031673505529E-2</v>
      </c>
      <c r="AD10" s="2">
        <f>1+X10/'[2]2023 Nto driftsutg landet'!$C$9</f>
        <v>1.0216409626046192</v>
      </c>
    </row>
    <row r="11" spans="1:30" x14ac:dyDescent="0.3">
      <c r="A11" s="41">
        <v>3800</v>
      </c>
      <c r="B11" s="42" t="s">
        <v>405</v>
      </c>
      <c r="C11" s="42">
        <f>+'2023 Nto driftsutg'!W11</f>
        <v>431103</v>
      </c>
      <c r="D11" s="3">
        <f>+'2023 Grunnlag korreksjoner'!D11</f>
        <v>1.0246976591874704</v>
      </c>
      <c r="E11" s="3">
        <f>+'2023 Grunnlag korreksjoner'!E11</f>
        <v>0.87778384106275287</v>
      </c>
      <c r="F11" s="3">
        <f>+'2023 Grunnlag korreksjoner'!F11</f>
        <v>0.66753460722060465</v>
      </c>
      <c r="G11" s="3">
        <f>+'2023 Grunnlag korreksjoner'!G11</f>
        <v>0.13457432220097482</v>
      </c>
      <c r="H11" s="3">
        <f>+'2023 Grunnlag korreksjoner'!H11</f>
        <v>0.96530680839609195</v>
      </c>
      <c r="I11" s="2">
        <v>0.87475513093184998</v>
      </c>
      <c r="J11" s="5">
        <f>(D11-1)*'[2]2023 Nto driftsutg landet'!$C$5*C11</f>
        <v>75321642.888838753</v>
      </c>
      <c r="K11" s="5">
        <f t="shared" si="5"/>
        <v>75321642.888838723</v>
      </c>
      <c r="L11" s="5">
        <f t="shared" si="1"/>
        <v>174.71843825916017</v>
      </c>
      <c r="M11" s="5">
        <f>(E11-1)*'[2]2023 Nto driftsutg landet'!$C$6*$C11</f>
        <v>-106041911.88419436</v>
      </c>
      <c r="N11" s="5">
        <f t="shared" si="2"/>
        <v>-106041911.88419436</v>
      </c>
      <c r="O11" s="5">
        <f t="shared" si="6"/>
        <v>-245.97813488700928</v>
      </c>
      <c r="P11" s="5">
        <f>(F11-1)*'[2]2023 Nto driftsutg landet'!$C$7*$C11</f>
        <v>-418737812.66408068</v>
      </c>
      <c r="Q11" s="5">
        <f t="shared" si="3"/>
        <v>-418737812.66408068</v>
      </c>
      <c r="R11" s="5">
        <f t="shared" si="7"/>
        <v>-971.31732477872038</v>
      </c>
      <c r="S11" s="5">
        <f>(G11-1)*'[2]2023 Nto driftsutg landet'!$C$8*$C11</f>
        <v>-280954374.69531888</v>
      </c>
      <c r="T11" s="5">
        <f t="shared" si="8"/>
        <v>-280954374.69531888</v>
      </c>
      <c r="U11" s="5">
        <f t="shared" si="9"/>
        <v>-651.71055338357394</v>
      </c>
      <c r="V11" s="5">
        <f>(H11-1)*'[2]2023 Nto driftsutg landet'!$C$9*$C11</f>
        <v>-9293569.5972940028</v>
      </c>
      <c r="W11" s="5">
        <f t="shared" si="4"/>
        <v>-9293569.5972939972</v>
      </c>
      <c r="X11" s="5">
        <f t="shared" si="10"/>
        <v>-21.557654660937171</v>
      </c>
      <c r="Z11" s="2">
        <f>1+L11/'[2]2023 Nto driftsutg landet'!$C$5</f>
        <v>1.0246976591874704</v>
      </c>
      <c r="AA11" s="2">
        <f>1+O11/'[2]2023 Nto driftsutg landet'!$C$6</f>
        <v>0.87778384106275287</v>
      </c>
      <c r="AB11" s="2">
        <f>1+R11/'[2]2023 Nto driftsutg landet'!$C$7</f>
        <v>0.66753460722060465</v>
      </c>
      <c r="AC11" s="2">
        <f>1+U11/'[2]2023 Nto driftsutg landet'!$C$8</f>
        <v>0.13457432220097476</v>
      </c>
      <c r="AD11" s="2">
        <f>1+X11/'[2]2023 Nto driftsutg landet'!$C$9</f>
        <v>0.96530680839609195</v>
      </c>
    </row>
    <row r="12" spans="1:30" x14ac:dyDescent="0.3">
      <c r="A12" s="41">
        <v>4200</v>
      </c>
      <c r="B12" s="42" t="s">
        <v>406</v>
      </c>
      <c r="C12" s="42">
        <f>+'2023 Nto driftsutg'!W12</f>
        <v>317444</v>
      </c>
      <c r="D12" s="3">
        <f>+'2023 Grunnlag korreksjoner'!D12</f>
        <v>1.084268975153569</v>
      </c>
      <c r="E12" s="3">
        <f>+'2023 Grunnlag korreksjoner'!E12</f>
        <v>1.2211575516772717</v>
      </c>
      <c r="F12" s="3">
        <f>+'2023 Grunnlag korreksjoner'!F12</f>
        <v>0.78004641987215195</v>
      </c>
      <c r="G12" s="3">
        <f>+'2023 Grunnlag korreksjoner'!G12</f>
        <v>0.1328769183331836</v>
      </c>
      <c r="H12" s="3">
        <f>+'2023 Grunnlag korreksjoner'!H12</f>
        <v>1.0388028742608666</v>
      </c>
      <c r="I12" s="2">
        <v>0.99934472690625165</v>
      </c>
      <c r="J12" s="5">
        <f>(D12-1)*'[2]2023 Nto driftsutg landet'!$C$5*C12</f>
        <v>189242109.64093646</v>
      </c>
      <c r="K12" s="5">
        <f t="shared" si="5"/>
        <v>189242109.64093643</v>
      </c>
      <c r="L12" s="5">
        <f t="shared" si="1"/>
        <v>596.14328713390842</v>
      </c>
      <c r="M12" s="5">
        <f>(E12-1)*'[2]2023 Nto driftsutg landet'!$C$6*$C12</f>
        <v>141298245.7820245</v>
      </c>
      <c r="N12" s="5">
        <f t="shared" si="2"/>
        <v>141298245.7820245</v>
      </c>
      <c r="O12" s="5">
        <f t="shared" si="6"/>
        <v>445.11235298832077</v>
      </c>
      <c r="P12" s="5">
        <f>(F12-1)*'[2]2023 Nto driftsutg landet'!$C$7*$C12</f>
        <v>-203991864.80452591</v>
      </c>
      <c r="Q12" s="5">
        <f t="shared" si="3"/>
        <v>-203991864.80452591</v>
      </c>
      <c r="R12" s="5">
        <f t="shared" si="7"/>
        <v>-642.60740415483019</v>
      </c>
      <c r="S12" s="5">
        <f>(G12-1)*'[2]2023 Nto driftsutg landet'!$C$8*$C12</f>
        <v>-207287372.4344441</v>
      </c>
      <c r="T12" s="5">
        <f t="shared" si="8"/>
        <v>-207287372.4344441</v>
      </c>
      <c r="U12" s="5">
        <f t="shared" si="9"/>
        <v>-652.98878679213999</v>
      </c>
      <c r="V12" s="5">
        <f>(H12-1)*'[2]2023 Nto driftsutg landet'!$C$9*$C12</f>
        <v>7653996.7811390767</v>
      </c>
      <c r="W12" s="5">
        <f t="shared" si="4"/>
        <v>7653996.7811390813</v>
      </c>
      <c r="X12" s="5">
        <f t="shared" si="10"/>
        <v>24.111329182908108</v>
      </c>
      <c r="Z12" s="2">
        <f>1+L12/'[2]2023 Nto driftsutg landet'!$C$5</f>
        <v>1.084268975153569</v>
      </c>
      <c r="AA12" s="2">
        <f>1+O12/'[2]2023 Nto driftsutg landet'!$C$6</f>
        <v>1.2211575516772717</v>
      </c>
      <c r="AB12" s="2">
        <f>1+R12/'[2]2023 Nto driftsutg landet'!$C$7</f>
        <v>0.78004641987215195</v>
      </c>
      <c r="AC12" s="2">
        <f>1+U12/'[2]2023 Nto driftsutg landet'!$C$8</f>
        <v>0.1328769183331836</v>
      </c>
      <c r="AD12" s="2">
        <f>1+X12/'[2]2023 Nto driftsutg landet'!$C$9</f>
        <v>1.0388028742608666</v>
      </c>
    </row>
    <row r="13" spans="1:30" x14ac:dyDescent="0.3">
      <c r="A13" s="41">
        <v>4600</v>
      </c>
      <c r="B13" s="42" t="s">
        <v>407</v>
      </c>
      <c r="C13" s="42">
        <f>+'2023 Nto driftsutg'!W13</f>
        <v>648436</v>
      </c>
      <c r="D13" s="3">
        <f>+'2023 Grunnlag korreksjoner'!D13</f>
        <v>1.048859894414335</v>
      </c>
      <c r="E13" s="3">
        <f>+'2023 Grunnlag korreksjoner'!E13</f>
        <v>1.2994326055707779</v>
      </c>
      <c r="F13" s="3">
        <f>+'2023 Grunnlag korreksjoner'!F13</f>
        <v>1.0646807692486568</v>
      </c>
      <c r="G13" s="3">
        <f>+'2023 Grunnlag korreksjoner'!G13</f>
        <v>2.300543280463788</v>
      </c>
      <c r="H13" s="3">
        <f>+'2023 Grunnlag korreksjoner'!H13</f>
        <v>1.0530401240046849</v>
      </c>
      <c r="I13" s="2">
        <v>1.1724734449843615</v>
      </c>
      <c r="J13" s="5">
        <f>(D13-1)*'[2]2023 Nto driftsutg landet'!$C$5*C13</f>
        <v>224131340.16370472</v>
      </c>
      <c r="K13" s="5">
        <f t="shared" si="5"/>
        <v>224131340.16370469</v>
      </c>
      <c r="L13" s="5">
        <f t="shared" si="1"/>
        <v>345.64913139261961</v>
      </c>
      <c r="M13" s="5">
        <f>(E13-1)*'[2]2023 Nto driftsutg landet'!$C$6*$C13</f>
        <v>390781577.11992967</v>
      </c>
      <c r="N13" s="5">
        <f t="shared" si="2"/>
        <v>390781577.11992967</v>
      </c>
      <c r="O13" s="5">
        <f t="shared" si="6"/>
        <v>602.65250097146009</v>
      </c>
      <c r="P13" s="5">
        <f>(F13-1)*'[2]2023 Nto driftsutg landet'!$C$7*$C13</f>
        <v>122534105.38400148</v>
      </c>
      <c r="Q13" s="5">
        <f t="shared" si="3"/>
        <v>122534105.38400148</v>
      </c>
      <c r="R13" s="5">
        <f t="shared" si="7"/>
        <v>188.96869603785336</v>
      </c>
      <c r="S13" s="5">
        <f>(G13-1)*'[2]2023 Nto driftsutg landet'!$C$8*$C13</f>
        <v>635063137.25862777</v>
      </c>
      <c r="T13" s="5">
        <f t="shared" si="8"/>
        <v>635063137.25862777</v>
      </c>
      <c r="U13" s="5">
        <f t="shared" si="9"/>
        <v>979.37674228239609</v>
      </c>
      <c r="V13" s="5">
        <f>(H13-1)*'[2]2023 Nto driftsutg landet'!$C$9*$C13</f>
        <v>21371199.808597911</v>
      </c>
      <c r="W13" s="5">
        <f t="shared" si="4"/>
        <v>21371199.808597919</v>
      </c>
      <c r="X13" s="5">
        <f t="shared" si="10"/>
        <v>32.958071125905903</v>
      </c>
      <c r="Z13" s="2">
        <f>1+L13/'[2]2023 Nto driftsutg landet'!$C$5</f>
        <v>1.048859894414335</v>
      </c>
      <c r="AA13" s="2">
        <f>1+O13/'[2]2023 Nto driftsutg landet'!$C$6</f>
        <v>1.2994326055707779</v>
      </c>
      <c r="AB13" s="2">
        <f>1+R13/'[2]2023 Nto driftsutg landet'!$C$7</f>
        <v>1.0646807692486568</v>
      </c>
      <c r="AC13" s="2">
        <f>1+U13/'[2]2023 Nto driftsutg landet'!$C$8</f>
        <v>2.300543280463788</v>
      </c>
      <c r="AD13" s="2">
        <f>1+X13/'[2]2023 Nto driftsutg landet'!$C$9</f>
        <v>1.0530401240046849</v>
      </c>
    </row>
    <row r="14" spans="1:30" x14ac:dyDescent="0.3">
      <c r="A14" s="41">
        <v>5000</v>
      </c>
      <c r="B14" s="42" t="s">
        <v>388</v>
      </c>
      <c r="C14" s="42">
        <f>+'2023 Nto driftsutg'!W14</f>
        <v>480437</v>
      </c>
      <c r="D14" s="3">
        <f>+'2023 Grunnlag korreksjoner'!D14</f>
        <v>1.0195042229505571</v>
      </c>
      <c r="E14" s="3">
        <f>+'2023 Grunnlag korreksjoner'!E14</f>
        <v>1.2666523308794941</v>
      </c>
      <c r="F14" s="3">
        <f>+'2023 Grunnlag korreksjoner'!F14</f>
        <v>1.0917317827078288</v>
      </c>
      <c r="G14" s="3">
        <f>+'2023 Grunnlag korreksjoner'!G14</f>
        <v>1.0558842371923283</v>
      </c>
      <c r="H14" s="3">
        <f>+'2023 Grunnlag korreksjoner'!H14</f>
        <v>1.0416844885673895</v>
      </c>
      <c r="I14" s="2">
        <v>1.0865235188462492</v>
      </c>
      <c r="J14" s="5">
        <f>(D14-1)*'[2]2023 Nto driftsutg landet'!$C$5*C14</f>
        <v>66290003.939120829</v>
      </c>
      <c r="K14" s="5">
        <f t="shared" si="5"/>
        <v>66290003.939120799</v>
      </c>
      <c r="L14" s="5">
        <f t="shared" si="1"/>
        <v>137.97855689532821</v>
      </c>
      <c r="M14" s="5">
        <f>(E14-1)*'[2]2023 Nto driftsutg landet'!$C$6*$C14</f>
        <v>257839650.92064828</v>
      </c>
      <c r="N14" s="5">
        <f t="shared" si="2"/>
        <v>257839650.92064828</v>
      </c>
      <c r="O14" s="5">
        <f t="shared" si="6"/>
        <v>536.6773394235837</v>
      </c>
      <c r="P14" s="5">
        <f>(F14-1)*'[2]2023 Nto driftsutg landet'!$C$7*$C14</f>
        <v>128757035.81585547</v>
      </c>
      <c r="Q14" s="5">
        <f t="shared" si="3"/>
        <v>128757035.81585547</v>
      </c>
      <c r="R14" s="5">
        <f t="shared" si="7"/>
        <v>267.99983310164595</v>
      </c>
      <c r="S14" s="5">
        <f>(G14-1)*'[2]2023 Nto driftsutg landet'!$C$8*$C14</f>
        <v>20218584.646457877</v>
      </c>
      <c r="T14" s="5">
        <f t="shared" si="8"/>
        <v>20218584.646457877</v>
      </c>
      <c r="U14" s="5">
        <f t="shared" si="9"/>
        <v>42.083737610670859</v>
      </c>
      <c r="V14" s="5">
        <f>(H14-1)*'[2]2023 Nto driftsutg landet'!$C$9*$C14</f>
        <v>12444234.310507284</v>
      </c>
      <c r="W14" s="5">
        <f t="shared" si="4"/>
        <v>12444234.310507292</v>
      </c>
      <c r="X14" s="5">
        <f t="shared" si="10"/>
        <v>25.901906619405441</v>
      </c>
      <c r="Z14" s="2">
        <f>1+L14/'[2]2023 Nto driftsutg landet'!$C$5</f>
        <v>1.0195042229505571</v>
      </c>
      <c r="AA14" s="2">
        <f>1+O14/'[2]2023 Nto driftsutg landet'!$C$6</f>
        <v>1.2666523308794941</v>
      </c>
      <c r="AB14" s="2">
        <f>1+R14/'[2]2023 Nto driftsutg landet'!$C$7</f>
        <v>1.0917317827078288</v>
      </c>
      <c r="AC14" s="2">
        <f>1+U14/'[2]2023 Nto driftsutg landet'!$C$8</f>
        <v>1.0558842371923283</v>
      </c>
      <c r="AD14" s="2">
        <f>1+X14/'[2]2023 Nto driftsutg landet'!$C$9</f>
        <v>1.0416844885673895</v>
      </c>
    </row>
    <row r="15" spans="1:30" x14ac:dyDescent="0.3">
      <c r="A15" s="41">
        <v>5400</v>
      </c>
      <c r="B15" s="42" t="s">
        <v>408</v>
      </c>
      <c r="C15" s="42">
        <f>+'2023 Nto driftsutg'!W15</f>
        <v>243329</v>
      </c>
      <c r="D15" s="3">
        <f>+'2023 Grunnlag korreksjoner'!D15</f>
        <v>1.1042840912589909</v>
      </c>
      <c r="E15" s="3">
        <f>+'2023 Grunnlag korreksjoner'!E15</f>
        <v>2.0698277004132728</v>
      </c>
      <c r="F15" s="3">
        <f>+'2023 Grunnlag korreksjoner'!F15</f>
        <v>1.6506558229265536</v>
      </c>
      <c r="G15" s="3">
        <f>+'2023 Grunnlag korreksjoner'!G15</f>
        <v>3.2174219622421876</v>
      </c>
      <c r="H15" s="3">
        <f>+'2023 Grunnlag korreksjoner'!H15</f>
        <v>1.2198806295668334</v>
      </c>
      <c r="I15" s="2">
        <v>1.5271117940854428</v>
      </c>
      <c r="J15" s="5">
        <f>(D15-1)*'[2]2023 Nto driftsutg landet'!$C$5*C15</f>
        <v>179512575.57484692</v>
      </c>
      <c r="K15" s="5">
        <f t="shared" si="5"/>
        <v>179512575.57484692</v>
      </c>
      <c r="L15" s="5">
        <f t="shared" si="1"/>
        <v>737.73605108658205</v>
      </c>
      <c r="M15" s="5">
        <f>(E15-1)*'[2]2023 Nto driftsutg landet'!$C$6*$C15</f>
        <v>523932795.29255378</v>
      </c>
      <c r="N15" s="5">
        <f t="shared" si="2"/>
        <v>523932795.29255378</v>
      </c>
      <c r="O15" s="5">
        <f t="shared" si="6"/>
        <v>2153.1868182278058</v>
      </c>
      <c r="P15" s="5">
        <f>(F15-1)*'[2]2023 Nto driftsutg landet'!$C$7*$C15</f>
        <v>462551274.60797453</v>
      </c>
      <c r="Q15" s="5">
        <f t="shared" si="3"/>
        <v>462551274.60797453</v>
      </c>
      <c r="R15" s="5">
        <f t="shared" si="7"/>
        <v>1900.9295012430682</v>
      </c>
      <c r="S15" s="5">
        <f>(G15-1)*'[2]2023 Nto driftsutg landet'!$C$8*$C15</f>
        <v>406319057.86503649</v>
      </c>
      <c r="T15" s="5">
        <f t="shared" si="8"/>
        <v>406319057.86503649</v>
      </c>
      <c r="U15" s="5">
        <f t="shared" si="9"/>
        <v>1669.8340841619226</v>
      </c>
      <c r="V15" s="5">
        <f>(H15-1)*'[2]2023 Nto driftsutg landet'!$C$9*$C15</f>
        <v>33245900.363903161</v>
      </c>
      <c r="W15" s="5">
        <f t="shared" si="4"/>
        <v>33245900.363903165</v>
      </c>
      <c r="X15" s="5">
        <f t="shared" si="10"/>
        <v>136.62942092353632</v>
      </c>
      <c r="Z15" s="2">
        <f>1+L15/'[2]2023 Nto driftsutg landet'!$C$5</f>
        <v>1.1042840912589909</v>
      </c>
      <c r="AA15" s="2">
        <f>1+O15/'[2]2023 Nto driftsutg landet'!$C$6</f>
        <v>2.0698277004132728</v>
      </c>
      <c r="AB15" s="2">
        <f>1+R15/'[2]2023 Nto driftsutg landet'!$C$7</f>
        <v>1.6506558229265536</v>
      </c>
      <c r="AC15" s="2">
        <f>1+U15/'[2]2023 Nto driftsutg landet'!$C$8</f>
        <v>3.2174219622421876</v>
      </c>
      <c r="AD15" s="2">
        <f>1+X15/'[2]2023 Nto driftsutg landet'!$C$9</f>
        <v>1.2198806295668334</v>
      </c>
    </row>
    <row r="16" spans="1:30" x14ac:dyDescent="0.3">
      <c r="B16" s="43"/>
      <c r="C16" s="43"/>
      <c r="D16" s="4"/>
      <c r="E16" s="4"/>
      <c r="F16" s="4"/>
      <c r="G16" s="4"/>
      <c r="H16" s="4"/>
      <c r="I16" s="4"/>
      <c r="Z16" s="4"/>
      <c r="AA16" s="4"/>
    </row>
    <row r="17" spans="2:31" x14ac:dyDescent="0.3">
      <c r="B17" s="42" t="s">
        <v>3</v>
      </c>
      <c r="C17" s="5">
        <f>SUM(C5:C16)</f>
        <v>5514056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5">
        <f>SUM(J5:J16)</f>
        <v>3.2782554626464844E-7</v>
      </c>
      <c r="K17" s="5">
        <f>SUM(K5:K16)</f>
        <v>0</v>
      </c>
      <c r="L17" s="5">
        <v>0</v>
      </c>
      <c r="M17" s="5">
        <f>SUM(M5:M16)</f>
        <v>0</v>
      </c>
      <c r="N17" s="5">
        <f>SUM(N5:N16)</f>
        <v>0</v>
      </c>
      <c r="O17" s="5">
        <v>0</v>
      </c>
      <c r="P17" s="5">
        <f>SUM(P5:P16)</f>
        <v>0</v>
      </c>
      <c r="Q17" s="5">
        <f>SUM(Q5:Q16)</f>
        <v>0</v>
      </c>
      <c r="R17" s="5">
        <v>0</v>
      </c>
      <c r="S17" s="5">
        <f>SUM(S5:S16)</f>
        <v>0</v>
      </c>
      <c r="T17" s="5">
        <f>SUM(T5:T16)</f>
        <v>0</v>
      </c>
      <c r="U17" s="5">
        <v>0</v>
      </c>
      <c r="V17" s="5">
        <f>SUM(V5:V16)</f>
        <v>-7.8231096267700195E-8</v>
      </c>
      <c r="W17" s="5">
        <f>SUM(W5:W16)</f>
        <v>0</v>
      </c>
      <c r="X17" s="5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/>
    </row>
  </sheetData>
  <sheetProtection algorithmName="SHA-512" hashValue="dSMR6oAnWS9GZhXVQJC67vAvDd8z9nlw5P1xCIrB4KUatBcuHY8wDrfiekbGS3nKtTbOy/LZ2+8GyO7xJFrj0w==" saltValue="Op8yHVbQNibMLT2tO25AWA==" spinCount="100000" sheet="1" selectLockedCells="1" selectUnlockedCells="1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0434-6D2E-4968-98E0-231DE905EBB1}">
  <dimension ref="A1:CE18"/>
  <sheetViews>
    <sheetView zoomScale="80" zoomScaleNormal="80"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4"/>
      <c r="CB1" s="5"/>
    </row>
    <row r="2" spans="1:83" ht="79.8" x14ac:dyDescent="0.3">
      <c r="A2" s="22" t="s">
        <v>2</v>
      </c>
      <c r="B2" s="22" t="s">
        <v>1</v>
      </c>
      <c r="C2" s="22" t="s">
        <v>411</v>
      </c>
      <c r="D2" s="22" t="s">
        <v>319</v>
      </c>
      <c r="E2" s="22" t="s">
        <v>320</v>
      </c>
      <c r="F2" s="22" t="s">
        <v>322</v>
      </c>
      <c r="G2" s="22" t="s">
        <v>321</v>
      </c>
      <c r="H2" s="22" t="s">
        <v>323</v>
      </c>
      <c r="I2" s="22" t="s">
        <v>228</v>
      </c>
      <c r="J2" s="22" t="s">
        <v>227</v>
      </c>
      <c r="K2" s="101" t="s">
        <v>324</v>
      </c>
      <c r="L2" s="101" t="s">
        <v>325</v>
      </c>
      <c r="M2" s="101" t="s">
        <v>326</v>
      </c>
      <c r="N2" s="101" t="s">
        <v>327</v>
      </c>
      <c r="O2" s="101" t="s">
        <v>328</v>
      </c>
      <c r="P2" s="101" t="s">
        <v>230</v>
      </c>
      <c r="Q2" s="101" t="s">
        <v>229</v>
      </c>
      <c r="R2" s="22" t="s">
        <v>441</v>
      </c>
      <c r="S2" s="22" t="s">
        <v>442</v>
      </c>
      <c r="T2" s="22" t="s">
        <v>443</v>
      </c>
      <c r="U2" s="22" t="s">
        <v>444</v>
      </c>
      <c r="V2" s="22" t="s">
        <v>445</v>
      </c>
      <c r="W2" s="22" t="s">
        <v>446</v>
      </c>
      <c r="X2" s="22" t="s">
        <v>447</v>
      </c>
      <c r="Y2" s="101" t="s">
        <v>448</v>
      </c>
      <c r="Z2" s="101" t="s">
        <v>449</v>
      </c>
      <c r="AA2" s="101" t="s">
        <v>450</v>
      </c>
      <c r="AB2" s="101" t="s">
        <v>451</v>
      </c>
      <c r="AC2" s="101" t="s">
        <v>452</v>
      </c>
      <c r="AD2" s="101" t="s">
        <v>453</v>
      </c>
      <c r="AE2" s="101" t="s">
        <v>454</v>
      </c>
      <c r="AF2" s="22" t="s">
        <v>339</v>
      </c>
      <c r="AG2" s="22" t="s">
        <v>340</v>
      </c>
      <c r="AH2" s="22" t="s">
        <v>341</v>
      </c>
      <c r="AI2" s="22" t="s">
        <v>342</v>
      </c>
      <c r="AJ2" s="22" t="s">
        <v>343</v>
      </c>
      <c r="AK2" s="22" t="s">
        <v>344</v>
      </c>
      <c r="AL2" s="22" t="s">
        <v>345</v>
      </c>
      <c r="AM2" s="101" t="s">
        <v>346</v>
      </c>
      <c r="AN2" s="101" t="s">
        <v>347</v>
      </c>
      <c r="AO2" s="101" t="s">
        <v>348</v>
      </c>
      <c r="AP2" s="101" t="s">
        <v>349</v>
      </c>
      <c r="AQ2" s="101" t="s">
        <v>350</v>
      </c>
      <c r="AR2" s="101" t="s">
        <v>232</v>
      </c>
      <c r="AS2" s="101" t="s">
        <v>231</v>
      </c>
      <c r="AT2" s="22" t="s">
        <v>351</v>
      </c>
      <c r="AU2" s="22" t="s">
        <v>352</v>
      </c>
      <c r="AV2" s="22" t="s">
        <v>353</v>
      </c>
      <c r="AW2" s="22" t="s">
        <v>354</v>
      </c>
      <c r="AX2" s="22" t="s">
        <v>355</v>
      </c>
      <c r="AY2" s="22" t="s">
        <v>356</v>
      </c>
      <c r="AZ2" s="22" t="s">
        <v>357</v>
      </c>
      <c r="BA2" s="101" t="s">
        <v>358</v>
      </c>
      <c r="BB2" s="101" t="s">
        <v>359</v>
      </c>
      <c r="BC2" s="101" t="s">
        <v>360</v>
      </c>
      <c r="BD2" s="101" t="s">
        <v>361</v>
      </c>
      <c r="BE2" s="101" t="s">
        <v>362</v>
      </c>
      <c r="BF2" s="101" t="s">
        <v>234</v>
      </c>
      <c r="BG2" s="101" t="s">
        <v>233</v>
      </c>
      <c r="BH2" s="22" t="s">
        <v>363</v>
      </c>
      <c r="BI2" s="22" t="s">
        <v>364</v>
      </c>
      <c r="BJ2" s="22" t="s">
        <v>365</v>
      </c>
      <c r="BK2" s="22" t="s">
        <v>366</v>
      </c>
      <c r="BL2" s="22" t="s">
        <v>367</v>
      </c>
      <c r="BM2" s="22" t="s">
        <v>236</v>
      </c>
      <c r="BN2" s="22" t="s">
        <v>235</v>
      </c>
      <c r="BO2" s="101" t="s">
        <v>368</v>
      </c>
      <c r="BP2" s="101" t="s">
        <v>369</v>
      </c>
      <c r="BQ2" s="101" t="s">
        <v>370</v>
      </c>
      <c r="BR2" s="101" t="s">
        <v>371</v>
      </c>
      <c r="BS2" s="101" t="s">
        <v>372</v>
      </c>
      <c r="BT2" s="101" t="s">
        <v>373</v>
      </c>
      <c r="BU2" s="101" t="s">
        <v>374</v>
      </c>
      <c r="BV2" s="22" t="s">
        <v>375</v>
      </c>
      <c r="BW2" s="22" t="s">
        <v>376</v>
      </c>
      <c r="BX2" s="22" t="s">
        <v>377</v>
      </c>
      <c r="BY2" s="22" t="s">
        <v>378</v>
      </c>
      <c r="BZ2" s="22" t="s">
        <v>379</v>
      </c>
      <c r="CA2" s="22" t="s">
        <v>380</v>
      </c>
      <c r="CB2" s="22" t="s">
        <v>381</v>
      </c>
      <c r="CC2" s="101"/>
      <c r="CD2" s="101"/>
      <c r="CE2" s="101"/>
    </row>
    <row r="3" spans="1:83" x14ac:dyDescent="0.3">
      <c r="A3" s="107">
        <v>1</v>
      </c>
      <c r="B3" s="107">
        <f>+A3+1</f>
        <v>2</v>
      </c>
      <c r="C3" s="107">
        <f t="shared" ref="C3:BN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2">
        <f t="shared" si="0"/>
        <v>11</v>
      </c>
      <c r="L3" s="102">
        <f t="shared" si="0"/>
        <v>12</v>
      </c>
      <c r="M3" s="102">
        <f t="shared" si="0"/>
        <v>13</v>
      </c>
      <c r="N3" s="102">
        <f t="shared" si="0"/>
        <v>14</v>
      </c>
      <c r="O3" s="102">
        <f t="shared" si="0"/>
        <v>15</v>
      </c>
      <c r="P3" s="102">
        <f t="shared" si="0"/>
        <v>16</v>
      </c>
      <c r="Q3" s="102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2">
        <f t="shared" si="0"/>
        <v>25</v>
      </c>
      <c r="Z3" s="102">
        <f t="shared" si="0"/>
        <v>26</v>
      </c>
      <c r="AA3" s="102">
        <f t="shared" si="0"/>
        <v>27</v>
      </c>
      <c r="AB3" s="102">
        <f t="shared" si="0"/>
        <v>28</v>
      </c>
      <c r="AC3" s="102">
        <f t="shared" si="0"/>
        <v>29</v>
      </c>
      <c r="AD3" s="102">
        <f t="shared" si="0"/>
        <v>30</v>
      </c>
      <c r="AE3" s="102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2">
        <f t="shared" si="0"/>
        <v>39</v>
      </c>
      <c r="AN3" s="102">
        <f t="shared" si="0"/>
        <v>40</v>
      </c>
      <c r="AO3" s="102">
        <f t="shared" si="0"/>
        <v>41</v>
      </c>
      <c r="AP3" s="102">
        <f t="shared" si="0"/>
        <v>42</v>
      </c>
      <c r="AQ3" s="102">
        <f t="shared" si="0"/>
        <v>43</v>
      </c>
      <c r="AR3" s="102">
        <f t="shared" si="0"/>
        <v>44</v>
      </c>
      <c r="AS3" s="102">
        <f t="shared" si="0"/>
        <v>45</v>
      </c>
      <c r="AT3" s="107">
        <f t="shared" si="0"/>
        <v>46</v>
      </c>
      <c r="AU3" s="107">
        <f t="shared" si="0"/>
        <v>47</v>
      </c>
      <c r="AV3" s="107">
        <f t="shared" si="0"/>
        <v>48</v>
      </c>
      <c r="AW3" s="107">
        <f t="shared" si="0"/>
        <v>49</v>
      </c>
      <c r="AX3" s="107">
        <f t="shared" si="0"/>
        <v>50</v>
      </c>
      <c r="AY3" s="107">
        <f t="shared" si="0"/>
        <v>51</v>
      </c>
      <c r="AZ3" s="107">
        <f t="shared" si="0"/>
        <v>52</v>
      </c>
      <c r="BA3" s="102">
        <f t="shared" si="0"/>
        <v>53</v>
      </c>
      <c r="BB3" s="102">
        <f t="shared" si="0"/>
        <v>54</v>
      </c>
      <c r="BC3" s="102">
        <f t="shared" si="0"/>
        <v>55</v>
      </c>
      <c r="BD3" s="102">
        <f t="shared" si="0"/>
        <v>56</v>
      </c>
      <c r="BE3" s="102">
        <f t="shared" si="0"/>
        <v>57</v>
      </c>
      <c r="BF3" s="102">
        <f t="shared" si="0"/>
        <v>58</v>
      </c>
      <c r="BG3" s="102">
        <f t="shared" si="0"/>
        <v>59</v>
      </c>
      <c r="BH3" s="107">
        <f t="shared" si="0"/>
        <v>60</v>
      </c>
      <c r="BI3" s="107">
        <f t="shared" si="0"/>
        <v>61</v>
      </c>
      <c r="BJ3" s="107">
        <f t="shared" si="0"/>
        <v>62</v>
      </c>
      <c r="BK3" s="107">
        <f t="shared" si="0"/>
        <v>63</v>
      </c>
      <c r="BL3" s="107">
        <f t="shared" si="0"/>
        <v>64</v>
      </c>
      <c r="BM3" s="107">
        <f t="shared" si="0"/>
        <v>65</v>
      </c>
      <c r="BN3" s="107">
        <f t="shared" si="0"/>
        <v>66</v>
      </c>
      <c r="BO3" s="102">
        <f t="shared" ref="BO3:BR3" si="1">+BN3+1</f>
        <v>67</v>
      </c>
      <c r="BP3" s="102">
        <f t="shared" si="1"/>
        <v>68</v>
      </c>
      <c r="BQ3" s="102">
        <f t="shared" si="1"/>
        <v>69</v>
      </c>
      <c r="BR3" s="102">
        <f t="shared" si="1"/>
        <v>70</v>
      </c>
      <c r="BS3" s="102">
        <f>+BN3+1</f>
        <v>67</v>
      </c>
      <c r="BT3" s="102">
        <f t="shared" ref="BT3:CE3" si="2">+BS3+1</f>
        <v>68</v>
      </c>
      <c r="BU3" s="102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2">
        <f t="shared" si="2"/>
        <v>77</v>
      </c>
      <c r="CD3" s="102">
        <f t="shared" si="2"/>
        <v>78</v>
      </c>
      <c r="CE3" s="102">
        <f t="shared" si="2"/>
        <v>79</v>
      </c>
    </row>
    <row r="5" spans="1:83" x14ac:dyDescent="0.3">
      <c r="A5" s="41">
        <v>300</v>
      </c>
      <c r="B5" s="42" t="s">
        <v>0</v>
      </c>
      <c r="C5" s="42">
        <f>+'2023 Nto driftsutg'!W5</f>
        <v>711918</v>
      </c>
      <c r="D5" s="55">
        <f>IF('2023 Lønnsgr pensjon tjeneste'!D5&lt;100,0,(C5/$C$17)*'2023 Revekting utgiftsbehov'!D5*'2023 Pensjon tjeneste'!D5/'2023 Lønnsgr pensjon tjeneste'!D5)</f>
        <v>1.3941328724753789E-2</v>
      </c>
      <c r="E5" s="5">
        <f>IF('2023 Lønnsgr pensjon tjeneste'!D5&lt;100,0,C5)</f>
        <v>711918</v>
      </c>
      <c r="F5" s="55">
        <f>'2023 Revekting utgiftsbehov'!D5*E5/$E$17</f>
        <v>9.1736375534709272E-2</v>
      </c>
      <c r="G5" s="55">
        <f>'2023 Revekting utgiftsbehov'!D5/$F$17</f>
        <v>0.7105305834877288</v>
      </c>
      <c r="H5" s="55">
        <f>IF(E5=0,0,(E5/$E$17)*G5*'2023 Pensjon tjeneste'!D5/'2023 Lønnsgr pensjon tjeneste'!D5)</f>
        <v>1.3941328724753791E-2</v>
      </c>
      <c r="I5" s="5">
        <f>IF(E5=0,0,'[2]2023 Nto driftsutg landet'!$C$5*'2023 Lønnsand og pensjon landet'!$D$6*('2023 Pensjon tjeneste'!D5/'2023 Lønnsgr pensjon tjeneste'!D5-$H$17)*'2023 Revekting utgiftsbehov'!D5)</f>
        <v>8.3786563781276069</v>
      </c>
      <c r="J5" s="5">
        <f>I5*C5/1000</f>
        <v>5964.9162914038498</v>
      </c>
      <c r="K5" s="55">
        <f>IF('2023 Lønnsgr pensjon tjeneste'!E5&lt;100,0,(C5/$C$17)*'2023 Revekting utgiftsbehov'!E5*'2023 Pensjon tjeneste'!E5/'2023 Lønnsgr pensjon tjeneste'!E5)</f>
        <v>4.6075959662284687E-3</v>
      </c>
      <c r="L5" s="5">
        <f>IF('2023 Lønnsgr pensjon tjeneste'!E5&lt;100,0,C5)</f>
        <v>711918</v>
      </c>
      <c r="M5" s="55">
        <f>'2023 Revekting utgiftsbehov'!E5*L5/$L$17</f>
        <v>2.770957018579065E-2</v>
      </c>
      <c r="N5" s="55">
        <f>'2023 Revekting utgiftsbehov'!E5/$M$17</f>
        <v>0.21462039411895759</v>
      </c>
      <c r="O5" s="55">
        <f>IF(L5=0,0,(L5/$L$17)*N5*'2023 Pensjon tjeneste'!E5/'2023 Lønnsgr pensjon tjeneste'!E5)</f>
        <v>4.6075959662284687E-3</v>
      </c>
      <c r="P5" s="5">
        <f>IF(L5=0,0,'[2]2023 Nto driftsutg landet'!$C$6*'2023 Lønnsand og pensjon landet'!$D$7*('2023 Pensjon tjeneste'!E5/'2023 Lønnsgr pensjon tjeneste'!E5-$O$17)*'2023 Revekting utgiftsbehov'!E5)</f>
        <v>-7.9042854440117907</v>
      </c>
      <c r="Q5" s="5">
        <f>P5*C5/1000</f>
        <v>-5627.2030847299866</v>
      </c>
      <c r="R5" s="55">
        <f>IF('2023 Lønnsgr pensjon tjeneste'!F5&lt;100,0,(C5/$C$17)*'2023 Revekting utgiftsbehov'!F5*'2023 Pensjon tjeneste'!F5/'2023 Lønnsgr pensjon tjeneste'!F5)</f>
        <v>5.1795391427857454E-2</v>
      </c>
      <c r="S5" s="5">
        <f>IF('2023 Lønnsgr pensjon tjeneste'!F5&lt;100,0,C5)</f>
        <v>711918</v>
      </c>
      <c r="T5" s="55">
        <f>'2023 Revekting utgiftsbehov'!F5*S5/$S$17</f>
        <v>0.19514004242386096</v>
      </c>
      <c r="U5" s="55">
        <f>'2023 Revekting utgiftsbehov'!F5/$T$17</f>
        <v>1.5114284535122655</v>
      </c>
      <c r="V5" s="55">
        <f>IF(S5=0,0,(S5/$S$17)*U5*'2023 Pensjon tjeneste'!F5/'2023 Lønnsgr pensjon tjeneste'!F5)</f>
        <v>5.1795391427857454E-2</v>
      </c>
      <c r="W5" s="5">
        <f>IF(S5=0,0,'[2]2023 Nto driftsutg landet'!$C$7*'2023 Lønnsand og pensjon landet'!$D$8*('2023 Pensjon tjeneste'!F5/'2023 Lønnsgr pensjon tjeneste'!F5-$V$17)*'2023 Revekting utgiftsbehov'!F5)</f>
        <v>1.1333786043811436</v>
      </c>
      <c r="X5" s="5">
        <f>W5*C5/1000</f>
        <v>806.87262927381494</v>
      </c>
      <c r="Y5" s="55">
        <f>IF('2023 Lønnsgr pensjon tjeneste'!G5&lt;100,0,(C5/$C$17)*'2023 Revekting utgiftsbehov'!G5*'2023 Pensjon tjeneste'!G5/'2023 Lønnsgr pensjon tjeneste'!G5)</f>
        <v>0</v>
      </c>
      <c r="Z5" s="5">
        <f>IF('2023 Lønnsgr pensjon tjeneste'!G5&lt;100,0,C5)</f>
        <v>0</v>
      </c>
      <c r="AA5" s="55">
        <f>'2023 Revekting utgiftsbehov'!G5*Z5/$Z$17</f>
        <v>0</v>
      </c>
      <c r="AB5" s="55">
        <f>'2023 Revekting utgiftsbehov'!G5/$AA$17</f>
        <v>0</v>
      </c>
      <c r="AC5" s="55">
        <f>IF(Z5=0,0,(Z5/$Z$17)*AB5*'2023 Pensjon tjeneste'!G5/'2023 Lønnsgr pensjon tjeneste'!G5)</f>
        <v>0</v>
      </c>
      <c r="AD5" s="5">
        <f>IF(Z5=0,0,'[2]2023 Nto driftsutg landet'!$C$8*'2023 Lønnsand og pensjon landet'!$D$9*('2023 Pensjon tjeneste'!G5/'2023 Lønnsgr pensjon tjeneste'!G5-$AC$17)*'2023 Revekting utgiftsbehov'!G5)</f>
        <v>0</v>
      </c>
      <c r="AE5" s="5">
        <f>+AD5*$C5/1000</f>
        <v>0</v>
      </c>
      <c r="AF5" s="55">
        <f>IF('2023 Lønnsgr pensjon tjeneste'!H5&lt;100,0,(C5/$C$17)*'2023 Revekting utgiftsbehov'!H5*'2023 Pensjon tjeneste'!H5/'2023 Lønnsgr pensjon tjeneste'!H5)</f>
        <v>4.5959707777319191E-2</v>
      </c>
      <c r="AG5" s="5">
        <f>IF('2023 Lønnsgr pensjon tjeneste'!H5&lt;100,0,C5)</f>
        <v>711918</v>
      </c>
      <c r="AH5" s="55">
        <f>'2023 Revekting utgiftsbehov'!H5*AG5/$AG$17</f>
        <v>0.10435988164939797</v>
      </c>
      <c r="AI5" s="55">
        <f>'2023 Revekting utgiftsbehov'!H5/$AH$17</f>
        <v>0.80830409059491792</v>
      </c>
      <c r="AJ5" s="55">
        <f>IF(AG5=0,0,(AG5/$AG$17)*AI5*'2023 Pensjon tjeneste'!H5/'2023 Lønnsgr pensjon tjeneste'!H5)</f>
        <v>4.5959707777319191E-2</v>
      </c>
      <c r="AK5" s="5">
        <f>IF(AG5=0,0,'[2]2023 Nto driftsutg landet'!$C$9*'2023 Lønnsand og pensjon landet'!$D$10*('2023 Pensjon tjeneste'!H5/'2023 Lønnsgr pensjon tjeneste'!H5-$AJ$17)*'2023 Revekting utgiftsbehov'!H5)</f>
        <v>49.76978040405335</v>
      </c>
      <c r="AL5" s="5">
        <f>+AK5*$C5/1000</f>
        <v>35432.002525692849</v>
      </c>
      <c r="AM5" s="55">
        <f>IF('2023 Lønnsgr pensjon tjeneste'!K5&lt;100,0,(C5/$C$17)*'2023 Pensjon tjeneste'!K5/'2023 Lønnsgr pensjon tjeneste'!K5)</f>
        <v>7.3598220126579683E-2</v>
      </c>
      <c r="AN5" s="5">
        <f>IF('2023 Lønnsgr pensjon tjeneste'!K5&lt;100,0,C5)</f>
        <v>711918</v>
      </c>
      <c r="AO5" s="55">
        <f t="shared" ref="AO5:AO15" si="3">AN5/$AN$17</f>
        <v>0.12910967897315515</v>
      </c>
      <c r="AP5" s="55">
        <f t="shared" ref="AP5:AP15" si="4">1/$AH$17</f>
        <v>1</v>
      </c>
      <c r="AQ5" s="55">
        <f>IF(AN5=0,0,(AN5/$AN$17)*AP5*'2023 Pensjon tjeneste'!K5/'2023 Lønnsgr pensjon tjeneste'!K5)</f>
        <v>7.3598220126579683E-2</v>
      </c>
      <c r="AR5" s="5">
        <f>IF(AN5=0,0,'[2]2023 Nto driftsutg landet'!$C$23*'2023 Lønnsand og pensjon landet'!$D$13*('2023 Pensjon tjeneste'!K5/'2023 Lønnsgr pensjon tjeneste'!K5-$AQ$17))</f>
        <v>39.736260644737733</v>
      </c>
      <c r="AS5" s="5">
        <f>+AR5*$C5/1000</f>
        <v>28288.959205680396</v>
      </c>
      <c r="AT5" s="55">
        <f>IF('2023 Lønnsgr pensjon tjeneste'!L5&lt;100,0,(C5/$C$17)*'2023 Pensjon tjeneste'!L5/'2023 Lønnsgr pensjon tjeneste'!L5)</f>
        <v>0</v>
      </c>
      <c r="AU5" s="5">
        <f>IF('2023 Lønnsgr pensjon tjeneste'!L5&lt;100,0,C5)</f>
        <v>0</v>
      </c>
      <c r="AV5" s="55">
        <f t="shared" ref="AV5:AV15" si="5">AU5/$AU$17</f>
        <v>0</v>
      </c>
      <c r="AW5" s="55">
        <f t="shared" ref="AW5:AW15" si="6">1/$AV$17</f>
        <v>1</v>
      </c>
      <c r="AX5" s="55">
        <f>IF(AU5=0,0,(AU5/$AU$17)*AW5*'2023 Pensjon tjeneste'!L5/'2023 Lønnsgr pensjon tjeneste'!L5)</f>
        <v>0</v>
      </c>
      <c r="AY5" s="5">
        <f>IF(AU5=0,0,'[2]2023 Nto driftsutg landet'!$C$24*'2023 Lønnsand og pensjon landet'!$D$14*('2023 Pensjon tjeneste'!L5/'2023 Lønnsgr pensjon tjeneste'!L5-$AX$17))</f>
        <v>0</v>
      </c>
      <c r="AZ5" s="5">
        <f>+AY5*$C5/1000</f>
        <v>0</v>
      </c>
      <c r="BA5" s="55">
        <f>IF('2023 Lønnsgr pensjon tjeneste'!M5&lt;100,0,(C5/$C$17)*'2023 Pensjon tjeneste'!M5/'2023 Lønnsgr pensjon tjeneste'!M5)</f>
        <v>0</v>
      </c>
      <c r="BB5" s="5">
        <f>IF('2023 Lønnsgr pensjon tjeneste'!M5&lt;100,0,C5)</f>
        <v>0</v>
      </c>
      <c r="BC5" s="55">
        <f t="shared" ref="BC5:BC15" si="7">BB5/$BB$17</f>
        <v>0</v>
      </c>
      <c r="BD5" s="55">
        <f t="shared" ref="BD5:BD15" si="8">1/$BC$17</f>
        <v>1</v>
      </c>
      <c r="BE5" s="55">
        <f>IF(BB5=0,0,(BB5/$BB$17)*BD5*'2023 Pensjon tjeneste'!M5/'2023 Lønnsgr pensjon tjeneste'!M5)</f>
        <v>0</v>
      </c>
      <c r="BF5" s="5">
        <f>IF(BB5=0,0,'[2]2023 Nto driftsutg landet'!$C$25*'2023 Lønnsand og pensjon landet'!$D$15*('2023 Pensjon tjeneste'!M5/'2023 Lønnsgr pensjon tjeneste'!M5-$BE$17))</f>
        <v>0</v>
      </c>
      <c r="BG5" s="5">
        <f>+BF5*$C5/1000</f>
        <v>0</v>
      </c>
      <c r="BH5" s="55">
        <f>IF('2023 Lønnsgr pensjon tjeneste'!N5&lt;100,0,(C5/$C$17)*'2023 Pensjon tjeneste'!N5/'2023 Lønnsgr pensjon tjeneste'!N5)</f>
        <v>5.0702991337635825E-2</v>
      </c>
      <c r="BI5" s="5">
        <f>IF('2023 Lønnsgr pensjon tjeneste'!N5&lt;100,0,C5)</f>
        <v>711918</v>
      </c>
      <c r="BJ5" s="55">
        <f t="shared" ref="BJ5:BJ15" si="9">BI5/$BI$17</f>
        <v>0.12910967897315515</v>
      </c>
      <c r="BK5" s="55">
        <f t="shared" ref="BK5:BK15" si="10">1/$BJ$17</f>
        <v>1</v>
      </c>
      <c r="BL5" s="55">
        <f>IF(BI5=0,0,(BI5/$BI$17)*BK5*'2023 Pensjon tjeneste'!N5/'2023 Lønnsgr pensjon tjeneste'!N5)</f>
        <v>5.0702991337635825E-2</v>
      </c>
      <c r="BM5" s="5">
        <f>IF(BI5=0,0,'[2]2023 Nto driftsutg landet'!$C$26*'2023 Lønnsand og pensjon landet'!$D$16*('2023 Pensjon tjeneste'!N5/'2023 Lønnsgr pensjon tjeneste'!N5-$BL$17))</f>
        <v>5.0875320564623108</v>
      </c>
      <c r="BN5" s="5">
        <f>+BM5*$C5/1000</f>
        <v>3621.9056465725353</v>
      </c>
      <c r="BO5" s="55">
        <f>IF('2023 Lønnsgr pensjon tjeneste'!O5&lt;100,0,(C5/$C$17)*'2023 Pensjon tjeneste'!O5/'2023 Lønnsgr pensjon tjeneste'!O5)</f>
        <v>0</v>
      </c>
      <c r="BP5" s="5">
        <f>IF('2023 Lønnsgr pensjon tjeneste'!O5&lt;100,0,C5)</f>
        <v>0</v>
      </c>
      <c r="BQ5" s="55">
        <f t="shared" ref="BQ5:BQ15" si="11">BP5/$BP$17</f>
        <v>0</v>
      </c>
      <c r="BR5" s="55">
        <f t="shared" ref="BR5:BR15" si="12">1/$BQ$17</f>
        <v>1</v>
      </c>
      <c r="BS5" s="55">
        <f>IF(BP5=0,0,(BP5/$BP$17)*BR5*'2023 Pensjon tjeneste'!O5/'2023 Lønnsgr pensjon tjeneste'!O5)</f>
        <v>0</v>
      </c>
      <c r="BT5" s="5">
        <f>IF(BP5=0,0,'[2]2023 Nto driftsutg landet'!$C$27*'2023 Lønnsand og pensjon landet'!$D$17*('2023 Pensjon tjeneste'!O5/'2023 Lønnsgr pensjon tjeneste'!O5-$BS$17))</f>
        <v>0</v>
      </c>
      <c r="BU5" s="5">
        <f>+BT5*$C5/1000</f>
        <v>0</v>
      </c>
      <c r="BV5" s="55">
        <f>IF('2023 Lønnsgr pensjon tjeneste'!P5&lt;100,0,(C5/$C$17)*'2023 Pensjon tjeneste'!P5/'2023 Lønnsgr pensjon tjeneste'!P5)</f>
        <v>0</v>
      </c>
      <c r="BW5" s="5">
        <f>IF('2023 Lønnsgr pensjon tjeneste'!P5&lt;100,0,C5)</f>
        <v>0</v>
      </c>
      <c r="BX5" s="55">
        <f t="shared" ref="BX5:BX15" si="13">BW5/$BW$17</f>
        <v>0</v>
      </c>
      <c r="BY5" s="55">
        <f t="shared" ref="BY5:BY15" si="14">1/$BX$17</f>
        <v>1</v>
      </c>
      <c r="BZ5" s="55">
        <f>IF(BW5=0,0,(BW5/$BW$17)*BY5*'2023 Pensjon tjeneste'!P5/'2023 Lønnsgr pensjon tjeneste'!P5)</f>
        <v>0</v>
      </c>
      <c r="CA5" s="5">
        <f>IF(BW5=0,0,'[2]2023 Nto driftsutg landet'!$C$28*'2023 Lønnsand og pensjon landet'!$D$18*('2023 Pensjon tjeneste'!P5/'2023 Lønnsgr pensjon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1">
        <v>1100</v>
      </c>
      <c r="B6" s="42" t="s">
        <v>139</v>
      </c>
      <c r="C6" s="42">
        <f>+'2023 Nto driftsutg'!W6</f>
        <v>495545</v>
      </c>
      <c r="D6" s="55">
        <f>IF('2023 Lønnsgr pensjon tjeneste'!D6&lt;100,0,(C6/$C$17)*'2023 Revekting utgiftsbehov'!D6*'2023 Pensjon tjeneste'!D6/'2023 Lønnsgr pensjon tjeneste'!D6)</f>
        <v>1.5609937937167393E-2</v>
      </c>
      <c r="E6" s="5">
        <f>IF('2023 Lønnsgr pensjon tjeneste'!D6&lt;100,0,C6)</f>
        <v>495545</v>
      </c>
      <c r="F6" s="55">
        <f>'2023 Revekting utgiftsbehov'!D6*E6/$E$17</f>
        <v>9.6833290051327292E-2</v>
      </c>
      <c r="G6" s="55">
        <f>'2023 Revekting utgiftsbehov'!D6/$F$17</f>
        <v>1.0774887931615931</v>
      </c>
      <c r="H6" s="55">
        <f>IF(E6=0,0,(E6/$E$17)*G6*'2023 Pensjon tjeneste'!D6/'2023 Lønnsgr pensjon tjeneste'!D6)</f>
        <v>1.5609937937167397E-2</v>
      </c>
      <c r="I6" s="5">
        <f>IF(E6=0,0,'[2]2023 Nto driftsutg landet'!$C$5*'2023 Lønnsand og pensjon landet'!$D$6*('2023 Pensjon tjeneste'!D6/'2023 Lønnsgr pensjon tjeneste'!D6-$H$17)*'2023 Revekting utgiftsbehov'!D6)</f>
        <v>50.526811254242766</v>
      </c>
      <c r="J6" s="5">
        <f>I6*C6/1000</f>
        <v>25038.30868298373</v>
      </c>
      <c r="K6" s="55">
        <f>IF('2023 Lønnsgr pensjon tjeneste'!E6&lt;100,0,(C6/$C$17)*'2023 Revekting utgiftsbehov'!E6*'2023 Pensjon tjeneste'!E6/'2023 Lønnsgr pensjon tjeneste'!E6)</f>
        <v>1.8307721826569114E-2</v>
      </c>
      <c r="L6" s="5">
        <f>IF('2023 Lønnsgr pensjon tjeneste'!E6&lt;100,0,C6)</f>
        <v>495545</v>
      </c>
      <c r="M6" s="55">
        <f>'2023 Revekting utgiftsbehov'!E6*L6/$L$17</f>
        <v>7.1840717968341822E-2</v>
      </c>
      <c r="N6" s="55">
        <f>'2023 Revekting utgiftsbehov'!E6/$M$17</f>
        <v>0.79939004925414059</v>
      </c>
      <c r="O6" s="55">
        <f>IF(L6=0,0,(L6/$L$17)*N6*'2023 Pensjon tjeneste'!E6/'2023 Lønnsgr pensjon tjeneste'!E6)</f>
        <v>1.8307721826569114E-2</v>
      </c>
      <c r="P6" s="5">
        <f>IF(L6=0,0,'[2]2023 Nto driftsutg landet'!$C$6*'2023 Lønnsand og pensjon landet'!$D$7*('2023 Pensjon tjeneste'!E6/'2023 Lønnsgr pensjon tjeneste'!E6-$O$17)*'2023 Revekting utgiftsbehov'!E6)</f>
        <v>-20.412780125731203</v>
      </c>
      <c r="Q6" s="5">
        <f t="shared" ref="Q6:Q15" si="15">P6*C6/1000</f>
        <v>-10115.451127405468</v>
      </c>
      <c r="R6" s="55">
        <f>IF('2023 Lønnsgr pensjon tjeneste'!F6&lt;100,0,(C6/$C$17)*'2023 Revekting utgiftsbehov'!F6*'2023 Pensjon tjeneste'!F6/'2023 Lønnsgr pensjon tjeneste'!F6)</f>
        <v>2.4740326565308605E-2</v>
      </c>
      <c r="S6" s="5">
        <f>IF('2023 Lønnsgr pensjon tjeneste'!F6&lt;100,0,C6)</f>
        <v>495545</v>
      </c>
      <c r="T6" s="55">
        <f>'2023 Revekting utgiftsbehov'!F6*S6/$S$17</f>
        <v>8.4700590483093016E-2</v>
      </c>
      <c r="U6" s="55">
        <f>'2023 Revekting utgiftsbehov'!F6/$T$17</f>
        <v>0.9424851409192746</v>
      </c>
      <c r="V6" s="55">
        <f>IF(S6=0,0,(S6/$S$17)*U6*'2023 Pensjon tjeneste'!F6/'2023 Lønnsgr pensjon tjeneste'!F6)</f>
        <v>2.4740326565308605E-2</v>
      </c>
      <c r="W6" s="5">
        <f>IF(S6=0,0,'[2]2023 Nto driftsutg landet'!$C$7*'2023 Lønnsand og pensjon landet'!$D$8*('2023 Pensjon tjeneste'!F6/'2023 Lønnsgr pensjon tjeneste'!F6-$V$17)*'2023 Revekting utgiftsbehov'!F6)</f>
        <v>1.72326016474491</v>
      </c>
      <c r="X6" s="5">
        <f t="shared" ref="X6:X15" si="16">W6*C6/1000</f>
        <v>853.9529583385164</v>
      </c>
      <c r="Y6" s="55">
        <f>IF('2023 Lønnsgr pensjon tjeneste'!G6&lt;100,0,(C6/$C$17)*'2023 Revekting utgiftsbehov'!G6*'2023 Pensjon tjeneste'!G6/'2023 Lønnsgr pensjon tjeneste'!G6)</f>
        <v>1.1659720522187361E-2</v>
      </c>
      <c r="Z6" s="5">
        <f>IF('2023 Lønnsgr pensjon tjeneste'!G6&lt;100,0,C6)</f>
        <v>495545</v>
      </c>
      <c r="AA6" s="55">
        <f>'2023 Revekting utgiftsbehov'!G6*Z6/$Z$17</f>
        <v>0.13269818841027309</v>
      </c>
      <c r="AB6" s="55">
        <f>'2023 Revekting utgiftsbehov'!G6/$AA$17</f>
        <v>0.39984387567602769</v>
      </c>
      <c r="AC6" s="55">
        <f>IF(Z6=0,0,(Z6/$Z$17)*AB6*'2023 Pensjon tjeneste'!G6/'2023 Lønnsgr pensjon tjeneste'!G6)</f>
        <v>1.6358339566297928E-2</v>
      </c>
      <c r="AD6" s="5">
        <f>IF(Z6=0,0,'[2]2023 Nto driftsutg landet'!$C$8*'2023 Lønnsand og pensjon landet'!$D$9*('2023 Pensjon tjeneste'!G6/'2023 Lønnsgr pensjon tjeneste'!G6-$AC$17)*'2023 Revekting utgiftsbehov'!G6)</f>
        <v>-0.12591244793790901</v>
      </c>
      <c r="AE6" s="5">
        <f t="shared" ref="AE6:AE15" si="17">+AD6*$C6/1000</f>
        <v>-62.395284013391127</v>
      </c>
      <c r="AF6" s="55">
        <f>IF('2023 Lønnsgr pensjon tjeneste'!H6&lt;100,0,(C6/$C$17)*'2023 Revekting utgiftsbehov'!H6*'2023 Pensjon tjeneste'!H6/'2023 Lønnsgr pensjon tjeneste'!H6)</f>
        <v>2.3401339477078367E-2</v>
      </c>
      <c r="AG6" s="5">
        <f>IF('2023 Lønnsgr pensjon tjeneste'!H6&lt;100,0,C6)</f>
        <v>495545</v>
      </c>
      <c r="AH6" s="55">
        <f>'2023 Revekting utgiftsbehov'!H6*AG6/$AG$17</f>
        <v>9.1427724337629926E-2</v>
      </c>
      <c r="AI6" s="55">
        <f>'2023 Revekting utgiftsbehov'!H6/$AH$17</f>
        <v>1.0173396804533479</v>
      </c>
      <c r="AJ6" s="55">
        <f>IF(AG6=0,0,(AG6/$AG$17)*AI6*'2023 Pensjon tjeneste'!H6/'2023 Lønnsgr pensjon tjeneste'!H6)</f>
        <v>2.3401339477078367E-2</v>
      </c>
      <c r="AK6" s="5">
        <f>IF(AG6=0,0,'[2]2023 Nto driftsutg landet'!$C$9*'2023 Lønnsand og pensjon landet'!$D$10*('2023 Pensjon tjeneste'!H6/'2023 Lønnsgr pensjon tjeneste'!H6-$AJ$17)*'2023 Revekting utgiftsbehov'!H6)</f>
        <v>4.4242585693644862</v>
      </c>
      <c r="AL6" s="5">
        <f t="shared" ref="AL6:AL15" si="18">+AK6*$C6/1000</f>
        <v>2192.4192127557244</v>
      </c>
      <c r="AM6" s="55">
        <f>IF('2023 Lønnsgr pensjon tjeneste'!K6&lt;100,0,(C6/$C$17)*'2023 Pensjon tjeneste'!K6/'2023 Lønnsgr pensjon tjeneste'!K6)</f>
        <v>2.0491129317436865E-2</v>
      </c>
      <c r="AN6" s="5">
        <f>IF('2023 Lønnsgr pensjon tjeneste'!K6&lt;100,0,C6)</f>
        <v>495545</v>
      </c>
      <c r="AO6" s="55">
        <f t="shared" si="3"/>
        <v>8.98694173581117E-2</v>
      </c>
      <c r="AP6" s="55">
        <f t="shared" si="4"/>
        <v>1</v>
      </c>
      <c r="AQ6" s="55">
        <f>IF(AN6=0,0,(AN6/$AN$17)*AP6*'2023 Pensjon tjeneste'!K6/'2023 Lønnsgr pensjon tjeneste'!K6)</f>
        <v>2.0491129317436865E-2</v>
      </c>
      <c r="AR6" s="5">
        <f>IF(AN6=0,0,'[2]2023 Nto driftsutg landet'!$C$23*'2023 Lønnsand og pensjon landet'!$D$13*('2023 Pensjon tjeneste'!K6/'2023 Lønnsgr pensjon tjeneste'!K6-$AQ$17))</f>
        <v>-84.520544647134003</v>
      </c>
      <c r="AS6" s="5">
        <f t="shared" ref="AS6:AS15" si="19">+AR6*$C6/1000</f>
        <v>-41883.733297164021</v>
      </c>
      <c r="AT6" s="55">
        <f>IF('2023 Lønnsgr pensjon tjeneste'!L6&lt;100,0,(C6/$C$17)*'2023 Pensjon tjeneste'!L6/'2023 Lønnsgr pensjon tjeneste'!L6)</f>
        <v>4.3109948935743936E-2</v>
      </c>
      <c r="AU6" s="5">
        <f>IF('2023 Lønnsgr pensjon tjeneste'!L6&lt;100,0,C6)</f>
        <v>495545</v>
      </c>
      <c r="AV6" s="55">
        <f>AU6/$AU$17</f>
        <v>0.10319257797256139</v>
      </c>
      <c r="AW6" s="55">
        <f t="shared" si="6"/>
        <v>1</v>
      </c>
      <c r="AX6" s="55">
        <f>IF(AU6=0,0,(AU6/$AU$17)*AW6*'2023 Pensjon tjeneste'!L6/'2023 Lønnsgr pensjon tjeneste'!L6)</f>
        <v>4.9501008215264215E-2</v>
      </c>
      <c r="AY6" s="5">
        <f>IF(AU6=0,0,'[2]2023 Nto driftsutg landet'!$C$24*'2023 Lønnsand og pensjon landet'!$D$14*('2023 Pensjon tjeneste'!L6/'2023 Lønnsgr pensjon tjeneste'!L6-$AX$17))</f>
        <v>6.0871497449255285</v>
      </c>
      <c r="AZ6" s="5">
        <f t="shared" ref="AZ6:AZ15" si="20">+AY6*$C6/1000</f>
        <v>3016.4566203491208</v>
      </c>
      <c r="BA6" s="55">
        <f>IF('2023 Lønnsgr pensjon tjeneste'!M6&lt;100,0,(C6/$C$17)*'2023 Pensjon tjeneste'!M6/'2023 Lønnsgr pensjon tjeneste'!M6)</f>
        <v>2.4496797276798148E-2</v>
      </c>
      <c r="BB6" s="5">
        <f>IF('2023 Lønnsgr pensjon tjeneste'!M6&lt;100,0,C6)</f>
        <v>495545</v>
      </c>
      <c r="BC6" s="55">
        <f t="shared" si="7"/>
        <v>0.10319257797256139</v>
      </c>
      <c r="BD6" s="55">
        <f t="shared" si="8"/>
        <v>1</v>
      </c>
      <c r="BE6" s="55">
        <f>IF(BB6=0,0,(BB6/$BB$17)*BD6*'2023 Pensjon tjeneste'!M6/'2023 Lønnsgr pensjon tjeneste'!M6)</f>
        <v>2.8128452786011667E-2</v>
      </c>
      <c r="BF6" s="5">
        <f>IF(BB6=0,0,'[2]2023 Nto driftsutg landet'!$C$25*'2023 Lønnsand og pensjon landet'!$D$15*('2023 Pensjon tjeneste'!M6/'2023 Lønnsgr pensjon tjeneste'!M6-$BE$17))</f>
        <v>-0.24927915563131853</v>
      </c>
      <c r="BG6" s="5">
        <f t="shared" ref="BG6:BG15" si="21">+BF6*$C6/1000</f>
        <v>-123.52903917732174</v>
      </c>
      <c r="BH6" s="55">
        <f>IF('2023 Lønnsgr pensjon tjeneste'!N6&lt;100,0,(C6/$C$17)*'2023 Pensjon tjeneste'!N6/'2023 Lønnsgr pensjon tjeneste'!N6)</f>
        <v>2.5191958527157384E-2</v>
      </c>
      <c r="BI6" s="5">
        <f>IF('2023 Lønnsgr pensjon tjeneste'!N6&lt;100,0,C6)</f>
        <v>495545</v>
      </c>
      <c r="BJ6" s="55">
        <f t="shared" si="9"/>
        <v>8.98694173581117E-2</v>
      </c>
      <c r="BK6" s="55">
        <f t="shared" si="10"/>
        <v>1</v>
      </c>
      <c r="BL6" s="55">
        <f>IF(BI6=0,0,(BI6/$BI$17)*BK6*'2023 Pensjon tjeneste'!N6/'2023 Lønnsgr pensjon tjeneste'!N6)</f>
        <v>2.5191958527157384E-2</v>
      </c>
      <c r="BM6" s="5">
        <f>IF(BI6=0,0,'[2]2023 Nto driftsutg landet'!$C$26*'2023 Lønnsand og pensjon landet'!$D$16*('2023 Pensjon tjeneste'!N6/'2023 Lønnsgr pensjon tjeneste'!N6-$BL$17))</f>
        <v>1.7791028288735455</v>
      </c>
      <c r="BN6" s="5">
        <f t="shared" ref="BN6:BN15" si="22">+BM6*$C6/1000</f>
        <v>881.62551133414115</v>
      </c>
      <c r="BO6" s="55">
        <f>IF('2023 Lønnsgr pensjon tjeneste'!O6&lt;100,0,(C6/$C$17)*'2023 Pensjon tjeneste'!O6/'2023 Lønnsgr pensjon tjeneste'!O6)</f>
        <v>0</v>
      </c>
      <c r="BP6" s="5">
        <f>IF('2023 Lønnsgr pensjon tjeneste'!O6&lt;100,0,C6)</f>
        <v>0</v>
      </c>
      <c r="BQ6" s="55">
        <f t="shared" si="11"/>
        <v>0</v>
      </c>
      <c r="BR6" s="55">
        <f t="shared" si="12"/>
        <v>1</v>
      </c>
      <c r="BS6" s="55">
        <f>IF(BP6=0,0,(BP6/$BP$17)*BR6*'2023 Pensjon tjeneste'!O6/'2023 Lønnsgr pensjon tjeneste'!O6)</f>
        <v>0</v>
      </c>
      <c r="BT6" s="5">
        <f>IF(BP6=0,0,'[2]2023 Nto driftsutg landet'!$C$27*'2023 Lønnsand og pensjon landet'!$D$17*('2023 Pensjon tjeneste'!O6/'2023 Lønnsgr pensjon tjeneste'!O6-$BS$17))</f>
        <v>0</v>
      </c>
      <c r="BU6" s="5">
        <f t="shared" ref="BU6:BU15" si="23">+BT6*$C6/1000</f>
        <v>0</v>
      </c>
      <c r="BV6" s="55">
        <f>IF('2023 Lønnsgr pensjon tjeneste'!P6&lt;100,0,(C6/$C$17)*'2023 Pensjon tjeneste'!P6/'2023 Lønnsgr pensjon tjeneste'!P6)</f>
        <v>2.3883207515153233E-2</v>
      </c>
      <c r="BW6" s="5">
        <f>IF('2023 Lønnsgr pensjon tjeneste'!P6&lt;100,0,C6)</f>
        <v>495545</v>
      </c>
      <c r="BX6" s="55">
        <f t="shared" si="13"/>
        <v>0.13004461004199627</v>
      </c>
      <c r="BY6" s="55">
        <f t="shared" si="14"/>
        <v>1</v>
      </c>
      <c r="BZ6" s="55">
        <f>IF(BW6=0,0,(BW6/$BW$17)*BY6*'2023 Pensjon tjeneste'!P6/'2023 Lønnsgr pensjon tjeneste'!P6)</f>
        <v>3.4559948191094363E-2</v>
      </c>
      <c r="CA6" s="5">
        <f>IF(BW6=0,0,'[2]2023 Nto driftsutg landet'!$C$28*'2023 Lønnsand og pensjon landet'!$D$18*('2023 Pensjon tjeneste'!P6/'2023 Lønnsgr pensjon tjeneste'!P6-$BZ$17))</f>
        <v>-0.17655281549377005</v>
      </c>
      <c r="CB6" s="5">
        <f t="shared" ref="CB6:CB15" si="24">+CA6*$C6/1000</f>
        <v>-87.489864953860277</v>
      </c>
      <c r="CC6" s="5"/>
      <c r="CD6" s="5"/>
      <c r="CE6" s="5"/>
    </row>
    <row r="7" spans="1:83" x14ac:dyDescent="0.3">
      <c r="A7" s="41">
        <v>1500</v>
      </c>
      <c r="B7" s="42" t="s">
        <v>140</v>
      </c>
      <c r="C7" s="42">
        <f>+'2023 Nto driftsutg'!W7</f>
        <v>269164</v>
      </c>
      <c r="D7" s="55">
        <f>IF('2023 Lønnsgr pensjon tjeneste'!D7&lt;100,0,(C7/$C$17)*'2023 Revekting utgiftsbehov'!D7*'2023 Pensjon tjeneste'!D7/'2023 Lønnsgr pensjon tjeneste'!D7)</f>
        <v>9.2359117479403931E-3</v>
      </c>
      <c r="E7" s="5">
        <f>IF('2023 Lønnsgr pensjon tjeneste'!D7&lt;100,0,C7)</f>
        <v>269164</v>
      </c>
      <c r="F7" s="55">
        <f>'2023 Revekting utgiftsbehov'!D7*E7/$E$17</f>
        <v>5.3643626262187466E-2</v>
      </c>
      <c r="G7" s="55">
        <f>'2023 Revekting utgiftsbehov'!D7/$F$17</f>
        <v>1.0989358133062834</v>
      </c>
      <c r="H7" s="55">
        <f>IF(E7=0,0,(E7/$E$17)*G7*'2023 Pensjon tjeneste'!D7/'2023 Lønnsgr pensjon tjeneste'!D7)</f>
        <v>9.2359117479403931E-3</v>
      </c>
      <c r="I7" s="5">
        <f>IF(E7=0,0,'[2]2023 Nto driftsutg landet'!$C$5*'2023 Lønnsand og pensjon landet'!$D$6*('2023 Pensjon tjeneste'!D7/'2023 Lønnsgr pensjon tjeneste'!D7-$H$17)*'2023 Revekting utgiftsbehov'!D7)</f>
        <v>97.354293033143392</v>
      </c>
      <c r="J7" s="5">
        <f t="shared" ref="J7:J15" si="25">I7*C7/1000</f>
        <v>26204.270929973005</v>
      </c>
      <c r="K7" s="55">
        <f>IF('2023 Lønnsgr pensjon tjeneste'!E7&lt;100,0,(C7/$C$17)*'2023 Revekting utgiftsbehov'!E7*'2023 Pensjon tjeneste'!E7/'2023 Lønnsgr pensjon tjeneste'!E7)</f>
        <v>5.6307837079740089E-2</v>
      </c>
      <c r="L7" s="5">
        <f>IF('2023 Lønnsgr pensjon tjeneste'!E7&lt;100,0,C7)</f>
        <v>269164</v>
      </c>
      <c r="M7" s="55">
        <f>'2023 Revekting utgiftsbehov'!E7*L7/$L$17</f>
        <v>7.5916491020678586E-2</v>
      </c>
      <c r="N7" s="55">
        <f>'2023 Revekting utgiftsbehov'!E7/$M$17</f>
        <v>1.5552146008066416</v>
      </c>
      <c r="O7" s="55">
        <f>IF(L7=0,0,(L7/$L$17)*N7*'2023 Pensjon tjeneste'!E7/'2023 Lønnsgr pensjon tjeneste'!E7)</f>
        <v>5.6307837079740089E-2</v>
      </c>
      <c r="P7" s="5">
        <f>IF(L7=0,0,'[2]2023 Nto driftsutg landet'!$C$6*'2023 Lønnsand og pensjon landet'!$D$7*('2023 Pensjon tjeneste'!E7/'2023 Lønnsgr pensjon tjeneste'!E7-$O$17)*'2023 Revekting utgiftsbehov'!E7)</f>
        <v>56.852378277667995</v>
      </c>
      <c r="Q7" s="5">
        <f t="shared" si="15"/>
        <v>15302.613546730228</v>
      </c>
      <c r="R7" s="55">
        <f>IF('2023 Lønnsgr pensjon tjeneste'!F7&lt;100,0,(C7/$C$17)*'2023 Revekting utgiftsbehov'!F7*'2023 Pensjon tjeneste'!F7/'2023 Lønnsgr pensjon tjeneste'!F7)</f>
        <v>1.7445391788522439E-2</v>
      </c>
      <c r="S7" s="5">
        <f>IF('2023 Lønnsgr pensjon tjeneste'!F7&lt;100,0,C7)</f>
        <v>269164</v>
      </c>
      <c r="T7" s="55">
        <f>'2023 Revekting utgiftsbehov'!F7*S7/$S$17</f>
        <v>5.236864917025278E-2</v>
      </c>
      <c r="U7" s="55">
        <f>'2023 Revekting utgiftsbehov'!F7/$T$17</f>
        <v>1.0728168111973642</v>
      </c>
      <c r="V7" s="55">
        <f>IF(S7=0,0,(S7/$S$17)*U7*'2023 Pensjon tjeneste'!F7/'2023 Lønnsgr pensjon tjeneste'!F7)</f>
        <v>1.7445391788522439E-2</v>
      </c>
      <c r="W7" s="5">
        <f>IF(S7=0,0,'[2]2023 Nto driftsutg landet'!$C$7*'2023 Lønnsand og pensjon landet'!$D$8*('2023 Pensjon tjeneste'!F7/'2023 Lønnsgr pensjon tjeneste'!F7-$V$17)*'2023 Revekting utgiftsbehov'!F7)</f>
        <v>3.7422291273086201</v>
      </c>
      <c r="X7" s="5">
        <f t="shared" si="16"/>
        <v>1007.2733608228974</v>
      </c>
      <c r="Y7" s="55">
        <f>IF('2023 Lønnsgr pensjon tjeneste'!G7&lt;100,0,(C7/$C$17)*'2023 Revekting utgiftsbehov'!G7*'2023 Pensjon tjeneste'!G7/'2023 Lønnsgr pensjon tjeneste'!G7)</f>
        <v>5.0423227613113873E-2</v>
      </c>
      <c r="Z7" s="5">
        <f>IF('2023 Lønnsgr pensjon tjeneste'!G7&lt;100,0,C7)</f>
        <v>269164</v>
      </c>
      <c r="AA7" s="55">
        <f>'2023 Revekting utgiftsbehov'!G7*Z7/$Z$17</f>
        <v>0.40564749417628737</v>
      </c>
      <c r="AB7" s="55">
        <f>'2023 Revekting utgiftsbehov'!G7/$AA$17</f>
        <v>2.2502997755280898</v>
      </c>
      <c r="AC7" s="55">
        <f>IF(Z7=0,0,(Z7/$Z$17)*AB7*'2023 Pensjon tjeneste'!G7/'2023 Lønnsgr pensjon tjeneste'!G7)</f>
        <v>7.0742714437661919E-2</v>
      </c>
      <c r="AD7" s="5">
        <f>IF(Z7=0,0,'[2]2023 Nto driftsutg landet'!$C$8*'2023 Lønnsand og pensjon landet'!$D$9*('2023 Pensjon tjeneste'!G7/'2023 Lønnsgr pensjon tjeneste'!G7-$AC$17)*'2023 Revekting utgiftsbehov'!G7)</f>
        <v>0.3097759291328393</v>
      </c>
      <c r="AE7" s="5">
        <f t="shared" si="17"/>
        <v>83.380528189111558</v>
      </c>
      <c r="AF7" s="55">
        <f>IF('2023 Lønnsgr pensjon tjeneste'!H7&lt;100,0,(C7/$C$17)*'2023 Revekting utgiftsbehov'!H7*'2023 Pensjon tjeneste'!H7/'2023 Lønnsgr pensjon tjeneste'!H7)</f>
        <v>1.5412596333283467E-2</v>
      </c>
      <c r="AG7" s="5">
        <f>IF('2023 Lønnsgr pensjon tjeneste'!H7&lt;100,0,C7)</f>
        <v>269164</v>
      </c>
      <c r="AH7" s="55">
        <f>'2023 Revekting utgiftsbehov'!H7*AG7/$AG$17</f>
        <v>5.2742861171396364E-2</v>
      </c>
      <c r="AI7" s="55">
        <f>'2023 Revekting utgiftsbehov'!H7/$AH$17</f>
        <v>1.0804828658338601</v>
      </c>
      <c r="AJ7" s="55">
        <f>IF(AG7=0,0,(AG7/$AG$17)*AI7*'2023 Pensjon tjeneste'!H7/'2023 Lønnsgr pensjon tjeneste'!H7)</f>
        <v>1.5412596333283467E-2</v>
      </c>
      <c r="AK7" s="5">
        <f>IF(AG7=0,0,'[2]2023 Nto driftsutg landet'!$C$9*'2023 Lønnsand og pensjon landet'!$D$10*('2023 Pensjon tjeneste'!H7/'2023 Lønnsgr pensjon tjeneste'!H7-$AJ$17)*'2023 Revekting utgiftsbehov'!H7)</f>
        <v>16.856506542334284</v>
      </c>
      <c r="AL7" s="5">
        <f t="shared" si="18"/>
        <v>4537.1647269608648</v>
      </c>
      <c r="AM7" s="55">
        <f>IF('2023 Lønnsgr pensjon tjeneste'!K7&lt;100,0,(C7/$C$17)*'2023 Pensjon tjeneste'!K7/'2023 Lønnsgr pensjon tjeneste'!K7)</f>
        <v>1.2091097481311621E-2</v>
      </c>
      <c r="AN7" s="5">
        <f>IF('2023 Lønnsgr pensjon tjeneste'!K7&lt;100,0,C7)</f>
        <v>269164</v>
      </c>
      <c r="AO7" s="55">
        <f t="shared" si="3"/>
        <v>4.8814157854037026E-2</v>
      </c>
      <c r="AP7" s="55">
        <f t="shared" si="4"/>
        <v>1</v>
      </c>
      <c r="AQ7" s="55">
        <f>IF(AN7=0,0,(AN7/$AN$17)*AP7*'2023 Pensjon tjeneste'!K7/'2023 Lønnsgr pensjon tjeneste'!K7)</f>
        <v>1.2091097481311621E-2</v>
      </c>
      <c r="AR7" s="5">
        <f>IF(AN7=0,0,'[2]2023 Nto driftsutg landet'!$C$23*'2023 Lønnsand og pensjon landet'!$D$13*('2023 Pensjon tjeneste'!K7/'2023 Lønnsgr pensjon tjeneste'!K7-$AQ$17))</f>
        <v>-77.368684048112044</v>
      </c>
      <c r="AS7" s="5">
        <f t="shared" si="19"/>
        <v>-20824.864473126032</v>
      </c>
      <c r="AT7" s="55">
        <f>IF('2023 Lønnsgr pensjon tjeneste'!L7&lt;100,0,(C7/$C$17)*'2023 Pensjon tjeneste'!L7/'2023 Lønnsgr pensjon tjeneste'!L7)</f>
        <v>1.7983988056186808E-2</v>
      </c>
      <c r="AU7" s="5">
        <f>IF('2023 Lønnsgr pensjon tjeneste'!L7&lt;100,0,C7)</f>
        <v>269164</v>
      </c>
      <c r="AV7" s="55">
        <f t="shared" si="5"/>
        <v>5.6050867342837714E-2</v>
      </c>
      <c r="AW7" s="55">
        <f t="shared" si="6"/>
        <v>1</v>
      </c>
      <c r="AX7" s="55">
        <f>IF(AU7=0,0,(AU7/$AU$17)*AW7*'2023 Pensjon tjeneste'!L7/'2023 Lønnsgr pensjon tjeneste'!L7)</f>
        <v>2.0650118185929937E-2</v>
      </c>
      <c r="AY7" s="5">
        <f>IF(AU7=0,0,'[2]2023 Nto driftsutg landet'!$C$24*'2023 Lønnsand og pensjon landet'!$D$14*('2023 Pensjon tjeneste'!L7/'2023 Lønnsgr pensjon tjeneste'!L7-$AX$17))</f>
        <v>1.9776596870666976</v>
      </c>
      <c r="AZ7" s="5">
        <f t="shared" si="20"/>
        <v>532.31479200962053</v>
      </c>
      <c r="BA7" s="55">
        <f>IF('2023 Lønnsgr pensjon tjeneste'!M7&lt;100,0,(C7/$C$17)*'2023 Pensjon tjeneste'!M7/'2023 Lønnsgr pensjon tjeneste'!M7)</f>
        <v>1.3078990739637983E-2</v>
      </c>
      <c r="BB7" s="5">
        <f>IF('2023 Lønnsgr pensjon tjeneste'!M7&lt;100,0,C7)</f>
        <v>269164</v>
      </c>
      <c r="BC7" s="55">
        <f t="shared" si="7"/>
        <v>5.6050867342837714E-2</v>
      </c>
      <c r="BD7" s="55">
        <f t="shared" si="8"/>
        <v>1</v>
      </c>
      <c r="BE7" s="55">
        <f>IF(BB7=0,0,(BB7/$BB$17)*BD7*'2023 Pensjon tjeneste'!M7/'2023 Lønnsgr pensjon tjeneste'!M7)</f>
        <v>1.5017953953394357E-2</v>
      </c>
      <c r="BF7" s="5">
        <f>IF(BB7=0,0,'[2]2023 Nto driftsutg landet'!$C$25*'2023 Lønnsand og pensjon landet'!$D$15*('2023 Pensjon tjeneste'!M7/'2023 Lønnsgr pensjon tjeneste'!M7-$BE$17))</f>
        <v>-0.2307258830720845</v>
      </c>
      <c r="BG7" s="5">
        <f t="shared" si="21"/>
        <v>-62.103101591214553</v>
      </c>
      <c r="BH7" s="55">
        <f>IF('2023 Lønnsgr pensjon tjeneste'!N7&lt;100,0,(C7/$C$17)*'2023 Pensjon tjeneste'!N7/'2023 Lønnsgr pensjon tjeneste'!N7)</f>
        <v>1.4733988465281372E-2</v>
      </c>
      <c r="BI7" s="5">
        <f>IF('2023 Lønnsgr pensjon tjeneste'!N7&lt;100,0,C7)</f>
        <v>269164</v>
      </c>
      <c r="BJ7" s="55">
        <f t="shared" si="9"/>
        <v>4.8814157854037026E-2</v>
      </c>
      <c r="BK7" s="55">
        <f t="shared" si="10"/>
        <v>1</v>
      </c>
      <c r="BL7" s="55">
        <f>IF(BI7=0,0,(BI7/$BI$17)*BK7*'2023 Pensjon tjeneste'!N7/'2023 Lønnsgr pensjon tjeneste'!N7)</f>
        <v>1.4733988465281372E-2</v>
      </c>
      <c r="BM7" s="5">
        <f>IF(BI7=0,0,'[2]2023 Nto driftsutg landet'!$C$26*'2023 Lønnsand og pensjon landet'!$D$16*('2023 Pensjon tjeneste'!N7/'2023 Lønnsgr pensjon tjeneste'!N7-$BL$17))</f>
        <v>2.4125898577636113</v>
      </c>
      <c r="BN7" s="5">
        <f t="shared" si="22"/>
        <v>649.38233647508468</v>
      </c>
      <c r="BO7" s="55">
        <f>IF('2023 Lønnsgr pensjon tjeneste'!O7&lt;100,0,(C7/$C$17)*'2023 Pensjon tjeneste'!O7/'2023 Lønnsgr pensjon tjeneste'!O7)</f>
        <v>0</v>
      </c>
      <c r="BP7" s="5">
        <f>IF('2023 Lønnsgr pensjon tjeneste'!O7&lt;100,0,C7)</f>
        <v>0</v>
      </c>
      <c r="BQ7" s="55">
        <f t="shared" si="11"/>
        <v>0</v>
      </c>
      <c r="BR7" s="55">
        <f t="shared" si="12"/>
        <v>1</v>
      </c>
      <c r="BS7" s="55">
        <f>IF(BP7=0,0,(BP7/$BP$17)*BR7*'2023 Pensjon tjeneste'!O7/'2023 Lønnsgr pensjon tjeneste'!O7)</f>
        <v>0</v>
      </c>
      <c r="BT7" s="5">
        <f>IF(BP7=0,0,'[2]2023 Nto driftsutg landet'!$C$27*'2023 Lønnsand og pensjon landet'!$D$17*('2023 Pensjon tjeneste'!O7/'2023 Lønnsgr pensjon tjeneste'!O7-$BS$17))</f>
        <v>0</v>
      </c>
      <c r="BU7" s="5">
        <f t="shared" si="23"/>
        <v>0</v>
      </c>
      <c r="BV7" s="55">
        <f>IF('2023 Lønnsgr pensjon tjeneste'!P7&lt;100,0,(C7/$C$17)*'2023 Pensjon tjeneste'!P7/'2023 Lønnsgr pensjon tjeneste'!P7)</f>
        <v>0</v>
      </c>
      <c r="BW7" s="5">
        <f>IF('2023 Lønnsgr pensjon tjeneste'!P7&lt;100,0,C7)</f>
        <v>0</v>
      </c>
      <c r="BX7" s="55">
        <f t="shared" si="13"/>
        <v>0</v>
      </c>
      <c r="BY7" s="55">
        <f t="shared" si="14"/>
        <v>1</v>
      </c>
      <c r="BZ7" s="55">
        <f>IF(BW7=0,0,(BW7/$BW$17)*BY7*'2023 Pensjon tjeneste'!P7/'2023 Lønnsgr pensjon tjeneste'!P7)</f>
        <v>0</v>
      </c>
      <c r="CA7" s="5">
        <f>IF(BW7=0,0,'[2]2023 Nto driftsutg landet'!$C$28*'2023 Lønnsand og pensjon landet'!$D$18*('2023 Pensjon tjeneste'!P7/'2023 Lønnsgr pensjon tjeneste'!P7-$BZ$17))</f>
        <v>0</v>
      </c>
      <c r="CB7" s="5">
        <f t="shared" si="24"/>
        <v>0</v>
      </c>
      <c r="CC7" s="5"/>
      <c r="CD7" s="5"/>
      <c r="CE7" s="5"/>
    </row>
    <row r="8" spans="1:83" x14ac:dyDescent="0.3">
      <c r="A8" s="41">
        <v>1800</v>
      </c>
      <c r="B8" s="42" t="s">
        <v>141</v>
      </c>
      <c r="C8" s="42">
        <f>+'2023 Nto driftsutg'!W8</f>
        <v>241960</v>
      </c>
      <c r="D8" s="55">
        <f>IF('2023 Lønnsgr pensjon tjeneste'!D8&lt;100,0,(C8/$C$17)*'2023 Revekting utgiftsbehov'!D8*'2023 Pensjon tjeneste'!D8/'2023 Lønnsgr pensjon tjeneste'!D8)</f>
        <v>8.1239452198883146E-3</v>
      </c>
      <c r="E8" s="5">
        <f>IF('2023 Lønnsgr pensjon tjeneste'!D8&lt;100,0,C8)</f>
        <v>241960</v>
      </c>
      <c r="F8" s="55">
        <f>'2023 Revekting utgiftsbehov'!D8*E8/$E$17</f>
        <v>4.7625257205129057E-2</v>
      </c>
      <c r="G8" s="55">
        <f>'2023 Revekting utgiftsbehov'!D8/$F$17</f>
        <v>1.0853378047755213</v>
      </c>
      <c r="H8" s="55">
        <f>IF(E8=0,0,(E8/$E$17)*G8*'2023 Pensjon tjeneste'!D8/'2023 Lønnsgr pensjon tjeneste'!D8)</f>
        <v>8.1239452198883164E-3</v>
      </c>
      <c r="I8" s="5">
        <f>IF(E8=0,0,'[2]2023 Nto driftsutg landet'!$C$5*'2023 Lønnsand og pensjon landet'!$D$6*('2023 Pensjon tjeneste'!D8/'2023 Lønnsgr pensjon tjeneste'!D8-$H$17)*'2023 Revekting utgiftsbehov'!D8)</f>
        <v>89.58451876783657</v>
      </c>
      <c r="J8" s="5">
        <f t="shared" si="25"/>
        <v>21675.870161065734</v>
      </c>
      <c r="K8" s="55">
        <f>IF('2023 Lønnsgr pensjon tjeneste'!E8&lt;100,0,(C8/$C$17)*'2023 Revekting utgiftsbehov'!E8*'2023 Pensjon tjeneste'!E8/'2023 Lønnsgr pensjon tjeneste'!E8)</f>
        <v>4.8517136685455847E-2</v>
      </c>
      <c r="L8" s="5">
        <f>IF('2023 Lønnsgr pensjon tjeneste'!E8&lt;100,0,C8)</f>
        <v>241960</v>
      </c>
      <c r="M8" s="55">
        <f>'2023 Revekting utgiftsbehov'!E8*L8/$L$17</f>
        <v>8.5049046958107458E-2</v>
      </c>
      <c r="N8" s="55">
        <f>'2023 Revekting utgiftsbehov'!E8/$M$17</f>
        <v>1.9381931214813777</v>
      </c>
      <c r="O8" s="55">
        <f>IF(L8=0,0,(L8/$L$17)*N8*'2023 Pensjon tjeneste'!E8/'2023 Lønnsgr pensjon tjeneste'!E8)</f>
        <v>4.8517136685455847E-2</v>
      </c>
      <c r="P8" s="5">
        <f>IF(L8=0,0,'[2]2023 Nto driftsutg landet'!$C$6*'2023 Lønnsand og pensjon landet'!$D$7*('2023 Pensjon tjeneste'!E8/'2023 Lønnsgr pensjon tjeneste'!E8-$O$17)*'2023 Revekting utgiftsbehov'!E8)</f>
        <v>28.523490297794115</v>
      </c>
      <c r="Q8" s="5">
        <f t="shared" si="15"/>
        <v>6901.5437124542641</v>
      </c>
      <c r="R8" s="55">
        <f>IF('2023 Lønnsgr pensjon tjeneste'!F8&lt;100,0,(C8/$C$17)*'2023 Revekting utgiftsbehov'!F8*'2023 Pensjon tjeneste'!F8/'2023 Lønnsgr pensjon tjeneste'!F8)</f>
        <v>2.0710381302101909E-2</v>
      </c>
      <c r="S8" s="5">
        <f>IF('2023 Lønnsgr pensjon tjeneste'!F8&lt;100,0,C8)</f>
        <v>241960</v>
      </c>
      <c r="T8" s="55">
        <f>'2023 Revekting utgiftsbehov'!F8*S8/$S$17</f>
        <v>5.9448411678979497E-2</v>
      </c>
      <c r="U8" s="55">
        <f>'2023 Revekting utgiftsbehov'!F8/$T$17</f>
        <v>1.3547771165025086</v>
      </c>
      <c r="V8" s="55">
        <f>IF(S8=0,0,(S8/$S$17)*U8*'2023 Pensjon tjeneste'!F8/'2023 Lønnsgr pensjon tjeneste'!F8)</f>
        <v>2.0710381302101909E-2</v>
      </c>
      <c r="W8" s="5">
        <f>IF(S8=0,0,'[2]2023 Nto driftsutg landet'!$C$7*'2023 Lønnsand og pensjon landet'!$D$8*('2023 Pensjon tjeneste'!F8/'2023 Lønnsgr pensjon tjeneste'!F8-$V$17)*'2023 Revekting utgiftsbehov'!F8)</f>
        <v>5.5613983544938881</v>
      </c>
      <c r="X8" s="5">
        <f t="shared" si="16"/>
        <v>1345.6359458533411</v>
      </c>
      <c r="Y8" s="55">
        <f>IF('2023 Lønnsgr pensjon tjeneste'!G8&lt;100,0,(C8/$C$17)*'2023 Revekting utgiftsbehov'!G8*'2023 Pensjon tjeneste'!G8/'2023 Lønnsgr pensjon tjeneste'!G8)</f>
        <v>7.553942599431121E-2</v>
      </c>
      <c r="Z8" s="5">
        <f>IF('2023 Lønnsgr pensjon tjeneste'!G8&lt;100,0,C8)</f>
        <v>241960</v>
      </c>
      <c r="AA8" s="55">
        <f>'2023 Revekting utgiftsbehov'!G8*Z8/$Z$17</f>
        <v>0.52485798422779961</v>
      </c>
      <c r="AB8" s="55">
        <f>'2023 Revekting utgiftsbehov'!G8/$AA$17</f>
        <v>3.2389689542976696</v>
      </c>
      <c r="AC8" s="55">
        <f>IF(Z8=0,0,(Z8/$Z$17)*AB8*'2023 Pensjon tjeneste'!G8/'2023 Lønnsgr pensjon tjeneste'!G8)</f>
        <v>0.10598020584685147</v>
      </c>
      <c r="AD8" s="5">
        <f>IF(Z8=0,0,'[2]2023 Nto driftsutg landet'!$C$8*'2023 Lønnsand og pensjon landet'!$D$9*('2023 Pensjon tjeneste'!G8/'2023 Lønnsgr pensjon tjeneste'!G8-$AC$17)*'2023 Revekting utgiftsbehov'!G8)</f>
        <v>1.2352058798105245</v>
      </c>
      <c r="AE8" s="5">
        <f t="shared" si="17"/>
        <v>298.87041467895455</v>
      </c>
      <c r="AF8" s="55">
        <f>IF('2023 Lønnsgr pensjon tjeneste'!H8&lt;100,0,(C8/$C$17)*'2023 Revekting utgiftsbehov'!H8*'2023 Pensjon tjeneste'!H8/'2023 Lønnsgr pensjon tjeneste'!H8)</f>
        <v>1.644349465032794E-2</v>
      </c>
      <c r="AG8" s="5">
        <f>IF('2023 Lønnsgr pensjon tjeneste'!H8&lt;100,0,C8)</f>
        <v>241960</v>
      </c>
      <c r="AH8" s="55">
        <f>'2023 Revekting utgiftsbehov'!H8*AG8/$AG$17</f>
        <v>5.0925677592769274E-2</v>
      </c>
      <c r="AI8" s="55">
        <f>'2023 Revekting utgiftsbehov'!H8/$AH$17</f>
        <v>1.1605514881983592</v>
      </c>
      <c r="AJ8" s="55">
        <f>IF(AG8=0,0,(AG8/$AG$17)*AI8*'2023 Pensjon tjeneste'!H8/'2023 Lønnsgr pensjon tjeneste'!H8)</f>
        <v>1.644349465032794E-2</v>
      </c>
      <c r="AK8" s="5">
        <f>IF(AG8=0,0,'[2]2023 Nto driftsutg landet'!$C$9*'2023 Lønnsand og pensjon landet'!$D$10*('2023 Pensjon tjeneste'!H8/'2023 Lønnsgr pensjon tjeneste'!H8-$AJ$17)*'2023 Revekting utgiftsbehov'!H8)</f>
        <v>29.149146004268228</v>
      </c>
      <c r="AL8" s="5">
        <f t="shared" si="18"/>
        <v>7052.9273671927403</v>
      </c>
      <c r="AM8" s="55">
        <f>IF('2023 Lønnsgr pensjon tjeneste'!K8&lt;100,0,(C8/$C$17)*'2023 Pensjon tjeneste'!K8/'2023 Lønnsgr pensjon tjeneste'!K8)</f>
        <v>1.3171861947590454E-2</v>
      </c>
      <c r="AN8" s="5">
        <f>IF('2023 Lønnsgr pensjon tjeneste'!K8&lt;100,0,C8)</f>
        <v>241960</v>
      </c>
      <c r="AO8" s="55">
        <f t="shared" si="3"/>
        <v>4.3880584455435342E-2</v>
      </c>
      <c r="AP8" s="55">
        <f t="shared" si="4"/>
        <v>1</v>
      </c>
      <c r="AQ8" s="55">
        <f>IF(AN8=0,0,(AN8/$AN$17)*AP8*'2023 Pensjon tjeneste'!K8/'2023 Lønnsgr pensjon tjeneste'!K8)</f>
        <v>1.3171861947590454E-2</v>
      </c>
      <c r="AR8" s="5">
        <f>IF(AN8=0,0,'[2]2023 Nto driftsutg landet'!$C$23*'2023 Lønnsand og pensjon landet'!$D$13*('2023 Pensjon tjeneste'!K8/'2023 Lønnsgr pensjon tjeneste'!K8-$AQ$17))</f>
        <v>-58.303837213948974</v>
      </c>
      <c r="AS8" s="5">
        <f t="shared" si="19"/>
        <v>-14107.196452287093</v>
      </c>
      <c r="AT8" s="55">
        <f>IF('2023 Lønnsgr pensjon tjeneste'!L8&lt;100,0,(C8/$C$17)*'2023 Pensjon tjeneste'!L8/'2023 Lønnsgr pensjon tjeneste'!L8)</f>
        <v>1.5669659811846311E-2</v>
      </c>
      <c r="AU8" s="5">
        <f>IF('2023 Lønnsgr pensjon tjeneste'!L8&lt;100,0,C8)</f>
        <v>241960</v>
      </c>
      <c r="AV8" s="55">
        <f t="shared" si="5"/>
        <v>5.0385890617887286E-2</v>
      </c>
      <c r="AW8" s="55">
        <f t="shared" si="6"/>
        <v>1</v>
      </c>
      <c r="AX8" s="55">
        <f>IF(AU8=0,0,(AU8/$AU$17)*AW8*'2023 Pensjon tjeneste'!L8/'2023 Lønnsgr pensjon tjeneste'!L8)</f>
        <v>1.799269027742852E-2</v>
      </c>
      <c r="AY8" s="5">
        <f>IF(AU8=0,0,'[2]2023 Nto driftsutg landet'!$C$24*'2023 Lønnsand og pensjon landet'!$D$14*('2023 Pensjon tjeneste'!L8/'2023 Lønnsgr pensjon tjeneste'!L8-$AX$17))</f>
        <v>1.5596248862874549</v>
      </c>
      <c r="AZ8" s="5">
        <f t="shared" si="20"/>
        <v>377.36683748611262</v>
      </c>
      <c r="BA8" s="55">
        <f>IF('2023 Lønnsgr pensjon tjeneste'!M8&lt;100,0,(C8/$C$17)*'2023 Pensjon tjeneste'!M8/'2023 Lønnsgr pensjon tjeneste'!M8)</f>
        <v>1.3396753653798171E-2</v>
      </c>
      <c r="BB8" s="5">
        <f>IF('2023 Lønnsgr pensjon tjeneste'!M8&lt;100,0,C8)</f>
        <v>241960</v>
      </c>
      <c r="BC8" s="55">
        <f t="shared" si="7"/>
        <v>5.0385890617887286E-2</v>
      </c>
      <c r="BD8" s="55">
        <f t="shared" si="8"/>
        <v>1</v>
      </c>
      <c r="BE8" s="55">
        <f>IF(BB8=0,0,(BB8/$BB$17)*BD8*'2023 Pensjon tjeneste'!M8/'2023 Lønnsgr pensjon tjeneste'!M8)</f>
        <v>1.5382825288496028E-2</v>
      </c>
      <c r="BF8" s="5">
        <f>IF(BB8=0,0,'[2]2023 Nto driftsutg landet'!$C$25*'2023 Lønnsand og pensjon landet'!$D$15*('2023 Pensjon tjeneste'!M8/'2023 Lønnsgr pensjon tjeneste'!M8-$BE$17))</f>
        <v>-0.37988582930153503</v>
      </c>
      <c r="BG8" s="5">
        <f t="shared" si="21"/>
        <v>-91.917175257799414</v>
      </c>
      <c r="BH8" s="55">
        <f>IF('2023 Lønnsgr pensjon tjeneste'!N8&lt;100,0,(C8/$C$17)*'2023 Pensjon tjeneste'!N8/'2023 Lønnsgr pensjon tjeneste'!N8)</f>
        <v>1.4020499862387169E-2</v>
      </c>
      <c r="BI8" s="5">
        <f>IF('2023 Lønnsgr pensjon tjeneste'!N8&lt;100,0,C8)</f>
        <v>241960</v>
      </c>
      <c r="BJ8" s="55">
        <f t="shared" si="9"/>
        <v>4.3880584455435342E-2</v>
      </c>
      <c r="BK8" s="55">
        <f t="shared" si="10"/>
        <v>1</v>
      </c>
      <c r="BL8" s="55">
        <f>IF(BI8=0,0,(BI8/$BI$17)*BK8*'2023 Pensjon tjeneste'!N8/'2023 Lønnsgr pensjon tjeneste'!N8)</f>
        <v>1.4020499862387169E-2</v>
      </c>
      <c r="BM8" s="5">
        <f>IF(BI8=0,0,'[2]2023 Nto driftsutg landet'!$C$26*'2023 Lønnsand og pensjon landet'!$D$16*('2023 Pensjon tjeneste'!N8/'2023 Lønnsgr pensjon tjeneste'!N8-$BL$17))</f>
        <v>2.9329085845715102</v>
      </c>
      <c r="BN8" s="5">
        <f t="shared" si="22"/>
        <v>709.64656112292255</v>
      </c>
      <c r="BO8" s="55">
        <f>IF('2023 Lønnsgr pensjon tjeneste'!O8&lt;100,0,(C8/$C$17)*'2023 Pensjon tjeneste'!O8/'2023 Lønnsgr pensjon tjeneste'!O8)</f>
        <v>0</v>
      </c>
      <c r="BP8" s="5">
        <f>IF('2023 Lønnsgr pensjon tjeneste'!O8&lt;100,0,C8)</f>
        <v>0</v>
      </c>
      <c r="BQ8" s="55">
        <f t="shared" si="11"/>
        <v>0</v>
      </c>
      <c r="BR8" s="55">
        <f t="shared" si="12"/>
        <v>1</v>
      </c>
      <c r="BS8" s="55">
        <f>IF(BP8=0,0,(BP8/$BP$17)*BR8*'2023 Pensjon tjeneste'!O8/'2023 Lønnsgr pensjon tjeneste'!O8)</f>
        <v>0</v>
      </c>
      <c r="BT8" s="5">
        <f>IF(BP8=0,0,'[2]2023 Nto driftsutg landet'!$C$27*'2023 Lønnsand og pensjon landet'!$D$17*('2023 Pensjon tjeneste'!O8/'2023 Lønnsgr pensjon tjeneste'!O8-$BS$17))</f>
        <v>0</v>
      </c>
      <c r="BU8" s="5">
        <f t="shared" si="23"/>
        <v>0</v>
      </c>
      <c r="BV8" s="55">
        <f>IF('2023 Lønnsgr pensjon tjeneste'!P8&lt;100,0,(C8/$C$17)*'2023 Pensjon tjeneste'!P8/'2023 Lønnsgr pensjon tjeneste'!P8)</f>
        <v>0</v>
      </c>
      <c r="BW8" s="5">
        <f>IF('2023 Lønnsgr pensjon tjeneste'!P8&lt;100,0,C8)</f>
        <v>0</v>
      </c>
      <c r="BX8" s="55">
        <f t="shared" si="13"/>
        <v>0</v>
      </c>
      <c r="BY8" s="55">
        <f t="shared" si="14"/>
        <v>1</v>
      </c>
      <c r="BZ8" s="55">
        <f>IF(BW8=0,0,(BW8/$BW$17)*BY8*'2023 Pensjon tjeneste'!P8/'2023 Lønnsgr pensjon tjeneste'!P8)</f>
        <v>0</v>
      </c>
      <c r="CA8" s="5">
        <f>IF(BW8=0,0,'[2]2023 Nto driftsutg landet'!$C$28*'2023 Lønnsand og pensjon landet'!$D$18*('2023 Pensjon tjeneste'!P8/'2023 Lønnsgr pensjon tjeneste'!P8-$BZ$17))</f>
        <v>0</v>
      </c>
      <c r="CB8" s="5">
        <f t="shared" si="24"/>
        <v>0</v>
      </c>
      <c r="CC8" s="5"/>
      <c r="CD8" s="5"/>
      <c r="CE8" s="5"/>
    </row>
    <row r="9" spans="1:83" x14ac:dyDescent="0.3">
      <c r="A9" s="41">
        <v>3000</v>
      </c>
      <c r="B9" s="42" t="s">
        <v>403</v>
      </c>
      <c r="C9" s="42">
        <f>+'2023 Nto driftsutg'!W9</f>
        <v>1300096</v>
      </c>
      <c r="D9" s="55">
        <f>IF('2023 Lønnsgr pensjon tjeneste'!D9&lt;100,0,(C9/$C$17)*'2023 Revekting utgiftsbehov'!D9*'2023 Pensjon tjeneste'!D9/'2023 Lønnsgr pensjon tjeneste'!D9)</f>
        <v>2.8142396246810218E-2</v>
      </c>
      <c r="E9" s="5">
        <f>IF('2023 Lønnsgr pensjon tjeneste'!D9&lt;100,0,C9)</f>
        <v>1300096</v>
      </c>
      <c r="F9" s="55">
        <f>'2023 Revekting utgiftsbehov'!D9*E9/$E$17</f>
        <v>0.23836049048609598</v>
      </c>
      <c r="G9" s="55">
        <f>'2023 Revekting utgiftsbehov'!D9/$F$17</f>
        <v>1.0109508011160719</v>
      </c>
      <c r="H9" s="55">
        <f>IF(E9=0,0,(E9/$E$17)*G9*'2023 Pensjon tjeneste'!D9/'2023 Lønnsgr pensjon tjeneste'!D9)</f>
        <v>2.8142396246810218E-2</v>
      </c>
      <c r="I9" s="5">
        <f>IF(E9=0,0,'[2]2023 Nto driftsutg landet'!$C$5*'2023 Lønnsand og pensjon landet'!$D$6*('2023 Pensjon tjeneste'!D9/'2023 Lønnsgr pensjon tjeneste'!D9-$H$17)*'2023 Revekting utgiftsbehov'!D9)</f>
        <v>-118.39275612815726</v>
      </c>
      <c r="J9" s="5">
        <f t="shared" si="25"/>
        <v>-153921.94867119275</v>
      </c>
      <c r="K9" s="55">
        <f>IF('2023 Lønnsgr pensjon tjeneste'!E9&lt;100,0,(C9/$C$17)*'2023 Revekting utgiftsbehov'!E9*'2023 Pensjon tjeneste'!E9/'2023 Lønnsgr pensjon tjeneste'!E9)</f>
        <v>2.9042547144747029E-2</v>
      </c>
      <c r="L9" s="5">
        <f>IF('2023 Lønnsgr pensjon tjeneste'!E9&lt;100,0,C9)</f>
        <v>1300096</v>
      </c>
      <c r="M9" s="55">
        <f>'2023 Revekting utgiftsbehov'!E9*L9/$L$17</f>
        <v>0.14294762646220679</v>
      </c>
      <c r="N9" s="55">
        <f>'2023 Revekting utgiftsbehov'!E9/$M$17</f>
        <v>0.60627924197881555</v>
      </c>
      <c r="O9" s="55">
        <f>IF(L9=0,0,(L9/$L$17)*N9*'2023 Pensjon tjeneste'!E9/'2023 Lønnsgr pensjon tjeneste'!E9)</f>
        <v>2.9042547144747029E-2</v>
      </c>
      <c r="P9" s="5">
        <f>IF(L9=0,0,'[2]2023 Nto driftsutg landet'!$C$6*'2023 Lønnsand og pensjon landet'!$D$7*('2023 Pensjon tjeneste'!E9/'2023 Lønnsgr pensjon tjeneste'!E9-$O$17)*'2023 Revekting utgiftsbehov'!E9)</f>
        <v>-19.476616035427313</v>
      </c>
      <c r="Q9" s="5">
        <f t="shared" si="15"/>
        <v>-25321.470601194906</v>
      </c>
      <c r="R9" s="55">
        <f>IF('2023 Lønnsgr pensjon tjeneste'!F9&lt;100,0,(C9/$C$17)*'2023 Revekting utgiftsbehov'!F9*'2023 Pensjon tjeneste'!F9/'2023 Lønnsgr pensjon tjeneste'!F9)</f>
        <v>2.9782276733915168E-2</v>
      </c>
      <c r="S9" s="5">
        <f>IF('2023 Lønnsgr pensjon tjeneste'!F9&lt;100,0,C9)</f>
        <v>1300096</v>
      </c>
      <c r="T9" s="55">
        <f>'2023 Revekting utgiftsbehov'!F9*S9/$S$17</f>
        <v>0.15400471544489103</v>
      </c>
      <c r="U9" s="55">
        <f>'2023 Revekting utgiftsbehov'!F9/$T$17</f>
        <v>0.65317532338165341</v>
      </c>
      <c r="V9" s="55">
        <f>IF(S9=0,0,(S9/$S$17)*U9*'2023 Pensjon tjeneste'!F9/'2023 Lønnsgr pensjon tjeneste'!F9)</f>
        <v>2.9782276733915168E-2</v>
      </c>
      <c r="W9" s="5">
        <f>IF(S9=0,0,'[2]2023 Nto driftsutg landet'!$C$7*'2023 Lønnsand og pensjon landet'!$D$8*('2023 Pensjon tjeneste'!F9/'2023 Lønnsgr pensjon tjeneste'!F9-$V$17)*'2023 Revekting utgiftsbehov'!F9)</f>
        <v>-1.4135278658136174</v>
      </c>
      <c r="X9" s="5">
        <f t="shared" si="16"/>
        <v>-1837.7219242328208</v>
      </c>
      <c r="Y9" s="55">
        <f>IF('2023 Lønnsgr pensjon tjeneste'!G9&lt;100,0,(C9/$C$17)*'2023 Revekting utgiftsbehov'!G9*'2023 Pensjon tjeneste'!G9/'2023 Lønnsgr pensjon tjeneste'!G9)</f>
        <v>0</v>
      </c>
      <c r="Z9" s="5">
        <f>IF('2023 Lønnsgr pensjon tjeneste'!G9&lt;100,0,C9)</f>
        <v>0</v>
      </c>
      <c r="AA9" s="55">
        <f>'2023 Revekting utgiftsbehov'!G9*Z9/$Z$17</f>
        <v>0</v>
      </c>
      <c r="AB9" s="55">
        <f>'2023 Revekting utgiftsbehov'!G9/$AA$17</f>
        <v>1.613655188161597E-2</v>
      </c>
      <c r="AC9" s="55">
        <f>IF(Z9=0,0,(Z9/$Z$17)*AB9*'2023 Pensjon tjeneste'!G9/'2023 Lønnsgr pensjon tjeneste'!G9)</f>
        <v>0</v>
      </c>
      <c r="AD9" s="5">
        <f>IF(Z9=0,0,'[2]2023 Nto driftsutg landet'!$C$8*'2023 Lønnsand og pensjon landet'!$D$9*('2023 Pensjon tjeneste'!G9/'2023 Lønnsgr pensjon tjeneste'!G9-$AC$17)*'2023 Revekting utgiftsbehov'!G9)</f>
        <v>0</v>
      </c>
      <c r="AE9" s="5">
        <f t="shared" si="17"/>
        <v>0</v>
      </c>
      <c r="AF9" s="55">
        <f>IF('2023 Lønnsgr pensjon tjeneste'!H9&lt;100,0,(C9/$C$17)*'2023 Revekting utgiftsbehov'!H9*'2023 Pensjon tjeneste'!H9/'2023 Lønnsgr pensjon tjeneste'!H9)</f>
        <v>2.6082023681231969E-2</v>
      </c>
      <c r="AG9" s="5">
        <f>IF('2023 Lønnsgr pensjon tjeneste'!H9&lt;100,0,C9)</f>
        <v>1300096</v>
      </c>
      <c r="AH9" s="55">
        <f>'2023 Revekting utgiftsbehov'!H9*AG9/$AG$17</f>
        <v>0.22743207422836331</v>
      </c>
      <c r="AI9" s="55">
        <f>'2023 Revekting utgiftsbehov'!H9/$AH$17</f>
        <v>0.96460045526742033</v>
      </c>
      <c r="AJ9" s="55">
        <f>IF(AG9=0,0,(AG9/$AG$17)*AI9*'2023 Pensjon tjeneste'!H9/'2023 Lønnsgr pensjon tjeneste'!H9)</f>
        <v>2.6082023681231969E-2</v>
      </c>
      <c r="AK9" s="5">
        <f>IF(AG9=0,0,'[2]2023 Nto driftsutg landet'!$C$9*'2023 Lønnsand og pensjon landet'!$D$10*('2023 Pensjon tjeneste'!H9/'2023 Lønnsgr pensjon tjeneste'!H9-$AJ$17)*'2023 Revekting utgiftsbehov'!H9)</f>
        <v>-38.084656143150873</v>
      </c>
      <c r="AL9" s="5">
        <f t="shared" si="18"/>
        <v>-49513.709113085883</v>
      </c>
      <c r="AM9" s="55">
        <f>IF('2023 Lønnsgr pensjon tjeneste'!K9&lt;100,0,(C9/$C$17)*'2023 Pensjon tjeneste'!K9/'2023 Lønnsgr pensjon tjeneste'!K9)</f>
        <v>0.24390164421363839</v>
      </c>
      <c r="AN9" s="5">
        <f>IF('2023 Lønnsgr pensjon tjeneste'!K9&lt;100,0,C9)</f>
        <v>1300096</v>
      </c>
      <c r="AO9" s="55">
        <f t="shared" si="3"/>
        <v>0.23577852673240896</v>
      </c>
      <c r="AP9" s="55">
        <f t="shared" si="4"/>
        <v>1</v>
      </c>
      <c r="AQ9" s="55">
        <f>IF(AN9=0,0,(AN9/$AN$17)*AP9*'2023 Pensjon tjeneste'!K9/'2023 Lønnsgr pensjon tjeneste'!K9)</f>
        <v>0.24390164421363839</v>
      </c>
      <c r="AR9" s="5">
        <f>IF(AN9=0,0,'[2]2023 Nto driftsutg landet'!$C$23*'2023 Lønnsand og pensjon landet'!$D$13*('2023 Pensjon tjeneste'!K9/'2023 Lønnsgr pensjon tjeneste'!K9-$AQ$17))</f>
        <v>208.45004421729365</v>
      </c>
      <c r="AS9" s="5">
        <f t="shared" si="19"/>
        <v>271005.06868672662</v>
      </c>
      <c r="AT9" s="55">
        <f>IF('2023 Lønnsgr pensjon tjeneste'!L9&lt;100,0,(C9/$C$17)*'2023 Pensjon tjeneste'!L9/'2023 Lønnsgr pensjon tjeneste'!L9)</f>
        <v>3.4745262903724317E-2</v>
      </c>
      <c r="AU9" s="5">
        <f>IF('2023 Lønnsgr pensjon tjeneste'!L9&lt;100,0,C9)</f>
        <v>1300096</v>
      </c>
      <c r="AV9" s="55">
        <f t="shared" si="5"/>
        <v>0.27073274445673989</v>
      </c>
      <c r="AW9" s="55">
        <f t="shared" si="6"/>
        <v>1</v>
      </c>
      <c r="AX9" s="55">
        <f>IF(AU9=0,0,(AU9/$AU$17)*AW9*'2023 Pensjon tjeneste'!L9/'2023 Lønnsgr pensjon tjeneste'!L9)</f>
        <v>3.9896255664843137E-2</v>
      </c>
      <c r="AY9" s="5">
        <f>IF(AU9=0,0,'[2]2023 Nto driftsutg landet'!$C$24*'2023 Lønnsand og pensjon landet'!$D$14*('2023 Pensjon tjeneste'!L9/'2023 Lønnsgr pensjon tjeneste'!L9-$AX$17))</f>
        <v>-6.1858344362803832</v>
      </c>
      <c r="AZ9" s="5">
        <f t="shared" si="20"/>
        <v>-8042.1786072703817</v>
      </c>
      <c r="BA9" s="55">
        <f>IF('2023 Lønnsgr pensjon tjeneste'!M9&lt;100,0,(C9/$C$17)*'2023 Pensjon tjeneste'!M9/'2023 Lønnsgr pensjon tjeneste'!M9)</f>
        <v>2.6993173979585349E-2</v>
      </c>
      <c r="BB9" s="5">
        <f>IF('2023 Lønnsgr pensjon tjeneste'!M9&lt;100,0,C9)</f>
        <v>1300096</v>
      </c>
      <c r="BC9" s="55">
        <f t="shared" si="7"/>
        <v>0.27073274445673989</v>
      </c>
      <c r="BD9" s="55">
        <f t="shared" si="8"/>
        <v>1</v>
      </c>
      <c r="BE9" s="55">
        <f>IF(BB9=0,0,(BB9/$BB$17)*BD9*'2023 Pensjon tjeneste'!M9/'2023 Lønnsgr pensjon tjeneste'!M9)</f>
        <v>3.0994917876407648E-2</v>
      </c>
      <c r="BF9" s="5">
        <f>IF(BB9=0,0,'[2]2023 Nto driftsutg landet'!$C$25*'2023 Lønnsand og pensjon landet'!$D$15*('2023 Pensjon tjeneste'!M9/'2023 Lønnsgr pensjon tjeneste'!M9-$BE$17))</f>
        <v>0.38182369719301579</v>
      </c>
      <c r="BG9" s="5">
        <f t="shared" si="21"/>
        <v>496.40746142585107</v>
      </c>
      <c r="BH9" s="55">
        <f>IF('2023 Lønnsgr pensjon tjeneste'!N9&lt;100,0,(C9/$C$17)*'2023 Pensjon tjeneste'!N9/'2023 Lønnsgr pensjon tjeneste'!N9)</f>
        <v>2.5327162867800776E-2</v>
      </c>
      <c r="BI9" s="5">
        <f>IF('2023 Lønnsgr pensjon tjeneste'!N9&lt;100,0,C9)</f>
        <v>1300096</v>
      </c>
      <c r="BJ9" s="55">
        <f t="shared" si="9"/>
        <v>0.23577852673240896</v>
      </c>
      <c r="BK9" s="55">
        <f t="shared" si="10"/>
        <v>1</v>
      </c>
      <c r="BL9" s="55">
        <f>IF(BI9=0,0,(BI9/$BI$17)*BK9*'2023 Pensjon tjeneste'!N9/'2023 Lønnsgr pensjon tjeneste'!N9)</f>
        <v>2.5327162867800776E-2</v>
      </c>
      <c r="BM9" s="5">
        <f>IF(BI9=0,0,'[2]2023 Nto driftsutg landet'!$C$26*'2023 Lønnsand og pensjon landet'!$D$16*('2023 Pensjon tjeneste'!N9/'2023 Lønnsgr pensjon tjeneste'!N9-$BL$17))</f>
        <v>-3.3102704643254355</v>
      </c>
      <c r="BN9" s="5">
        <f t="shared" si="22"/>
        <v>-4303.6693895876415</v>
      </c>
      <c r="BO9" s="55">
        <f>IF('2023 Lønnsgr pensjon tjeneste'!O9&lt;100,0,(C9/$C$17)*'2023 Pensjon tjeneste'!O9/'2023 Lønnsgr pensjon tjeneste'!O9)</f>
        <v>2.6081279315202523E-2</v>
      </c>
      <c r="BP9" s="5">
        <f>IF('2023 Lønnsgr pensjon tjeneste'!O9&lt;100,0,C9)</f>
        <v>1300096</v>
      </c>
      <c r="BQ9" s="55">
        <f t="shared" si="11"/>
        <v>0.75098010107445767</v>
      </c>
      <c r="BR9" s="55">
        <f t="shared" si="12"/>
        <v>1</v>
      </c>
      <c r="BS9" s="55">
        <f>IF(BP9=0,0,(BP9/$BP$17)*BR9*'2023 Pensjon tjeneste'!O9/'2023 Lønnsgr pensjon tjeneste'!O9)</f>
        <v>8.3071694643809507E-2</v>
      </c>
      <c r="BT9" s="5">
        <f>IF(BP9=0,0,'[2]2023 Nto driftsutg landet'!$C$27*'2023 Lønnsand og pensjon landet'!$D$17*('2023 Pensjon tjeneste'!O9/'2023 Lønnsgr pensjon tjeneste'!O9-$BS$17))</f>
        <v>-5.4935444625606152E-3</v>
      </c>
      <c r="BU9" s="5">
        <f t="shared" si="23"/>
        <v>-7.1421351815972054</v>
      </c>
      <c r="BV9" s="55">
        <f>IF('2023 Lønnsgr pensjon tjeneste'!P9&lt;100,0,(C9/$C$17)*'2023 Pensjon tjeneste'!P9/'2023 Lønnsgr pensjon tjeneste'!P9)</f>
        <v>2.6531341649294424E-2</v>
      </c>
      <c r="BW9" s="5">
        <f>IF('2023 Lønnsgr pensjon tjeneste'!P9&lt;100,0,C9)</f>
        <v>1300096</v>
      </c>
      <c r="BX9" s="55">
        <f t="shared" si="13"/>
        <v>0.3411808762819909</v>
      </c>
      <c r="BY9" s="55">
        <f t="shared" si="14"/>
        <v>1</v>
      </c>
      <c r="BZ9" s="55">
        <f>IF(BW9=0,0,(BW9/$BW$17)*BY9*'2023 Pensjon tjeneste'!P9/'2023 Lønnsgr pensjon tjeneste'!P9)</f>
        <v>3.8391903275892821E-2</v>
      </c>
      <c r="CA9" s="5">
        <f>IF(BW9=0,0,'[2]2023 Nto driftsutg landet'!$C$28*'2023 Lønnsand og pensjon landet'!$D$18*('2023 Pensjon tjeneste'!P9/'2023 Lønnsgr pensjon tjeneste'!P9-$BZ$17))</f>
        <v>0.32114025318858991</v>
      </c>
      <c r="CB9" s="5">
        <f t="shared" si="24"/>
        <v>417.51315860947295</v>
      </c>
      <c r="CC9" s="5"/>
      <c r="CD9" s="5"/>
      <c r="CE9" s="5"/>
    </row>
    <row r="10" spans="1:83" x14ac:dyDescent="0.3">
      <c r="A10" s="41">
        <v>3400</v>
      </c>
      <c r="B10" s="42" t="s">
        <v>404</v>
      </c>
      <c r="C10" s="42">
        <f>+'2023 Nto driftsutg'!W10</f>
        <v>374624</v>
      </c>
      <c r="D10" s="55">
        <f>IF('2023 Lønnsgr pensjon tjeneste'!D10&lt;100,0,(C10/$C$17)*'2023 Revekting utgiftsbehov'!D10*'2023 Pensjon tjeneste'!D10/'2023 Lønnsgr pensjon tjeneste'!D10)</f>
        <v>1.1352296371984849E-2</v>
      </c>
      <c r="E10" s="5">
        <f>IF('2023 Lønnsgr pensjon tjeneste'!D10&lt;100,0,C10)</f>
        <v>374624</v>
      </c>
      <c r="F10" s="55">
        <f>'2023 Revekting utgiftsbehov'!D10*E10/$E$17</f>
        <v>6.8363758514205994E-2</v>
      </c>
      <c r="G10" s="55">
        <f>'2023 Revekting utgiftsbehov'!D10/$F$17</f>
        <v>1.0062398373243806</v>
      </c>
      <c r="H10" s="55">
        <f>IF(E10=0,0,(E10/$E$17)*G10*'2023 Pensjon tjeneste'!D10/'2023 Lønnsgr pensjon tjeneste'!D10)</f>
        <v>1.135229637198485E-2</v>
      </c>
      <c r="I10" s="5">
        <f>IF(E10=0,0,'[2]2023 Nto driftsutg landet'!$C$5*'2023 Lønnsand og pensjon landet'!$D$6*('2023 Pensjon tjeneste'!D10/'2023 Lønnsgr pensjon tjeneste'!D10-$H$17)*'2023 Revekting utgiftsbehov'!D10)</f>
        <v>65.751185180847145</v>
      </c>
      <c r="J10" s="5">
        <f t="shared" si="25"/>
        <v>24631.971997189681</v>
      </c>
      <c r="K10" s="55">
        <f>IF('2023 Lønnsgr pensjon tjeneste'!E10&lt;100,0,(C10/$C$17)*'2023 Revekting utgiftsbehov'!E10*'2023 Pensjon tjeneste'!E10/'2023 Lønnsgr pensjon tjeneste'!E10)</f>
        <v>3.7970616168216363E-2</v>
      </c>
      <c r="L10" s="5">
        <f>IF('2023 Lønnsgr pensjon tjeneste'!E10&lt;100,0,C10)</f>
        <v>374624</v>
      </c>
      <c r="M10" s="55">
        <f>'2023 Revekting utgiftsbehov'!E10*L10/$L$17</f>
        <v>0.10309596274290869</v>
      </c>
      <c r="N10" s="55">
        <f>'2023 Revekting utgiftsbehov'!E10/$M$17</f>
        <v>1.5174599383336682</v>
      </c>
      <c r="O10" s="55">
        <f>IF(L10=0,0,(L10/$L$17)*N10*'2023 Pensjon tjeneste'!E10/'2023 Lønnsgr pensjon tjeneste'!E10)</f>
        <v>3.7970616168216363E-2</v>
      </c>
      <c r="P10" s="5">
        <f>IF(L10=0,0,'[2]2023 Nto driftsutg landet'!$C$6*'2023 Lønnsand og pensjon landet'!$D$7*('2023 Pensjon tjeneste'!E10/'2023 Lønnsgr pensjon tjeneste'!E10-$O$17)*'2023 Revekting utgiftsbehov'!E10)</f>
        <v>-16.79057944026507</v>
      </c>
      <c r="Q10" s="5">
        <f t="shared" si="15"/>
        <v>-6290.1540322298615</v>
      </c>
      <c r="R10" s="55">
        <f>IF('2023 Lønnsgr pensjon tjeneste'!F10&lt;100,0,(C10/$C$17)*'2023 Revekting utgiftsbehov'!F10*'2023 Pensjon tjeneste'!F10/'2023 Lønnsgr pensjon tjeneste'!F10)</f>
        <v>2.3538845376808875E-2</v>
      </c>
      <c r="S10" s="5">
        <f>IF('2023 Lønnsgr pensjon tjeneste'!F10&lt;100,0,C10)</f>
        <v>374624</v>
      </c>
      <c r="T10" s="55">
        <f>'2023 Revekting utgiftsbehov'!F10*S10/$S$17</f>
        <v>6.4073991734869287E-2</v>
      </c>
      <c r="U10" s="55">
        <f>'2023 Revekting utgiftsbehov'!F10/$T$17</f>
        <v>0.94309915694030932</v>
      </c>
      <c r="V10" s="55">
        <f>IF(S10=0,0,(S10/$S$17)*U10*'2023 Pensjon tjeneste'!F10/'2023 Lønnsgr pensjon tjeneste'!F10)</f>
        <v>2.3538845376808875E-2</v>
      </c>
      <c r="W10" s="5">
        <f>IF(S10=0,0,'[2]2023 Nto driftsutg landet'!$C$7*'2023 Lønnsand og pensjon landet'!$D$8*('2023 Pensjon tjeneste'!F10/'2023 Lønnsgr pensjon tjeneste'!F10-$V$17)*'2023 Revekting utgiftsbehov'!F10)</f>
        <v>4.596012856329291</v>
      </c>
      <c r="X10" s="5">
        <f t="shared" si="16"/>
        <v>1721.7767202895043</v>
      </c>
      <c r="Y10" s="55">
        <f>IF('2023 Lønnsgr pensjon tjeneste'!G10&lt;100,0,(C10/$C$17)*'2023 Revekting utgiftsbehov'!G10*'2023 Pensjon tjeneste'!G10/'2023 Lønnsgr pensjon tjeneste'!G10)</f>
        <v>3.5609753906441083E-4</v>
      </c>
      <c r="Z10" s="5">
        <f>IF('2023 Lønnsgr pensjon tjeneste'!G10&lt;100,0,C10)</f>
        <v>374624</v>
      </c>
      <c r="AA10" s="55">
        <f>'2023 Revekting utgiftsbehov'!G10*Z10/$Z$17</f>
        <v>9.1955629271275527E-3</v>
      </c>
      <c r="AB10" s="55">
        <f>'2023 Revekting utgiftsbehov'!G10/$AA$17</f>
        <v>3.6651459805514007E-2</v>
      </c>
      <c r="AC10" s="55">
        <f>IF(Z10=0,0,(Z10/$Z$17)*AB10*'2023 Pensjon tjeneste'!G10/'2023 Lønnsgr pensjon tjeneste'!G10)</f>
        <v>4.9959726321517986E-4</v>
      </c>
      <c r="AD10" s="5">
        <f>IF(Z10=0,0,'[2]2023 Nto driftsutg landet'!$C$8*'2023 Lønnsand og pensjon landet'!$D$9*('2023 Pensjon tjeneste'!G10/'2023 Lønnsgr pensjon tjeneste'!G10-$AC$17)*'2023 Revekting utgiftsbehov'!G10)</f>
        <v>-3.3912516165307958E-2</v>
      </c>
      <c r="AE10" s="5">
        <f t="shared" si="17"/>
        <v>-12.704442455912329</v>
      </c>
      <c r="AF10" s="55">
        <f>IF('2023 Lønnsgr pensjon tjeneste'!H10&lt;100,0,(C10/$C$17)*'2023 Revekting utgiftsbehov'!H10*'2023 Pensjon tjeneste'!H10/'2023 Lønnsgr pensjon tjeneste'!H10)</f>
        <v>2.270172789520503E-2</v>
      </c>
      <c r="AG10" s="5">
        <f>IF('2023 Lønnsgr pensjon tjeneste'!H10&lt;100,0,C10)</f>
        <v>374624</v>
      </c>
      <c r="AH10" s="55">
        <f>'2023 Revekting utgiftsbehov'!H10*AG10/$AG$17</f>
        <v>6.9410108271441728E-2</v>
      </c>
      <c r="AI10" s="55">
        <f>'2023 Revekting utgiftsbehov'!H10/$AH$17</f>
        <v>1.0216409626046192</v>
      </c>
      <c r="AJ10" s="55">
        <f>IF(AG10=0,0,(AG10/$AG$17)*AI10*'2023 Pensjon tjeneste'!H10/'2023 Lønnsgr pensjon tjeneste'!H10)</f>
        <v>2.270172789520503E-2</v>
      </c>
      <c r="AK10" s="5">
        <f>IF(AG10=0,0,'[2]2023 Nto driftsutg landet'!$C$9*'2023 Lønnsand og pensjon landet'!$D$10*('2023 Pensjon tjeneste'!H10/'2023 Lønnsgr pensjon tjeneste'!H10-$AJ$17)*'2023 Revekting utgiftsbehov'!H10)</f>
        <v>26.983400987871757</v>
      </c>
      <c r="AL10" s="5">
        <f t="shared" si="18"/>
        <v>10108.629611680468</v>
      </c>
      <c r="AM10" s="55">
        <f>IF('2023 Lønnsgr pensjon tjeneste'!K10&lt;100,0,(C10/$C$17)*'2023 Pensjon tjeneste'!K10/'2023 Lønnsgr pensjon tjeneste'!K10)</f>
        <v>1.7072222832155707E-2</v>
      </c>
      <c r="AN10" s="5">
        <f>IF('2023 Lønnsgr pensjon tjeneste'!K10&lt;100,0,C10)</f>
        <v>374624</v>
      </c>
      <c r="AO10" s="55">
        <f t="shared" si="3"/>
        <v>6.7939825057997241E-2</v>
      </c>
      <c r="AP10" s="55">
        <f t="shared" si="4"/>
        <v>1</v>
      </c>
      <c r="AQ10" s="55">
        <f>IF(AN10=0,0,(AN10/$AN$17)*AP10*'2023 Pensjon tjeneste'!K10/'2023 Lønnsgr pensjon tjeneste'!K10)</f>
        <v>1.7072222832155707E-2</v>
      </c>
      <c r="AR10" s="5">
        <f>IF(AN10=0,0,'[2]2023 Nto driftsutg landet'!$C$23*'2023 Lønnsand og pensjon landet'!$D$13*('2023 Pensjon tjeneste'!K10/'2023 Lønnsgr pensjon tjeneste'!K10-$AQ$17))</f>
        <v>-76.065229736694334</v>
      </c>
      <c r="AS10" s="5">
        <f t="shared" si="19"/>
        <v>-28495.86062487938</v>
      </c>
      <c r="AT10" s="55">
        <f>IF('2023 Lønnsgr pensjon tjeneste'!L10&lt;100,0,(C10/$C$17)*'2023 Pensjon tjeneste'!L10/'2023 Lønnsgr pensjon tjeneste'!L10)</f>
        <v>4.3473771471051852E-2</v>
      </c>
      <c r="AU10" s="5">
        <f>IF('2023 Lønnsgr pensjon tjeneste'!L10&lt;100,0,C10)</f>
        <v>374624</v>
      </c>
      <c r="AV10" s="55">
        <f t="shared" si="5"/>
        <v>7.8011918857808754E-2</v>
      </c>
      <c r="AW10" s="55">
        <f t="shared" si="6"/>
        <v>1</v>
      </c>
      <c r="AX10" s="55">
        <f>IF(AU10=0,0,(AU10/$AU$17)*AW10*'2023 Pensjon tjeneste'!L10/'2023 Lønnsgr pensjon tjeneste'!L10)</f>
        <v>4.9918767520338289E-2</v>
      </c>
      <c r="AY10" s="5">
        <f>IF(AU10=0,0,'[2]2023 Nto driftsutg landet'!$C$24*'2023 Lønnsand og pensjon landet'!$D$14*('2023 Pensjon tjeneste'!L10/'2023 Lønnsgr pensjon tjeneste'!L10-$AX$17))</f>
        <v>12.002995166054514</v>
      </c>
      <c r="AZ10" s="5">
        <f t="shared" si="20"/>
        <v>4496.6100610880058</v>
      </c>
      <c r="BA10" s="55">
        <f>IF('2023 Lønnsgr pensjon tjeneste'!M10&lt;100,0,(C10/$C$17)*'2023 Pensjon tjeneste'!M10/'2023 Lønnsgr pensjon tjeneste'!M10)</f>
        <v>2.2235702964548937E-2</v>
      </c>
      <c r="BB10" s="5">
        <f>IF('2023 Lønnsgr pensjon tjeneste'!M10&lt;100,0,C10)</f>
        <v>374624</v>
      </c>
      <c r="BC10" s="55">
        <f t="shared" si="7"/>
        <v>7.8011918857808754E-2</v>
      </c>
      <c r="BD10" s="55">
        <f t="shared" si="8"/>
        <v>1</v>
      </c>
      <c r="BE10" s="55">
        <f>IF(BB10=0,0,(BB10/$BB$17)*BD10*'2023 Pensjon tjeneste'!M10/'2023 Lønnsgr pensjon tjeneste'!M10)</f>
        <v>2.5532150751579573E-2</v>
      </c>
      <c r="BF10" s="5">
        <f>IF(BB10=0,0,'[2]2023 Nto driftsutg landet'!$C$25*'2023 Lønnsand og pensjon landet'!$D$15*('2023 Pensjon tjeneste'!M10/'2023 Lønnsgr pensjon tjeneste'!M10-$BE$17))</f>
        <v>-0.46764720416679068</v>
      </c>
      <c r="BG10" s="5">
        <f t="shared" si="21"/>
        <v>-175.19186621377978</v>
      </c>
      <c r="BH10" s="55">
        <f>IF('2023 Lønnsgr pensjon tjeneste'!N10&lt;100,0,(C10/$C$17)*'2023 Pensjon tjeneste'!N10/'2023 Lønnsgr pensjon tjeneste'!N10)</f>
        <v>7.162034687606119E-3</v>
      </c>
      <c r="BI10" s="5">
        <f>IF('2023 Lønnsgr pensjon tjeneste'!N10&lt;100,0,C10)</f>
        <v>374624</v>
      </c>
      <c r="BJ10" s="55">
        <f t="shared" si="9"/>
        <v>6.7939825057997241E-2</v>
      </c>
      <c r="BK10" s="55">
        <f t="shared" si="10"/>
        <v>1</v>
      </c>
      <c r="BL10" s="55">
        <f>IF(BI10=0,0,(BI10/$BI$17)*BK10*'2023 Pensjon tjeneste'!N10/'2023 Lønnsgr pensjon tjeneste'!N10)</f>
        <v>7.162034687606119E-3</v>
      </c>
      <c r="BM10" s="5">
        <f>IF(BI10=0,0,'[2]2023 Nto driftsutg landet'!$C$26*'2023 Lønnsand og pensjon landet'!$D$16*('2023 Pensjon tjeneste'!N10/'2023 Lønnsgr pensjon tjeneste'!N10-$BL$17))</f>
        <v>-3.3691997621124012</v>
      </c>
      <c r="BN10" s="5">
        <f t="shared" si="22"/>
        <v>-1262.1830916815961</v>
      </c>
      <c r="BO10" s="55">
        <f>IF('2023 Lønnsgr pensjon tjeneste'!O10&lt;100,0,(C10/$C$17)*'2023 Pensjon tjeneste'!O10/'2023 Lønnsgr pensjon tjeneste'!O10)</f>
        <v>0</v>
      </c>
      <c r="BP10" s="5">
        <f>IF('2023 Lønnsgr pensjon tjeneste'!O10&lt;100,0,C10)</f>
        <v>0</v>
      </c>
      <c r="BQ10" s="55">
        <f t="shared" si="11"/>
        <v>0</v>
      </c>
      <c r="BR10" s="55">
        <f t="shared" si="12"/>
        <v>1</v>
      </c>
      <c r="BS10" s="55">
        <f>IF(BP10=0,0,(BP10/$BP$17)*BR10*'2023 Pensjon tjeneste'!O10/'2023 Lønnsgr pensjon tjeneste'!O10)</f>
        <v>0</v>
      </c>
      <c r="BT10" s="5">
        <f>IF(BP10=0,0,'[2]2023 Nto driftsutg landet'!$C$27*'2023 Lønnsand og pensjon landet'!$D$17*('2023 Pensjon tjeneste'!O10/'2023 Lønnsgr pensjon tjeneste'!O10-$BS$17))</f>
        <v>0</v>
      </c>
      <c r="BU10" s="5">
        <f t="shared" si="23"/>
        <v>0</v>
      </c>
      <c r="BV10" s="55">
        <f>IF('2023 Lønnsgr pensjon tjeneste'!P10&lt;100,0,(C10/$C$17)*'2023 Pensjon tjeneste'!P10/'2023 Lønnsgr pensjon tjeneste'!P10)</f>
        <v>3.8200682600347036E-2</v>
      </c>
      <c r="BW10" s="5">
        <f>IF('2023 Lønnsgr pensjon tjeneste'!P10&lt;100,0,C10)</f>
        <v>374624</v>
      </c>
      <c r="BX10" s="55">
        <f t="shared" si="13"/>
        <v>9.831162052361099E-2</v>
      </c>
      <c r="BY10" s="55">
        <f t="shared" si="14"/>
        <v>1</v>
      </c>
      <c r="BZ10" s="55">
        <f>IF(BW10=0,0,(BW10/$BW$17)*BY10*'2023 Pensjon tjeneste'!P10/'2023 Lønnsgr pensjon tjeneste'!P10)</f>
        <v>5.5277902295778086E-2</v>
      </c>
      <c r="CA10" s="5">
        <f>IF(BW10=0,0,'[2]2023 Nto driftsutg landet'!$C$28*'2023 Lønnsand og pensjon landet'!$D$18*('2023 Pensjon tjeneste'!P10/'2023 Lønnsgr pensjon tjeneste'!P10-$BZ$17))</f>
        <v>-1.1396588393573055</v>
      </c>
      <c r="CB10" s="5">
        <f t="shared" si="24"/>
        <v>-426.94355303539118</v>
      </c>
      <c r="CC10" s="5"/>
      <c r="CD10" s="5"/>
      <c r="CE10" s="5"/>
    </row>
    <row r="11" spans="1:83" x14ac:dyDescent="0.3">
      <c r="A11" s="41">
        <v>3800</v>
      </c>
      <c r="B11" s="42" t="s">
        <v>405</v>
      </c>
      <c r="C11" s="42">
        <f>+'2023 Nto driftsutg'!W11</f>
        <v>431103</v>
      </c>
      <c r="D11" s="55">
        <f>IF('2023 Lønnsgr pensjon tjeneste'!D11&lt;100,0,(C11/$C$17)*'2023 Revekting utgiftsbehov'!D11*'2023 Pensjon tjeneste'!D11/'2023 Lønnsgr pensjon tjeneste'!D11)</f>
        <v>1.4839211740239522E-2</v>
      </c>
      <c r="E11" s="5">
        <f>IF('2023 Lønnsgr pensjon tjeneste'!D11&lt;100,0,C11)</f>
        <v>431103</v>
      </c>
      <c r="F11" s="55">
        <f>'2023 Revekting utgiftsbehov'!D11*E11/$E$17</f>
        <v>8.0113483607837141E-2</v>
      </c>
      <c r="G11" s="55">
        <f>'2023 Revekting utgiftsbehov'!D11/$F$17</f>
        <v>1.0246976591874706</v>
      </c>
      <c r="H11" s="55">
        <f>IF(E11=0,0,(E11/$E$17)*G11*'2023 Pensjon tjeneste'!D11/'2023 Lønnsgr pensjon tjeneste'!D11)</f>
        <v>1.4839211740239527E-2</v>
      </c>
      <c r="I11" s="5">
        <f>IF(E11=0,0,'[2]2023 Nto driftsutg landet'!$C$5*'2023 Lønnsand og pensjon landet'!$D$6*('2023 Pensjon tjeneste'!D11/'2023 Lønnsgr pensjon tjeneste'!D11-$H$17)*'2023 Revekting utgiftsbehov'!D11)</f>
        <v>141.63951561792305</v>
      </c>
      <c r="J11" s="5">
        <f t="shared" si="25"/>
        <v>61061.220101433479</v>
      </c>
      <c r="K11" s="55">
        <f>IF('2023 Lønnsgr pensjon tjeneste'!E11&lt;100,0,(C11/$C$17)*'2023 Revekting utgiftsbehov'!E11*'2023 Pensjon tjeneste'!E11/'2023 Lønnsgr pensjon tjeneste'!E11)</f>
        <v>1.9854850808393849E-2</v>
      </c>
      <c r="L11" s="5">
        <f>IF('2023 Lønnsgr pensjon tjeneste'!E11&lt;100,0,C11)</f>
        <v>431103</v>
      </c>
      <c r="M11" s="55">
        <f>'2023 Revekting utgiftsbehov'!E11*L11/$L$17</f>
        <v>6.8627385582169631E-2</v>
      </c>
      <c r="N11" s="55">
        <f>'2023 Revekting utgiftsbehov'!E11/$M$17</f>
        <v>0.87778384106275287</v>
      </c>
      <c r="O11" s="55">
        <f>IF(L11=0,0,(L11/$L$17)*N11*'2023 Pensjon tjeneste'!E11/'2023 Lønnsgr pensjon tjeneste'!E11)</f>
        <v>1.9854850808393849E-2</v>
      </c>
      <c r="P11" s="5">
        <f>IF(L11=0,0,'[2]2023 Nto driftsutg landet'!$C$6*'2023 Lønnsand og pensjon landet'!$D$7*('2023 Pensjon tjeneste'!E11/'2023 Lønnsgr pensjon tjeneste'!E11-$O$17)*'2023 Revekting utgiftsbehov'!E11)</f>
        <v>-18.555155908568153</v>
      </c>
      <c r="Q11" s="5">
        <f t="shared" si="15"/>
        <v>-7999.1833776514568</v>
      </c>
      <c r="R11" s="55">
        <f>IF('2023 Lønnsgr pensjon tjeneste'!F11&lt;100,0,(C11/$C$17)*'2023 Revekting utgiftsbehov'!F11*'2023 Pensjon tjeneste'!F11/'2023 Lønnsgr pensjon tjeneste'!F11)</f>
        <v>1.5256407769692382E-2</v>
      </c>
      <c r="S11" s="5">
        <f>IF('2023 Lønnsgr pensjon tjeneste'!F11&lt;100,0,C11)</f>
        <v>431103</v>
      </c>
      <c r="T11" s="55">
        <f>'2023 Revekting utgiftsbehov'!F11*S11/$S$17</f>
        <v>5.2189562778583373E-2</v>
      </c>
      <c r="U11" s="55">
        <f>'2023 Revekting utgiftsbehov'!F11/$T$17</f>
        <v>0.66753460722060465</v>
      </c>
      <c r="V11" s="55">
        <f>IF(S11=0,0,(S11/$S$17)*U11*'2023 Pensjon tjeneste'!F11/'2023 Lønnsgr pensjon tjeneste'!F11)</f>
        <v>1.5256407769692382E-2</v>
      </c>
      <c r="W11" s="5">
        <f>IF(S11=0,0,'[2]2023 Nto driftsutg landet'!$C$7*'2023 Lønnsand og pensjon landet'!$D$8*('2023 Pensjon tjeneste'!F11/'2023 Lønnsgr pensjon tjeneste'!F11-$V$17)*'2023 Revekting utgiftsbehov'!F11)</f>
        <v>1.2268866073978242</v>
      </c>
      <c r="X11" s="5">
        <f t="shared" si="16"/>
        <v>528.91449710902418</v>
      </c>
      <c r="Y11" s="55">
        <f>IF('2023 Lønnsgr pensjon tjeneste'!G11&lt;100,0,(C11/$C$17)*'2023 Revekting utgiftsbehov'!G11*'2023 Pensjon tjeneste'!G11/'2023 Lønnsgr pensjon tjeneste'!G11)</f>
        <v>0</v>
      </c>
      <c r="Z11" s="5">
        <f>IF('2023 Lønnsgr pensjon tjeneste'!G11&lt;100,0,C11)</f>
        <v>0</v>
      </c>
      <c r="AA11" s="55">
        <f>'2023 Revekting utgiftsbehov'!G11*Z11/$Z$17</f>
        <v>0</v>
      </c>
      <c r="AB11" s="55">
        <f>'2023 Revekting utgiftsbehov'!G11/$AA$17</f>
        <v>8.2948097703551826E-2</v>
      </c>
      <c r="AC11" s="55">
        <f>IF(Z11=0,0,(Z11/$Z$17)*AB11*'2023 Pensjon tjeneste'!G11/'2023 Lønnsgr pensjon tjeneste'!G11)</f>
        <v>0</v>
      </c>
      <c r="AD11" s="5">
        <f>IF(Z11=0,0,'[2]2023 Nto driftsutg landet'!$C$8*'2023 Lønnsand og pensjon landet'!$D$9*('2023 Pensjon tjeneste'!G11/'2023 Lønnsgr pensjon tjeneste'!G11-$AC$17)*'2023 Revekting utgiftsbehov'!G11)</f>
        <v>0</v>
      </c>
      <c r="AE11" s="5">
        <f t="shared" si="17"/>
        <v>0</v>
      </c>
      <c r="AF11" s="55">
        <f>IF('2023 Lønnsgr pensjon tjeneste'!H11&lt;100,0,(C11/$C$17)*'2023 Revekting utgiftsbehov'!H11*'2023 Pensjon tjeneste'!H11/'2023 Lønnsgr pensjon tjeneste'!H11)</f>
        <v>2.4618853839234831E-2</v>
      </c>
      <c r="AG11" s="5">
        <f>IF('2023 Lønnsgr pensjon tjeneste'!H11&lt;100,0,C11)</f>
        <v>431103</v>
      </c>
      <c r="AH11" s="55">
        <f>'2023 Revekting utgiftsbehov'!H11*AG11/$AG$17</f>
        <v>7.5470155003862935E-2</v>
      </c>
      <c r="AI11" s="55">
        <f>'2023 Revekting utgiftsbehov'!H11/$AH$17</f>
        <v>0.96530680839609195</v>
      </c>
      <c r="AJ11" s="55">
        <f>IF(AG11=0,0,(AG11/$AG$17)*AI11*'2023 Pensjon tjeneste'!H11/'2023 Lønnsgr pensjon tjeneste'!H11)</f>
        <v>2.4618853839234831E-2</v>
      </c>
      <c r="AK11" s="5">
        <f>IF(AG11=0,0,'[2]2023 Nto driftsutg landet'!$C$9*'2023 Lønnsand og pensjon landet'!$D$10*('2023 Pensjon tjeneste'!H11/'2023 Lønnsgr pensjon tjeneste'!H11-$AJ$17)*'2023 Revekting utgiftsbehov'!H11)</f>
        <v>25.23791556691549</v>
      </c>
      <c r="AL11" s="5">
        <f t="shared" si="18"/>
        <v>10880.141114643968</v>
      </c>
      <c r="AM11" s="55">
        <f>IF('2023 Lønnsgr pensjon tjeneste'!K11&lt;100,0,(C11/$C$17)*'2023 Pensjon tjeneste'!K11/'2023 Lønnsgr pensjon tjeneste'!K11)</f>
        <v>2.1622877059948826E-2</v>
      </c>
      <c r="AN11" s="5">
        <f>IF('2023 Lønnsgr pensjon tjeneste'!K11&lt;100,0,C11)</f>
        <v>431103</v>
      </c>
      <c r="AO11" s="55">
        <f t="shared" si="3"/>
        <v>7.8182557449543499E-2</v>
      </c>
      <c r="AP11" s="55">
        <f t="shared" si="4"/>
        <v>1</v>
      </c>
      <c r="AQ11" s="55">
        <f>IF(AN11=0,0,(AN11/$AN$17)*AP11*'2023 Pensjon tjeneste'!K11/'2023 Lønnsgr pensjon tjeneste'!K11)</f>
        <v>2.1622877059948826E-2</v>
      </c>
      <c r="AR11" s="5">
        <f>IF(AN11=0,0,'[2]2023 Nto driftsutg landet'!$C$23*'2023 Lønnsand og pensjon landet'!$D$13*('2023 Pensjon tjeneste'!K11/'2023 Lønnsgr pensjon tjeneste'!K11-$AQ$17))</f>
        <v>-66.879644851552413</v>
      </c>
      <c r="AS11" s="5">
        <f t="shared" si="19"/>
        <v>-28832.0155344388</v>
      </c>
      <c r="AT11" s="55">
        <f>IF('2023 Lønnsgr pensjon tjeneste'!L11&lt;100,0,(C11/$C$17)*'2023 Pensjon tjeneste'!L11/'2023 Lønnsgr pensjon tjeneste'!L11)</f>
        <v>2.5576927817231566E-2</v>
      </c>
      <c r="AU11" s="5">
        <f>IF('2023 Lønnsgr pensjon tjeneste'!L11&lt;100,0,C11)</f>
        <v>431103</v>
      </c>
      <c r="AV11" s="55">
        <f t="shared" si="5"/>
        <v>8.9773138547871806E-2</v>
      </c>
      <c r="AW11" s="55">
        <f t="shared" si="6"/>
        <v>1</v>
      </c>
      <c r="AX11" s="55">
        <f>IF(AU11=0,0,(AU11/$AU$17)*AW11*'2023 Pensjon tjeneste'!L11/'2023 Lønnsgr pensjon tjeneste'!L11)</f>
        <v>2.9368712913325819E-2</v>
      </c>
      <c r="AY11" s="5">
        <f>IF(AU11=0,0,'[2]2023 Nto driftsutg landet'!$C$24*'2023 Lønnsand og pensjon landet'!$D$14*('2023 Pensjon tjeneste'!L11/'2023 Lønnsgr pensjon tjeneste'!L11-$AX$17))</f>
        <v>0.45342017608184182</v>
      </c>
      <c r="AZ11" s="5">
        <f t="shared" si="20"/>
        <v>195.47079816941027</v>
      </c>
      <c r="BA11" s="55">
        <f>IF('2023 Lønnsgr pensjon tjeneste'!M11&lt;100,0,(C11/$C$17)*'2023 Pensjon tjeneste'!M11/'2023 Lønnsgr pensjon tjeneste'!M11)</f>
        <v>2.3499222429075553E-2</v>
      </c>
      <c r="BB11" s="5">
        <f>IF('2023 Lønnsgr pensjon tjeneste'!M11&lt;100,0,C11)</f>
        <v>431103</v>
      </c>
      <c r="BC11" s="55">
        <f t="shared" si="7"/>
        <v>8.9773138547871806E-2</v>
      </c>
      <c r="BD11" s="55">
        <f t="shared" si="8"/>
        <v>1</v>
      </c>
      <c r="BE11" s="55">
        <f>IF(BB11=0,0,(BB11/$BB$17)*BD11*'2023 Pensjon tjeneste'!M11/'2023 Lønnsgr pensjon tjeneste'!M11)</f>
        <v>2.6982987250757606E-2</v>
      </c>
      <c r="BF11" s="5">
        <f>IF(BB11=0,0,'[2]2023 Nto driftsutg landet'!$C$25*'2023 Lønnsand og pensjon landet'!$D$15*('2023 Pensjon tjeneste'!M11/'2023 Lønnsgr pensjon tjeneste'!M11-$BE$17))</f>
        <v>-0.36099768021348044</v>
      </c>
      <c r="BG11" s="5">
        <f t="shared" si="21"/>
        <v>-155.62718293307208</v>
      </c>
      <c r="BH11" s="55">
        <f>IF('2023 Lønnsgr pensjon tjeneste'!N11&lt;100,0,(C11/$C$17)*'2023 Pensjon tjeneste'!N11/'2023 Lønnsgr pensjon tjeneste'!N11)</f>
        <v>2.3632294036832223E-2</v>
      </c>
      <c r="BI11" s="5">
        <f>IF('2023 Lønnsgr pensjon tjeneste'!N11&lt;100,0,C11)</f>
        <v>431103</v>
      </c>
      <c r="BJ11" s="55">
        <f t="shared" si="9"/>
        <v>7.8182557449543499E-2</v>
      </c>
      <c r="BK11" s="55">
        <f t="shared" si="10"/>
        <v>1</v>
      </c>
      <c r="BL11" s="55">
        <f>IF(BI11=0,0,(BI11/$BI$17)*BK11*'2023 Pensjon tjeneste'!N11/'2023 Lønnsgr pensjon tjeneste'!N11)</f>
        <v>2.3632294036832223E-2</v>
      </c>
      <c r="BM11" s="5">
        <f>IF(BI11=0,0,'[2]2023 Nto driftsutg landet'!$C$26*'2023 Lønnsand og pensjon landet'!$D$16*('2023 Pensjon tjeneste'!N11/'2023 Lønnsgr pensjon tjeneste'!N11-$BL$17))</f>
        <v>2.425313326546068</v>
      </c>
      <c r="BN11" s="5">
        <f t="shared" si="22"/>
        <v>1045.5598510139896</v>
      </c>
      <c r="BO11" s="55">
        <f>IF('2023 Lønnsgr pensjon tjeneste'!O11&lt;100,0,(C11/$C$17)*'2023 Pensjon tjeneste'!O11/'2023 Lønnsgr pensjon tjeneste'!O11)</f>
        <v>1.3030426241590584E-2</v>
      </c>
      <c r="BP11" s="5">
        <f>IF('2023 Lønnsgr pensjon tjeneste'!O11&lt;100,0,C11)</f>
        <v>431103</v>
      </c>
      <c r="BQ11" s="55">
        <f t="shared" si="11"/>
        <v>0.24901989892554235</v>
      </c>
      <c r="BR11" s="55">
        <f t="shared" si="12"/>
        <v>1</v>
      </c>
      <c r="BS11" s="55">
        <f>IF(BP11=0,0,(BP11/$BP$17)*BR11*'2023 Pensjon tjeneste'!O11/'2023 Lønnsgr pensjon tjeneste'!O11)</f>
        <v>4.150331648759039E-2</v>
      </c>
      <c r="BT11" s="5">
        <f>IF(BP11=0,0,'[2]2023 Nto driftsutg landet'!$C$27*'2023 Lønnsand og pensjon landet'!$D$17*('2023 Pensjon tjeneste'!O11/'2023 Lønnsgr pensjon tjeneste'!O11-$BS$17))</f>
        <v>1.656712011189251E-2</v>
      </c>
      <c r="BU11" s="5">
        <f t="shared" si="23"/>
        <v>7.1421351815971965</v>
      </c>
      <c r="BV11" s="55">
        <f>IF('2023 Lønnsgr pensjon tjeneste'!P11&lt;100,0,(C11/$C$17)*'2023 Pensjon tjeneste'!P11/'2023 Lønnsgr pensjon tjeneste'!P11)</f>
        <v>1.4004349852431116E-2</v>
      </c>
      <c r="BW11" s="5">
        <f>IF('2023 Lønnsgr pensjon tjeneste'!P11&lt;100,0,C11)</f>
        <v>431103</v>
      </c>
      <c r="BX11" s="55">
        <f t="shared" si="13"/>
        <v>0.11313326039599778</v>
      </c>
      <c r="BY11" s="55">
        <f t="shared" si="14"/>
        <v>1</v>
      </c>
      <c r="BZ11" s="55">
        <f>IF(BW11=0,0,(BW11/$BW$17)*BY11*'2023 Pensjon tjeneste'!P11/'2023 Lønnsgr pensjon tjeneste'!P11)</f>
        <v>2.0264849478149084E-2</v>
      </c>
      <c r="CA11" s="5">
        <f>IF(BW11=0,0,'[2]2023 Nto driftsutg landet'!$C$28*'2023 Lønnsand og pensjon landet'!$D$18*('2023 Pensjon tjeneste'!P11/'2023 Lønnsgr pensjon tjeneste'!P11-$BZ$17))</f>
        <v>0.10482896326785165</v>
      </c>
      <c r="CB11" s="5">
        <f t="shared" si="24"/>
        <v>45.192080551660652</v>
      </c>
      <c r="CC11" s="5"/>
      <c r="CD11" s="5"/>
      <c r="CE11" s="5"/>
    </row>
    <row r="12" spans="1:83" x14ac:dyDescent="0.3">
      <c r="A12" s="41">
        <v>4200</v>
      </c>
      <c r="B12" s="42" t="s">
        <v>406</v>
      </c>
      <c r="C12" s="42">
        <f>+'2023 Nto driftsutg'!W12</f>
        <v>317444</v>
      </c>
      <c r="D12" s="55">
        <f>IF('2023 Lønnsgr pensjon tjeneste'!D12&lt;100,0,(C12/$C$17)*'2023 Revekting utgiftsbehov'!D12*'2023 Pensjon tjeneste'!D12/'2023 Lønnsgr pensjon tjeneste'!D12)</f>
        <v>9.4260437977179996E-3</v>
      </c>
      <c r="E12" s="5">
        <f>IF('2023 Lønnsgr pensjon tjeneste'!D12&lt;100,0,C12)</f>
        <v>317444</v>
      </c>
      <c r="F12" s="55">
        <f>'2023 Revekting utgiftsbehov'!D12*E12/$E$17</f>
        <v>6.2421324801316777E-2</v>
      </c>
      <c r="G12" s="55">
        <f>'2023 Revekting utgiftsbehov'!D12/$F$17</f>
        <v>1.0842689751535692</v>
      </c>
      <c r="H12" s="55">
        <f>IF(E12=0,0,(E12/$E$17)*G12*'2023 Pensjon tjeneste'!D12/'2023 Lønnsgr pensjon tjeneste'!D12)</f>
        <v>9.426043797718003E-3</v>
      </c>
      <c r="I12" s="5">
        <f>IF(E12=0,0,'[2]2023 Nto driftsutg landet'!$C$5*'2023 Lønnsand og pensjon landet'!$D$6*('2023 Pensjon tjeneste'!D12/'2023 Lønnsgr pensjon tjeneste'!D12-$H$17)*'2023 Revekting utgiftsbehov'!D12)</f>
        <v>8.8084191559337501</v>
      </c>
      <c r="J12" s="5">
        <f t="shared" si="25"/>
        <v>2796.1798105362332</v>
      </c>
      <c r="K12" s="55">
        <f>IF('2023 Lønnsgr pensjon tjeneste'!E12&lt;100,0,(C12/$C$17)*'2023 Revekting utgiftsbehov'!E12*'2023 Pensjon tjeneste'!E12/'2023 Lønnsgr pensjon tjeneste'!E12)</f>
        <v>2.9225543672876372E-2</v>
      </c>
      <c r="L12" s="5">
        <f>IF('2023 Lønnsgr pensjon tjeneste'!E12&lt;100,0,C12)</f>
        <v>317444</v>
      </c>
      <c r="M12" s="55">
        <f>'2023 Revekting utgiftsbehov'!E12*L12/$L$17</f>
        <v>7.0301995089393332E-2</v>
      </c>
      <c r="N12" s="55">
        <f>'2023 Revekting utgiftsbehov'!E12/$M$17</f>
        <v>1.2211575516772717</v>
      </c>
      <c r="O12" s="55">
        <f>IF(L12=0,0,(L12/$L$17)*N12*'2023 Pensjon tjeneste'!E12/'2023 Lønnsgr pensjon tjeneste'!E12)</f>
        <v>2.9225543672876372E-2</v>
      </c>
      <c r="P12" s="5">
        <f>IF(L12=0,0,'[2]2023 Nto driftsutg landet'!$C$6*'2023 Lønnsand og pensjon landet'!$D$7*('2023 Pensjon tjeneste'!E12/'2023 Lønnsgr pensjon tjeneste'!E12-$O$17)*'2023 Revekting utgiftsbehov'!E12)</f>
        <v>-6.1284461151026193</v>
      </c>
      <c r="Q12" s="5">
        <f t="shared" si="15"/>
        <v>-1945.4384485626358</v>
      </c>
      <c r="R12" s="55">
        <f>IF('2023 Lønnsgr pensjon tjeneste'!F12&lt;100,0,(C12/$C$17)*'2023 Revekting utgiftsbehov'!F12*'2023 Pensjon tjeneste'!F12/'2023 Lønnsgr pensjon tjeneste'!F12)</f>
        <v>9.0003969129229949E-3</v>
      </c>
      <c r="S12" s="5">
        <f>IF('2023 Lønnsgr pensjon tjeneste'!F12&lt;100,0,C12)</f>
        <v>317444</v>
      </c>
      <c r="T12" s="55">
        <f>'2023 Revekting utgiftsbehov'!F12*S12/$S$17</f>
        <v>4.4907243544478948E-2</v>
      </c>
      <c r="U12" s="55">
        <f>'2023 Revekting utgiftsbehov'!F12/$T$17</f>
        <v>0.78004641987215195</v>
      </c>
      <c r="V12" s="55">
        <f>IF(S12=0,0,(S12/$S$17)*U12*'2023 Pensjon tjeneste'!F12/'2023 Lønnsgr pensjon tjeneste'!F12)</f>
        <v>9.0003969129229949E-3</v>
      </c>
      <c r="W12" s="5">
        <f>IF(S12=0,0,'[2]2023 Nto driftsutg landet'!$C$7*'2023 Lønnsand og pensjon landet'!$D$8*('2023 Pensjon tjeneste'!F12/'2023 Lønnsgr pensjon tjeneste'!F12-$V$17)*'2023 Revekting utgiftsbehov'!F12)</f>
        <v>-1.466075945026112</v>
      </c>
      <c r="X12" s="5">
        <f t="shared" si="16"/>
        <v>-465.39701229286908</v>
      </c>
      <c r="Y12" s="55">
        <f>IF('2023 Lønnsgr pensjon tjeneste'!G12&lt;100,0,(C12/$C$17)*'2023 Revekting utgiftsbehov'!G12*'2023 Pensjon tjeneste'!G12/'2023 Lønnsgr pensjon tjeneste'!G12)</f>
        <v>1.2890879486805455E-3</v>
      </c>
      <c r="Z12" s="5">
        <f>IF('2023 Lønnsgr pensjon tjeneste'!G12&lt;100,0,C12)</f>
        <v>317444</v>
      </c>
      <c r="AA12" s="55">
        <f>'2023 Revekting utgiftsbehov'!G12*Z12/$Z$17</f>
        <v>1.7412147874887724E-2</v>
      </c>
      <c r="AB12" s="55">
        <f>'2023 Revekting utgiftsbehov'!G12/$AA$17</f>
        <v>8.1901862288316626E-2</v>
      </c>
      <c r="AC12" s="55">
        <f>IF(Z12=0,0,(Z12/$Z$17)*AB12*'2023 Pensjon tjeneste'!G12/'2023 Lønnsgr pensjon tjeneste'!G12)</f>
        <v>1.8085629372686562E-3</v>
      </c>
      <c r="AD12" s="5">
        <f>IF(Z12=0,0,'[2]2023 Nto driftsutg landet'!$C$8*'2023 Lønnsand og pensjon landet'!$D$9*('2023 Pensjon tjeneste'!G12/'2023 Lønnsgr pensjon tjeneste'!G12-$AC$17)*'2023 Revekting utgiftsbehov'!G12)</f>
        <v>-3.9862737489032407E-2</v>
      </c>
      <c r="AE12" s="5">
        <f t="shared" si="17"/>
        <v>-12.654186839468405</v>
      </c>
      <c r="AF12" s="55">
        <f>IF('2023 Lønnsgr pensjon tjeneste'!H12&lt;100,0,(C12/$C$17)*'2023 Revekting utgiftsbehov'!H12*'2023 Pensjon tjeneste'!H12/'2023 Lønnsgr pensjon tjeneste'!H12)</f>
        <v>1.6046817588047348E-2</v>
      </c>
      <c r="AG12" s="5">
        <f>IF('2023 Lønnsgr pensjon tjeneste'!H12&lt;100,0,C12)</f>
        <v>317444</v>
      </c>
      <c r="AH12" s="55">
        <f>'2023 Revekting utgiftsbehov'!H12*AG12/$AG$17</f>
        <v>5.9803843054344483E-2</v>
      </c>
      <c r="AI12" s="55">
        <f>'2023 Revekting utgiftsbehov'!H12/$AH$17</f>
        <v>1.0388028742608666</v>
      </c>
      <c r="AJ12" s="55">
        <f>IF(AG12=0,0,(AG12/$AG$17)*AI12*'2023 Pensjon tjeneste'!H12/'2023 Lønnsgr pensjon tjeneste'!H12)</f>
        <v>1.6046817588047348E-2</v>
      </c>
      <c r="AK12" s="5">
        <f>IF(AG12=0,0,'[2]2023 Nto driftsutg landet'!$C$9*'2023 Lønnsand og pensjon landet'!$D$10*('2023 Pensjon tjeneste'!H12/'2023 Lønnsgr pensjon tjeneste'!H12-$AJ$17)*'2023 Revekting utgiftsbehov'!H12)</f>
        <v>8.5042824388110088</v>
      </c>
      <c r="AL12" s="5">
        <f t="shared" si="18"/>
        <v>2699.6334345059217</v>
      </c>
      <c r="AM12" s="55">
        <f>IF('2023 Lønnsgr pensjon tjeneste'!K12&lt;100,0,(C12/$C$17)*'2023 Pensjon tjeneste'!K12/'2023 Lønnsgr pensjon tjeneste'!K12)</f>
        <v>2.7479895932119212E-2</v>
      </c>
      <c r="AN12" s="5">
        <f>IF('2023 Lønnsgr pensjon tjeneste'!K12&lt;100,0,C12)</f>
        <v>317444</v>
      </c>
      <c r="AO12" s="55">
        <f t="shared" si="3"/>
        <v>5.7569963018148526E-2</v>
      </c>
      <c r="AP12" s="55">
        <f t="shared" si="4"/>
        <v>1</v>
      </c>
      <c r="AQ12" s="55">
        <f>IF(AN12=0,0,(AN12/$AN$17)*AP12*'2023 Pensjon tjeneste'!K12/'2023 Lønnsgr pensjon tjeneste'!K12)</f>
        <v>2.7479895932119212E-2</v>
      </c>
      <c r="AR12" s="5">
        <f>IF(AN12=0,0,'[2]2023 Nto driftsutg landet'!$C$23*'2023 Lønnsand og pensjon landet'!$D$13*('2023 Pensjon tjeneste'!K12/'2023 Lønnsgr pensjon tjeneste'!K12-$AQ$17))</f>
        <v>6.0544998432027048</v>
      </c>
      <c r="AS12" s="5">
        <f t="shared" si="19"/>
        <v>1921.9646482256394</v>
      </c>
      <c r="AT12" s="55">
        <f>IF('2023 Lønnsgr pensjon tjeneste'!L12&lt;100,0,(C12/$C$17)*'2023 Pensjon tjeneste'!L12/'2023 Lønnsgr pensjon tjeneste'!L12)</f>
        <v>1.6942842462330073E-2</v>
      </c>
      <c r="AU12" s="5">
        <f>IF('2023 Lønnsgr pensjon tjeneste'!L12&lt;100,0,C12)</f>
        <v>317444</v>
      </c>
      <c r="AV12" s="55">
        <f t="shared" si="5"/>
        <v>6.6104722521510215E-2</v>
      </c>
      <c r="AW12" s="55">
        <f t="shared" si="6"/>
        <v>1</v>
      </c>
      <c r="AX12" s="55">
        <f>IF(AU12=0,0,(AU12/$AU$17)*AW12*'2023 Pensjon tjeneste'!L12/'2023 Lønnsgr pensjon tjeneste'!L12)</f>
        <v>1.9454622531977616E-2</v>
      </c>
      <c r="AY12" s="5">
        <f>IF(AU12=0,0,'[2]2023 Nto driftsutg landet'!$C$24*'2023 Lønnsand og pensjon landet'!$D$14*('2023 Pensjon tjeneste'!L12/'2023 Lønnsgr pensjon tjeneste'!L12-$AX$17))</f>
        <v>-0.75949299953872451</v>
      </c>
      <c r="AZ12" s="5">
        <f t="shared" si="20"/>
        <v>-241.09649574557088</v>
      </c>
      <c r="BA12" s="55">
        <f>IF('2023 Lønnsgr pensjon tjeneste'!M12&lt;100,0,(C12/$C$17)*'2023 Pensjon tjeneste'!M12/'2023 Lønnsgr pensjon tjeneste'!M12)</f>
        <v>1.3920915041741026E-2</v>
      </c>
      <c r="BB12" s="5">
        <f>IF('2023 Lønnsgr pensjon tjeneste'!M12&lt;100,0,C12)</f>
        <v>317444</v>
      </c>
      <c r="BC12" s="55">
        <f t="shared" si="7"/>
        <v>6.6104722521510215E-2</v>
      </c>
      <c r="BD12" s="55">
        <f t="shared" si="8"/>
        <v>1</v>
      </c>
      <c r="BE12" s="55">
        <f>IF(BB12=0,0,(BB12/$BB$17)*BD12*'2023 Pensjon tjeneste'!M12/'2023 Lønnsgr pensjon tjeneste'!M12)</f>
        <v>1.5984693715882878E-2</v>
      </c>
      <c r="BF12" s="5">
        <f>IF(BB12=0,0,'[2]2023 Nto driftsutg landet'!$C$25*'2023 Lønnsand og pensjon landet'!$D$15*('2023 Pensjon tjeneste'!M12/'2023 Lønnsgr pensjon tjeneste'!M12-$BE$17))</f>
        <v>-0.12643525889071003</v>
      </c>
      <c r="BG12" s="5">
        <f t="shared" si="21"/>
        <v>-40.136114323302557</v>
      </c>
      <c r="BH12" s="55">
        <f>IF('2023 Lønnsgr pensjon tjeneste'!N12&lt;100,0,(C12/$C$17)*'2023 Pensjon tjeneste'!N12/'2023 Lønnsgr pensjon tjeneste'!N12)</f>
        <v>1.3550176964525745E-2</v>
      </c>
      <c r="BI12" s="5">
        <f>IF('2023 Lønnsgr pensjon tjeneste'!N12&lt;100,0,C12)</f>
        <v>317444</v>
      </c>
      <c r="BJ12" s="55">
        <f t="shared" si="9"/>
        <v>5.7569963018148526E-2</v>
      </c>
      <c r="BK12" s="55">
        <f t="shared" si="10"/>
        <v>1</v>
      </c>
      <c r="BL12" s="55">
        <f>IF(BI12=0,0,(BI12/$BI$17)*BK12*'2023 Pensjon tjeneste'!N12/'2023 Lønnsgr pensjon tjeneste'!N12)</f>
        <v>1.3550176964525745E-2</v>
      </c>
      <c r="BM12" s="5">
        <f>IF(BI12=0,0,'[2]2023 Nto driftsutg landet'!$C$26*'2023 Lønnsand og pensjon landet'!$D$16*('2023 Pensjon tjeneste'!N12/'2023 Lønnsgr pensjon tjeneste'!N12-$BL$17))</f>
        <v>0.45601290004012374</v>
      </c>
      <c r="BN12" s="5">
        <f t="shared" si="22"/>
        <v>144.75855904033705</v>
      </c>
      <c r="BO12" s="55">
        <f>IF('2023 Lønnsgr pensjon tjeneste'!O12&lt;100,0,(C12/$C$17)*'2023 Pensjon tjeneste'!O12/'2023 Lønnsgr pensjon tjeneste'!O12)</f>
        <v>0</v>
      </c>
      <c r="BP12" s="5">
        <f>IF('2023 Lønnsgr pensjon tjeneste'!O12&lt;100,0,C12)</f>
        <v>0</v>
      </c>
      <c r="BQ12" s="55">
        <f t="shared" si="11"/>
        <v>0</v>
      </c>
      <c r="BR12" s="55">
        <f t="shared" si="12"/>
        <v>1</v>
      </c>
      <c r="BS12" s="55">
        <f>IF(BP12=0,0,(BP12/$BP$17)*BR12*'2023 Pensjon tjeneste'!O12/'2023 Lønnsgr pensjon tjeneste'!O12)</f>
        <v>0</v>
      </c>
      <c r="BT12" s="5">
        <f>IF(BP12=0,0,'[2]2023 Nto driftsutg landet'!$C$27*'2023 Lønnsand og pensjon landet'!$D$17*('2023 Pensjon tjeneste'!O12/'2023 Lønnsgr pensjon tjeneste'!O12-$BS$17))</f>
        <v>0</v>
      </c>
      <c r="BU12" s="5">
        <f t="shared" si="23"/>
        <v>0</v>
      </c>
      <c r="BV12" s="55">
        <f>IF('2023 Lønnsgr pensjon tjeneste'!P12&lt;100,0,(C12/$C$17)*'2023 Pensjon tjeneste'!P12/'2023 Lønnsgr pensjon tjeneste'!P12)</f>
        <v>1.0302821250515652E-2</v>
      </c>
      <c r="BW12" s="5">
        <f>IF('2023 Lønnsgr pensjon tjeneste'!P12&lt;100,0,C12)</f>
        <v>317444</v>
      </c>
      <c r="BX12" s="55">
        <f t="shared" si="13"/>
        <v>8.3306019009719526E-2</v>
      </c>
      <c r="BY12" s="55">
        <f t="shared" si="14"/>
        <v>1</v>
      </c>
      <c r="BZ12" s="55">
        <f>IF(BW12=0,0,(BW12/$BW$17)*BY12*'2023 Pensjon tjeneste'!P12/'2023 Lønnsgr pensjon tjeneste'!P12)</f>
        <v>1.4908590833706638E-2</v>
      </c>
      <c r="CA12" s="5">
        <f>IF(BW12=0,0,'[2]2023 Nto driftsutg landet'!$C$28*'2023 Lønnsand og pensjon landet'!$D$18*('2023 Pensjon tjeneste'!P12/'2023 Lønnsgr pensjon tjeneste'!P12-$BZ$17))</f>
        <v>0.10535502707566413</v>
      </c>
      <c r="CB12" s="5">
        <f t="shared" si="24"/>
        <v>33.444321215007129</v>
      </c>
      <c r="CC12" s="5"/>
      <c r="CD12" s="5"/>
      <c r="CE12" s="5"/>
    </row>
    <row r="13" spans="1:83" x14ac:dyDescent="0.3">
      <c r="A13" s="41">
        <v>4600</v>
      </c>
      <c r="B13" s="42" t="s">
        <v>407</v>
      </c>
      <c r="C13" s="42">
        <f>+'2023 Nto driftsutg'!W13</f>
        <v>648436</v>
      </c>
      <c r="D13" s="55">
        <f>IF('2023 Lønnsgr pensjon tjeneste'!D13&lt;100,0,(C13/$C$17)*'2023 Revekting utgiftsbehov'!D13*'2023 Pensjon tjeneste'!D13/'2023 Lønnsgr pensjon tjeneste'!D13)</f>
        <v>1.4432308611418797E-2</v>
      </c>
      <c r="E13" s="5">
        <f>IF('2023 Lønnsgr pensjon tjeneste'!D13&lt;100,0,C13)</f>
        <v>648436</v>
      </c>
      <c r="F13" s="55">
        <f>'2023 Revekting utgiftsbehov'!D13*E13/$E$17</f>
        <v>0.12334269265572453</v>
      </c>
      <c r="G13" s="55">
        <f>'2023 Revekting utgiftsbehov'!D13/$F$17</f>
        <v>1.0488598944143352</v>
      </c>
      <c r="H13" s="55">
        <f>IF(E13=0,0,(E13/$E$17)*G13*'2023 Pensjon tjeneste'!D13/'2023 Lønnsgr pensjon tjeneste'!D13)</f>
        <v>1.4432308611418799E-2</v>
      </c>
      <c r="I13" s="5">
        <f>IF(E13=0,0,'[2]2023 Nto driftsutg landet'!$C$5*'2023 Lønnsand og pensjon landet'!$D$6*('2023 Pensjon tjeneste'!D13/'2023 Lønnsgr pensjon tjeneste'!D13-$H$17)*'2023 Revekting utgiftsbehov'!D13)</f>
        <v>-127.04598246298886</v>
      </c>
      <c r="J13" s="5">
        <f t="shared" si="25"/>
        <v>-82381.188684370645</v>
      </c>
      <c r="K13" s="55">
        <f>IF('2023 Lønnsgr pensjon tjeneste'!E13&lt;100,0,(C13/$C$17)*'2023 Revekting utgiftsbehov'!E13*'2023 Pensjon tjeneste'!E13/'2023 Lønnsgr pensjon tjeneste'!E13)</f>
        <v>0.14061423091732062</v>
      </c>
      <c r="L13" s="5">
        <f>IF('2023 Lønnsgr pensjon tjeneste'!E13&lt;100,0,C13)</f>
        <v>648436</v>
      </c>
      <c r="M13" s="55">
        <f>'2023 Revekting utgiftsbehov'!E13*L13/$L$17</f>
        <v>0.15280927161891228</v>
      </c>
      <c r="N13" s="55">
        <f>'2023 Revekting utgiftsbehov'!E13/$M$17</f>
        <v>1.2994326055707779</v>
      </c>
      <c r="O13" s="55">
        <f>IF(L13=0,0,(L13/$L$17)*N13*'2023 Pensjon tjeneste'!E13/'2023 Lønnsgr pensjon tjeneste'!E13)</f>
        <v>0.14061423091732062</v>
      </c>
      <c r="P13" s="5">
        <f>IF(L13=0,0,'[2]2023 Nto driftsutg landet'!$C$6*'2023 Lønnsand og pensjon landet'!$D$7*('2023 Pensjon tjeneste'!E13/'2023 Lønnsgr pensjon tjeneste'!E13-$O$17)*'2023 Revekting utgiftsbehov'!E13)</f>
        <v>77.080675988542907</v>
      </c>
      <c r="Q13" s="5">
        <f t="shared" si="15"/>
        <v>49981.885215306815</v>
      </c>
      <c r="R13" s="55">
        <f>IF('2023 Lønnsgr pensjon tjeneste'!F13&lt;100,0,(C13/$C$17)*'2023 Revekting utgiftsbehov'!F13*'2023 Pensjon tjeneste'!F13/'2023 Lønnsgr pensjon tjeneste'!F13)</f>
        <v>2.1687164996245605E-2</v>
      </c>
      <c r="S13" s="5">
        <f>IF('2023 Lønnsgr pensjon tjeneste'!F13&lt;100,0,C13)</f>
        <v>648436</v>
      </c>
      <c r="T13" s="55">
        <f>'2023 Revekting utgiftsbehov'!F13*S13/$S$17</f>
        <v>0.12520317880132556</v>
      </c>
      <c r="U13" s="55">
        <f>'2023 Revekting utgiftsbehov'!F13/$T$17</f>
        <v>1.0646807692486568</v>
      </c>
      <c r="V13" s="55">
        <f>IF(S13=0,0,(S13/$S$17)*U13*'2023 Pensjon tjeneste'!F13/'2023 Lønnsgr pensjon tjeneste'!F13)</f>
        <v>2.1687164996245605E-2</v>
      </c>
      <c r="W13" s="5">
        <f>IF(S13=0,0,'[2]2023 Nto driftsutg landet'!$C$7*'2023 Lønnsand og pensjon landet'!$D$8*('2023 Pensjon tjeneste'!F13/'2023 Lønnsgr pensjon tjeneste'!F13-$V$17)*'2023 Revekting utgiftsbehov'!F13)</f>
        <v>-3.1726639130366654</v>
      </c>
      <c r="X13" s="5">
        <f t="shared" si="16"/>
        <v>-2057.269497113843</v>
      </c>
      <c r="Y13" s="55">
        <f>IF('2023 Lønnsgr pensjon tjeneste'!G13&lt;100,0,(C13/$C$17)*'2023 Revekting utgiftsbehov'!G13*'2023 Pensjon tjeneste'!G13/'2023 Lønnsgr pensjon tjeneste'!G13)</f>
        <v>0</v>
      </c>
      <c r="Z13" s="5">
        <f>IF('2023 Lønnsgr pensjon tjeneste'!G13&lt;100,0,C13)</f>
        <v>0</v>
      </c>
      <c r="AA13" s="55">
        <f>'2023 Revekting utgiftsbehov'!G13*Z13/$Z$17</f>
        <v>0</v>
      </c>
      <c r="AB13" s="55">
        <f>'2023 Revekting utgiftsbehov'!G13/$AA$17</f>
        <v>1.4179947978053247</v>
      </c>
      <c r="AC13" s="55">
        <f>IF(Z13=0,0,(Z13/$Z$17)*AB13*'2023 Pensjon tjeneste'!G13/'2023 Lønnsgr pensjon tjeneste'!G13)</f>
        <v>0</v>
      </c>
      <c r="AD13" s="5">
        <f>IF(Z13=0,0,'[2]2023 Nto driftsutg landet'!$C$8*'2023 Lønnsand og pensjon landet'!$D$9*('2023 Pensjon tjeneste'!G13/'2023 Lønnsgr pensjon tjeneste'!G13-$AC$17)*'2023 Revekting utgiftsbehov'!G13)</f>
        <v>0</v>
      </c>
      <c r="AE13" s="5">
        <f t="shared" si="17"/>
        <v>0</v>
      </c>
      <c r="AF13" s="55">
        <f>IF('2023 Lønnsgr pensjon tjeneste'!H13&lt;100,0,(C13/$C$17)*'2023 Revekting utgiftsbehov'!H13*'2023 Pensjon tjeneste'!H13/'2023 Lønnsgr pensjon tjeneste'!H13)</f>
        <v>2.3380859488908418E-2</v>
      </c>
      <c r="AG13" s="5">
        <f>IF('2023 Lønnsgr pensjon tjeneste'!H13&lt;100,0,C13)</f>
        <v>648436</v>
      </c>
      <c r="AH13" s="55">
        <f>'2023 Revekting utgiftsbehov'!H13*AG13/$AG$17</f>
        <v>0.1238342747786932</v>
      </c>
      <c r="AI13" s="55">
        <f>'2023 Revekting utgiftsbehov'!H13/$AH$17</f>
        <v>1.0530401240046849</v>
      </c>
      <c r="AJ13" s="55">
        <f>IF(AG13=0,0,(AG13/$AG$17)*AI13*'2023 Pensjon tjeneste'!H13/'2023 Lønnsgr pensjon tjeneste'!H13)</f>
        <v>2.3380859488908418E-2</v>
      </c>
      <c r="AK13" s="5">
        <f>IF(AG13=0,0,'[2]2023 Nto driftsutg landet'!$C$9*'2023 Lønnsand og pensjon landet'!$D$10*('2023 Pensjon tjeneste'!H13/'2023 Lønnsgr pensjon tjeneste'!H13-$AJ$17)*'2023 Revekting utgiftsbehov'!H13)</f>
        <v>-17.358197420254168</v>
      </c>
      <c r="AL13" s="5">
        <f t="shared" si="18"/>
        <v>-11255.680102399932</v>
      </c>
      <c r="AM13" s="55">
        <f>IF('2023 Lønnsgr pensjon tjeneste'!K13&lt;100,0,(C13/$C$17)*'2023 Pensjon tjeneste'!K13/'2023 Lønnsgr pensjon tjeneste'!K13)</f>
        <v>6.0516556127946635E-3</v>
      </c>
      <c r="AN13" s="5">
        <f>IF('2023 Lønnsgr pensjon tjeneste'!K13&lt;100,0,C13)</f>
        <v>648436</v>
      </c>
      <c r="AO13" s="55">
        <f t="shared" si="3"/>
        <v>0.1175969195815204</v>
      </c>
      <c r="AP13" s="55">
        <f t="shared" si="4"/>
        <v>1</v>
      </c>
      <c r="AQ13" s="55">
        <f>IF(AN13=0,0,(AN13/$AN$17)*AP13*'2023 Pensjon tjeneste'!K13/'2023 Lønnsgr pensjon tjeneste'!K13)</f>
        <v>6.0516556127946635E-3</v>
      </c>
      <c r="AR13" s="5">
        <f>IF(AN13=0,0,'[2]2023 Nto driftsutg landet'!$C$23*'2023 Lønnsand og pensjon landet'!$D$13*('2023 Pensjon tjeneste'!K13/'2023 Lønnsgr pensjon tjeneste'!K13-$AQ$17))</f>
        <v>-148.65864304370268</v>
      </c>
      <c r="AS13" s="5">
        <f t="shared" si="19"/>
        <v>-96395.61586068639</v>
      </c>
      <c r="AT13" s="55">
        <f>IF('2023 Lønnsgr pensjon tjeneste'!L13&lt;100,0,(C13/$C$17)*'2023 Pensjon tjeneste'!L13/'2023 Lønnsgr pensjon tjeneste'!L13)</f>
        <v>3.2292213456064388E-2</v>
      </c>
      <c r="AU13" s="5">
        <f>IF('2023 Lønnsgr pensjon tjeneste'!L13&lt;100,0,C13)</f>
        <v>648436</v>
      </c>
      <c r="AV13" s="55">
        <f t="shared" si="5"/>
        <v>0.13503068841420218</v>
      </c>
      <c r="AW13" s="55">
        <f t="shared" si="6"/>
        <v>1</v>
      </c>
      <c r="AX13" s="55">
        <f>IF(AU13=0,0,(AU13/$AU$17)*AW13*'2023 Pensjon tjeneste'!L13/'2023 Lønnsgr pensjon tjeneste'!L13)</f>
        <v>3.7079541104543971E-2</v>
      </c>
      <c r="AY13" s="5">
        <f>IF(AU13=0,0,'[2]2023 Nto driftsutg landet'!$C$24*'2023 Lønnsand og pensjon landet'!$D$14*('2023 Pensjon tjeneste'!L13/'2023 Lønnsgr pensjon tjeneste'!L13-$AX$17))</f>
        <v>-1.4869833482149153</v>
      </c>
      <c r="AZ13" s="5">
        <f t="shared" si="20"/>
        <v>-964.21353438308688</v>
      </c>
      <c r="BA13" s="55">
        <f>IF('2023 Lønnsgr pensjon tjeneste'!M13&lt;100,0,(C13/$C$17)*'2023 Pensjon tjeneste'!M13/'2023 Lønnsgr pensjon tjeneste'!M13)</f>
        <v>2.0974194913729892E-2</v>
      </c>
      <c r="BB13" s="5">
        <f>IF('2023 Lønnsgr pensjon tjeneste'!M13&lt;100,0,C13)</f>
        <v>648436</v>
      </c>
      <c r="BC13" s="55">
        <f t="shared" si="7"/>
        <v>0.13503068841420218</v>
      </c>
      <c r="BD13" s="55">
        <f t="shared" si="8"/>
        <v>1</v>
      </c>
      <c r="BE13" s="55">
        <f>IF(BB13=0,0,(BB13/$BB$17)*BD13*'2023 Pensjon tjeneste'!M13/'2023 Lønnsgr pensjon tjeneste'!M13)</f>
        <v>2.4083623858627511E-2</v>
      </c>
      <c r="BF13" s="5">
        <f>IF(BB13=0,0,'[2]2023 Nto driftsutg landet'!$C$25*'2023 Lønnsand og pensjon landet'!$D$15*('2023 Pensjon tjeneste'!M13/'2023 Lønnsgr pensjon tjeneste'!M13-$BE$17))</f>
        <v>0.12685713346553079</v>
      </c>
      <c r="BG13" s="5">
        <f t="shared" si="21"/>
        <v>82.258732195854932</v>
      </c>
      <c r="BH13" s="55">
        <f>IF('2023 Lønnsgr pensjon tjeneste'!N13&lt;100,0,(C13/$C$17)*'2023 Pensjon tjeneste'!N13/'2023 Lønnsgr pensjon tjeneste'!N13)</f>
        <v>2.1886981024468212E-2</v>
      </c>
      <c r="BI13" s="5">
        <f>IF('2023 Lønnsgr pensjon tjeneste'!N13&lt;100,0,C13)</f>
        <v>648436</v>
      </c>
      <c r="BJ13" s="55">
        <f t="shared" si="9"/>
        <v>0.1175969195815204</v>
      </c>
      <c r="BK13" s="55">
        <f t="shared" si="10"/>
        <v>1</v>
      </c>
      <c r="BL13" s="55">
        <f>IF(BI13=0,0,(BI13/$BI$17)*BK13*'2023 Pensjon tjeneste'!N13/'2023 Lønnsgr pensjon tjeneste'!N13)</f>
        <v>2.1886981024468212E-2</v>
      </c>
      <c r="BM13" s="5">
        <f>IF(BI13=0,0,'[2]2023 Nto driftsutg landet'!$C$26*'2023 Lønnsand og pensjon landet'!$D$16*('2023 Pensjon tjeneste'!N13/'2023 Lønnsgr pensjon tjeneste'!N13-$BL$17))</f>
        <v>-0.99370070892552864</v>
      </c>
      <c r="BN13" s="5">
        <f t="shared" si="22"/>
        <v>-644.35131289283413</v>
      </c>
      <c r="BO13" s="55">
        <f>IF('2023 Lønnsgr pensjon tjeneste'!O13&lt;100,0,(C13/$C$17)*'2023 Pensjon tjeneste'!O13/'2023 Lønnsgr pensjon tjeneste'!O13)</f>
        <v>0</v>
      </c>
      <c r="BP13" s="5">
        <f>IF('2023 Lønnsgr pensjon tjeneste'!O13&lt;100,0,C13)</f>
        <v>0</v>
      </c>
      <c r="BQ13" s="55">
        <f t="shared" si="11"/>
        <v>0</v>
      </c>
      <c r="BR13" s="55">
        <f t="shared" si="12"/>
        <v>1</v>
      </c>
      <c r="BS13" s="55">
        <f>IF(BP13=0,0,(BP13/$BP$17)*BR13*'2023 Pensjon tjeneste'!O13/'2023 Lønnsgr pensjon tjeneste'!O13)</f>
        <v>0</v>
      </c>
      <c r="BT13" s="5">
        <f>IF(BP13=0,0,'[2]2023 Nto driftsutg landet'!$C$27*'2023 Lønnsand og pensjon landet'!$D$17*('2023 Pensjon tjeneste'!O13/'2023 Lønnsgr pensjon tjeneste'!O13-$BS$17))</f>
        <v>0</v>
      </c>
      <c r="BU13" s="5">
        <f t="shared" si="23"/>
        <v>0</v>
      </c>
      <c r="BV13" s="55">
        <f>IF('2023 Lønnsgr pensjon tjeneste'!P13&lt;100,0,(C13/$C$17)*'2023 Pensjon tjeneste'!P13/'2023 Lønnsgr pensjon tjeneste'!P13)</f>
        <v>2.2752968147137349E-2</v>
      </c>
      <c r="BW13" s="5">
        <f>IF('2023 Lønnsgr pensjon tjeneste'!P13&lt;100,0,C13)</f>
        <v>648436</v>
      </c>
      <c r="BX13" s="55">
        <f t="shared" si="13"/>
        <v>0.17016740509376926</v>
      </c>
      <c r="BY13" s="55">
        <f t="shared" si="14"/>
        <v>1</v>
      </c>
      <c r="BZ13" s="55">
        <f>IF(BW13=0,0,(BW13/$BW$17)*BY13*'2023 Pensjon tjeneste'!P13/'2023 Lønnsgr pensjon tjeneste'!P13)</f>
        <v>3.2924447014069415E-2</v>
      </c>
      <c r="CA13" s="5">
        <f>IF(BW13=0,0,'[2]2023 Nto driftsutg landet'!$C$28*'2023 Lønnsand og pensjon landet'!$D$18*('2023 Pensjon tjeneste'!P13/'2023 Lønnsgr pensjon tjeneste'!P13-$BZ$17))</f>
        <v>5.8190213428552524E-2</v>
      </c>
      <c r="CB13" s="5">
        <f t="shared" si="24"/>
        <v>37.732629234756878</v>
      </c>
      <c r="CC13" s="5"/>
      <c r="CD13" s="5"/>
      <c r="CE13" s="5"/>
    </row>
    <row r="14" spans="1:83" x14ac:dyDescent="0.3">
      <c r="A14" s="41">
        <v>5000</v>
      </c>
      <c r="B14" s="42" t="s">
        <v>388</v>
      </c>
      <c r="C14" s="42">
        <f>+'2023 Nto driftsutg'!W14</f>
        <v>480437</v>
      </c>
      <c r="D14" s="55">
        <f>IF('2023 Lønnsgr pensjon tjeneste'!D14&lt;100,0,(C14/$C$17)*'2023 Revekting utgiftsbehov'!D14*'2023 Pensjon tjeneste'!D14/'2023 Lønnsgr pensjon tjeneste'!D14)</f>
        <v>1.2403666608123719E-2</v>
      </c>
      <c r="E14" s="5">
        <f>IF('2023 Lønnsgr pensjon tjeneste'!D14&lt;100,0,C14)</f>
        <v>480437</v>
      </c>
      <c r="F14" s="55">
        <f>'2023 Revekting utgiftsbehov'!D14*E14/$E$17</f>
        <v>8.8828903870707299E-2</v>
      </c>
      <c r="G14" s="55">
        <f>'2023 Revekting utgiftsbehov'!D14/$F$17</f>
        <v>1.0195042229505573</v>
      </c>
      <c r="H14" s="55">
        <f>IF(E14=0,0,(E14/$E$17)*G14*'2023 Pensjon tjeneste'!D14/'2023 Lønnsgr pensjon tjeneste'!D14)</f>
        <v>1.240366660812372E-2</v>
      </c>
      <c r="I14" s="5">
        <f>IF(E14=0,0,'[2]2023 Nto driftsutg landet'!$C$5*'2023 Lønnsand og pensjon landet'!$D$6*('2023 Pensjon tjeneste'!D14/'2023 Lønnsgr pensjon tjeneste'!D14-$H$17)*'2023 Revekting utgiftsbehov'!D14)</f>
        <v>-35.793012955245636</v>
      </c>
      <c r="J14" s="5">
        <f t="shared" si="25"/>
        <v>-17196.287765179346</v>
      </c>
      <c r="K14" s="55">
        <f>IF('2023 Lønnsgr pensjon tjeneste'!E14&lt;100,0,(C14/$C$17)*'2023 Revekting utgiftsbehov'!E14*'2023 Pensjon tjeneste'!E14/'2023 Lønnsgr pensjon tjeneste'!E14)</f>
        <v>4.5742658055161277E-2</v>
      </c>
      <c r="L14" s="5">
        <f>IF('2023 Lønnsgr pensjon tjeneste'!E14&lt;100,0,C14)</f>
        <v>480437</v>
      </c>
      <c r="M14" s="55">
        <f>'2023 Revekting utgiftsbehov'!E14*L14/$L$17</f>
        <v>0.11036279752885199</v>
      </c>
      <c r="N14" s="55">
        <f>'2023 Revekting utgiftsbehov'!E14/$M$17</f>
        <v>1.2666523308794941</v>
      </c>
      <c r="O14" s="55">
        <f>IF(L14=0,0,(L14/$L$17)*N14*'2023 Pensjon tjeneste'!E14/'2023 Lønnsgr pensjon tjeneste'!E14)</f>
        <v>4.5742658055161277E-2</v>
      </c>
      <c r="P14" s="5">
        <f>IF(L14=0,0,'[2]2023 Nto driftsutg landet'!$C$6*'2023 Lønnsand og pensjon landet'!$D$7*('2023 Pensjon tjeneste'!E14/'2023 Lønnsgr pensjon tjeneste'!E14-$O$17)*'2023 Revekting utgiftsbehov'!E14)</f>
        <v>-6.5569015544258544</v>
      </c>
      <c r="Q14" s="5">
        <f t="shared" si="15"/>
        <v>-3150.1781121036943</v>
      </c>
      <c r="R14" s="55">
        <f>IF('2023 Lønnsgr pensjon tjeneste'!F14&lt;100,0,(C14/$C$17)*'2023 Revekting utgiftsbehov'!F14*'2023 Pensjon tjeneste'!F14/'2023 Lønnsgr pensjon tjeneste'!F14)</f>
        <v>1.7572025011609118E-2</v>
      </c>
      <c r="S14" s="5">
        <f>IF('2023 Lønnsgr pensjon tjeneste'!F14&lt;100,0,C14)</f>
        <v>480437</v>
      </c>
      <c r="T14" s="55">
        <f>'2023 Revekting utgiftsbehov'!F14*S14/$S$17</f>
        <v>9.5122055795008445E-2</v>
      </c>
      <c r="U14" s="55">
        <f>'2023 Revekting utgiftsbehov'!F14/$T$17</f>
        <v>1.0917317827078288</v>
      </c>
      <c r="V14" s="55">
        <f>IF(S14=0,0,(S14/$S$17)*U14*'2023 Pensjon tjeneste'!F14/'2023 Lønnsgr pensjon tjeneste'!F14)</f>
        <v>1.7572025011609118E-2</v>
      </c>
      <c r="W14" s="5">
        <f>IF(S14=0,0,'[2]2023 Nto driftsutg landet'!$C$7*'2023 Lønnsand og pensjon landet'!$D$8*('2023 Pensjon tjeneste'!F14/'2023 Lønnsgr pensjon tjeneste'!F14-$V$17)*'2023 Revekting utgiftsbehov'!F14)</f>
        <v>-2.7447591561821914</v>
      </c>
      <c r="X14" s="5">
        <f t="shared" si="16"/>
        <v>-1318.6838547187035</v>
      </c>
      <c r="Y14" s="55">
        <f>IF('2023 Lønnsgr pensjon tjeneste'!G14&lt;100,0,(C14/$C$17)*'2023 Revekting utgiftsbehov'!G14*'2023 Pensjon tjeneste'!G14/'2023 Lønnsgr pensjon tjeneste'!G14)</f>
        <v>1.3675478969303758E-2</v>
      </c>
      <c r="Z14" s="5">
        <f>IF('2023 Lønnsgr pensjon tjeneste'!G14&lt;100,0,C14)</f>
        <v>480437</v>
      </c>
      <c r="AA14" s="55">
        <f>'2023 Revekting utgiftsbehov'!G14*Z14/$Z$17</f>
        <v>0.20940566647965786</v>
      </c>
      <c r="AB14" s="55">
        <f>'2023 Revekting utgiftsbehov'!G14/$AA$17</f>
        <v>0.6508194686611255</v>
      </c>
      <c r="AC14" s="55">
        <f>IF(Z14=0,0,(Z14/$Z$17)*AB14*'2023 Pensjon tjeneste'!G14/'2023 Lønnsgr pensjon tjeneste'!G14)</f>
        <v>1.9186405736393179E-2</v>
      </c>
      <c r="AD14" s="5">
        <f>IF(Z14=0,0,'[2]2023 Nto driftsutg landet'!$C$8*'2023 Lønnsand og pensjon landet'!$D$9*('2023 Pensjon tjeneste'!G14/'2023 Lønnsgr pensjon tjeneste'!G14-$AC$17)*'2023 Revekting utgiftsbehov'!G14)</f>
        <v>-0.38731322505498283</v>
      </c>
      <c r="AE14" s="5">
        <f t="shared" si="17"/>
        <v>-186.07960390574078</v>
      </c>
      <c r="AF14" s="55">
        <f>IF('2023 Lønnsgr pensjon tjeneste'!H14&lt;100,0,(C14/$C$17)*'2023 Revekting utgiftsbehov'!H14*'2023 Pensjon tjeneste'!H14/'2023 Lønnsgr pensjon tjeneste'!H14)</f>
        <v>1.5860541462193862E-2</v>
      </c>
      <c r="AG14" s="5">
        <f>IF('2023 Lønnsgr pensjon tjeneste'!H14&lt;100,0,C14)</f>
        <v>480437</v>
      </c>
      <c r="AH14" s="55">
        <f>'2023 Revekting utgiftsbehov'!H14*AG14/$AG$17</f>
        <v>9.0761459556060159E-2</v>
      </c>
      <c r="AI14" s="55">
        <f>'2023 Revekting utgiftsbehov'!H14/$AH$17</f>
        <v>1.0416844885673895</v>
      </c>
      <c r="AJ14" s="55">
        <f>IF(AG14=0,0,(AG14/$AG$17)*AI14*'2023 Pensjon tjeneste'!H14/'2023 Lønnsgr pensjon tjeneste'!H14)</f>
        <v>1.5860541462193862E-2</v>
      </c>
      <c r="AK14" s="5">
        <f>IF(AG14=0,0,'[2]2023 Nto driftsutg landet'!$C$9*'2023 Lønnsand og pensjon landet'!$D$10*('2023 Pensjon tjeneste'!H14/'2023 Lønnsgr pensjon tjeneste'!H14-$AJ$17)*'2023 Revekting utgiftsbehov'!H14)</f>
        <v>-21.714380259058984</v>
      </c>
      <c r="AL14" s="5">
        <f t="shared" si="18"/>
        <v>-10432.39170852152</v>
      </c>
      <c r="AM14" s="55">
        <f>IF('2023 Lønnsgr pensjon tjeneste'!K14&lt;100,0,(C14/$C$17)*'2023 Pensjon tjeneste'!K14/'2023 Lønnsgr pensjon tjeneste'!K14)</f>
        <v>1.7130732024452849E-2</v>
      </c>
      <c r="AN14" s="5">
        <f>IF('2023 Lønnsgr pensjon tjeneste'!K14&lt;100,0,C14)</f>
        <v>480437</v>
      </c>
      <c r="AO14" s="55">
        <f t="shared" si="3"/>
        <v>8.7129510472871513E-2</v>
      </c>
      <c r="AP14" s="55">
        <f t="shared" si="4"/>
        <v>1</v>
      </c>
      <c r="AQ14" s="55">
        <f>IF(AN14=0,0,(AN14/$AN$17)*AP14*'2023 Pensjon tjeneste'!K14/'2023 Lønnsgr pensjon tjeneste'!K14)</f>
        <v>1.7130732024452849E-2</v>
      </c>
      <c r="AR14" s="5">
        <f>IF(AN14=0,0,'[2]2023 Nto driftsutg landet'!$C$23*'2023 Lønnsand og pensjon landet'!$D$13*('2023 Pensjon tjeneste'!K14/'2023 Lønnsgr pensjon tjeneste'!K14-$AQ$17))</f>
        <v>-95.92696387427722</v>
      </c>
      <c r="AS14" s="5">
        <f t="shared" si="19"/>
        <v>-46086.86274286612</v>
      </c>
      <c r="AT14" s="55">
        <f>IF('2023 Lønnsgr pensjon tjeneste'!L14&lt;100,0,(C14/$C$17)*'2023 Pensjon tjeneste'!L14/'2023 Lønnsgr pensjon tjeneste'!L14)</f>
        <v>2.404874448457911E-2</v>
      </c>
      <c r="AU14" s="5">
        <f>IF('2023 Lønnsgr pensjon tjeneste'!L14&lt;100,0,C14)</f>
        <v>480437</v>
      </c>
      <c r="AV14" s="55">
        <f t="shared" si="5"/>
        <v>0.10004647929734631</v>
      </c>
      <c r="AW14" s="55">
        <f t="shared" si="6"/>
        <v>1</v>
      </c>
      <c r="AX14" s="55">
        <f>IF(AU14=0,0,(AU14/$AU$17)*AW14*'2023 Pensjon tjeneste'!L14/'2023 Lønnsgr pensjon tjeneste'!L14)</f>
        <v>2.7613976070171315E-2</v>
      </c>
      <c r="AY14" s="5">
        <f>IF(AU14=0,0,'[2]2023 Nto driftsutg landet'!$C$24*'2023 Lønnsand og pensjon landet'!$D$14*('2023 Pensjon tjeneste'!L14/'2023 Lønnsgr pensjon tjeneste'!L14-$AX$17))</f>
        <v>-1.4348889335100814</v>
      </c>
      <c r="AZ14" s="5">
        <f t="shared" si="20"/>
        <v>-689.37373454878298</v>
      </c>
      <c r="BA14" s="55">
        <f>IF('2023 Lønnsgr pensjon tjeneste'!M14&lt;100,0,(C14/$C$17)*'2023 Pensjon tjeneste'!M14/'2023 Lønnsgr pensjon tjeneste'!M14)</f>
        <v>1.4697495021882659E-2</v>
      </c>
      <c r="BB14" s="5">
        <f>IF('2023 Lønnsgr pensjon tjeneste'!M14&lt;100,0,C14)</f>
        <v>480437</v>
      </c>
      <c r="BC14" s="55">
        <f t="shared" si="7"/>
        <v>0.10004647929734631</v>
      </c>
      <c r="BD14" s="55">
        <f t="shared" si="8"/>
        <v>1</v>
      </c>
      <c r="BE14" s="55">
        <f>IF(BB14=0,0,(BB14/$BB$17)*BD14*'2023 Pensjon tjeneste'!M14/'2023 Lønnsgr pensjon tjeneste'!M14)</f>
        <v>1.6876401846507162E-2</v>
      </c>
      <c r="BF14" s="5">
        <f>IF(BB14=0,0,'[2]2023 Nto driftsutg landet'!$C$25*'2023 Lønnsand og pensjon landet'!$D$15*('2023 Pensjon tjeneste'!M14/'2023 Lønnsgr pensjon tjeneste'!M14-$BE$17))</f>
        <v>0.16546277824901981</v>
      </c>
      <c r="BG14" s="5">
        <f t="shared" si="21"/>
        <v>79.494440793624335</v>
      </c>
      <c r="BH14" s="55">
        <f>IF('2023 Lønnsgr pensjon tjeneste'!N14&lt;100,0,(C14/$C$17)*'2023 Pensjon tjeneste'!N14/'2023 Lønnsgr pensjon tjeneste'!N14)</f>
        <v>1.4113584362022093E-2</v>
      </c>
      <c r="BI14" s="5">
        <f>IF('2023 Lønnsgr pensjon tjeneste'!N14&lt;100,0,C14)</f>
        <v>480437</v>
      </c>
      <c r="BJ14" s="55">
        <f t="shared" si="9"/>
        <v>8.7129510472871513E-2</v>
      </c>
      <c r="BK14" s="55">
        <f t="shared" si="10"/>
        <v>1</v>
      </c>
      <c r="BL14" s="55">
        <f>IF(BI14=0,0,(BI14/$BI$17)*BK14*'2023 Pensjon tjeneste'!N14/'2023 Lønnsgr pensjon tjeneste'!N14)</f>
        <v>1.4113584362022093E-2</v>
      </c>
      <c r="BM14" s="5">
        <f>IF(BI14=0,0,'[2]2023 Nto driftsutg landet'!$C$26*'2023 Lønnsand og pensjon landet'!$D$16*('2023 Pensjon tjeneste'!N14/'2023 Lønnsgr pensjon tjeneste'!N14-$BL$17))</f>
        <v>-1.7041217127166317</v>
      </c>
      <c r="BN14" s="5">
        <f t="shared" si="22"/>
        <v>-818.72312329244039</v>
      </c>
      <c r="BO14" s="55">
        <f>IF('2023 Lønnsgr pensjon tjeneste'!O14&lt;100,0,(C14/$C$17)*'2023 Pensjon tjeneste'!O14/'2023 Lønnsgr pensjon tjeneste'!O14)</f>
        <v>0</v>
      </c>
      <c r="BP14" s="5">
        <f>IF('2023 Lønnsgr pensjon tjeneste'!O14&lt;100,0,C14)</f>
        <v>0</v>
      </c>
      <c r="BQ14" s="55">
        <f t="shared" si="11"/>
        <v>0</v>
      </c>
      <c r="BR14" s="55">
        <f t="shared" si="12"/>
        <v>1</v>
      </c>
      <c r="BS14" s="55">
        <f>IF(BP14=0,0,(BP14/$BP$17)*BR14*'2023 Pensjon tjeneste'!O14/'2023 Lønnsgr pensjon tjeneste'!O14)</f>
        <v>0</v>
      </c>
      <c r="BT14" s="5">
        <f>IF(BP14=0,0,'[2]2023 Nto driftsutg landet'!$C$27*'2023 Lønnsand og pensjon landet'!$D$17*('2023 Pensjon tjeneste'!O14/'2023 Lønnsgr pensjon tjeneste'!O14-$BS$17))</f>
        <v>0</v>
      </c>
      <c r="BU14" s="5">
        <f t="shared" si="23"/>
        <v>0</v>
      </c>
      <c r="BV14" s="55">
        <f>IF('2023 Lønnsgr pensjon tjeneste'!P14&lt;100,0,(C14/$C$17)*'2023 Pensjon tjeneste'!P14/'2023 Lønnsgr pensjon tjeneste'!P14)</f>
        <v>0</v>
      </c>
      <c r="BW14" s="5">
        <f>IF('2023 Lønnsgr pensjon tjeneste'!P14&lt;100,0,C14)</f>
        <v>0</v>
      </c>
      <c r="BX14" s="55">
        <f t="shared" si="13"/>
        <v>0</v>
      </c>
      <c r="BY14" s="55">
        <f t="shared" si="14"/>
        <v>1</v>
      </c>
      <c r="BZ14" s="55">
        <f>IF(BW14=0,0,(BW14/$BW$17)*BY14*'2023 Pensjon tjeneste'!P14/'2023 Lønnsgr pensjon tjeneste'!P14)</f>
        <v>0</v>
      </c>
      <c r="CA14" s="5">
        <f>IF(BW14=0,0,'[2]2023 Nto driftsutg landet'!$C$28*'2023 Lønnsand og pensjon landet'!$D$18*('2023 Pensjon tjeneste'!P14/'2023 Lønnsgr pensjon tjeneste'!P14-$BZ$17))</f>
        <v>0</v>
      </c>
      <c r="CB14" s="5">
        <f t="shared" si="24"/>
        <v>0</v>
      </c>
      <c r="CC14" s="5"/>
      <c r="CD14" s="5"/>
      <c r="CE14" s="5"/>
    </row>
    <row r="15" spans="1:83" x14ac:dyDescent="0.3">
      <c r="A15" s="41">
        <v>5400</v>
      </c>
      <c r="B15" s="42" t="s">
        <v>408</v>
      </c>
      <c r="C15" s="42">
        <f>+'2023 Nto driftsutg'!W15</f>
        <v>243329</v>
      </c>
      <c r="D15" s="55">
        <f>IF('2023 Lønnsgr pensjon tjeneste'!D15&lt;100,0,(C15/$C$17)*'2023 Revekting utgiftsbehov'!D15*'2023 Pensjon tjeneste'!D15/'2023 Lønnsgr pensjon tjeneste'!D15)</f>
        <v>1.1362935034226149E-2</v>
      </c>
      <c r="E15" s="5">
        <f>IF('2023 Lønnsgr pensjon tjeneste'!D15&lt;100,0,C15)</f>
        <v>243329</v>
      </c>
      <c r="F15" s="55">
        <f>'2023 Revekting utgiftsbehov'!D15*E15/$E$17</f>
        <v>4.8730797010759219E-2</v>
      </c>
      <c r="G15" s="55">
        <f>'2023 Revekting utgiftsbehov'!D15/$F$17</f>
        <v>1.1042840912589911</v>
      </c>
      <c r="H15" s="55">
        <f>IF(E15=0,0,(E15/$E$17)*G15*'2023 Pensjon tjeneste'!D15/'2023 Lønnsgr pensjon tjeneste'!D15)</f>
        <v>1.1362935034226153E-2</v>
      </c>
      <c r="I15" s="5">
        <f>IF(E15=0,0,'[2]2023 Nto driftsutg landet'!$C$5*'2023 Lønnsand og pensjon landet'!$D$6*('2023 Pensjon tjeneste'!D15/'2023 Lønnsgr pensjon tjeneste'!D15-$H$17)*'2023 Revekting utgiftsbehov'!D15)</f>
        <v>353.95159288928409</v>
      </c>
      <c r="J15" s="5">
        <f t="shared" si="25"/>
        <v>86126.687146156604</v>
      </c>
      <c r="K15" s="55">
        <f>IF('2023 Lønnsgr pensjon tjeneste'!E15&lt;100,0,(C15/$C$17)*'2023 Revekting utgiftsbehov'!E15*'2023 Pensjon tjeneste'!E15/'2023 Lønnsgr pensjon tjeneste'!E15)</f>
        <v>2.4874934840125491E-2</v>
      </c>
      <c r="L15" s="5">
        <f>IF('2023 Lønnsgr pensjon tjeneste'!E15&lt;100,0,C15)</f>
        <v>243329</v>
      </c>
      <c r="M15" s="55">
        <f>'2023 Revekting utgiftsbehov'!E15*L15/$L$17</f>
        <v>9.1339134842638753E-2</v>
      </c>
      <c r="N15" s="55">
        <f>'2023 Revekting utgiftsbehov'!E15/$M$17</f>
        <v>2.0698277004132728</v>
      </c>
      <c r="O15" s="55">
        <f>IF(L15=0,0,(L15/$L$17)*N15*'2023 Pensjon tjeneste'!E15/'2023 Lønnsgr pensjon tjeneste'!E15)</f>
        <v>2.4874934840125491E-2</v>
      </c>
      <c r="P15" s="5">
        <f>IF(L15=0,0,'[2]2023 Nto driftsutg landet'!$C$6*'2023 Lønnsand og pensjon landet'!$D$7*('2023 Pensjon tjeneste'!E15/'2023 Lønnsgr pensjon tjeneste'!E15-$O$17)*'2023 Revekting utgiftsbehov'!E15)</f>
        <v>-48.234956337359257</v>
      </c>
      <c r="Q15" s="5">
        <f t="shared" si="15"/>
        <v>-11736.963690613291</v>
      </c>
      <c r="R15" s="55">
        <f>IF('2023 Lønnsgr pensjon tjeneste'!F15&lt;100,0,(C15/$C$17)*'2023 Revekting utgiftsbehov'!F15*'2023 Pensjon tjeneste'!F15/'2023 Lønnsgr pensjon tjeneste'!F15)</f>
        <v>1.5359200266132834E-2</v>
      </c>
      <c r="S15" s="5">
        <f>IF('2023 Lønnsgr pensjon tjeneste'!F15&lt;100,0,C15)</f>
        <v>243329</v>
      </c>
      <c r="T15" s="55">
        <f>'2023 Revekting utgiftsbehov'!F15*S15/$S$17</f>
        <v>7.2841558144657106E-2</v>
      </c>
      <c r="U15" s="55">
        <f>'2023 Revekting utgiftsbehov'!F15/$T$17</f>
        <v>1.6506558229265536</v>
      </c>
      <c r="V15" s="55">
        <f>IF(S15=0,0,(S15/$S$17)*U15*'2023 Pensjon tjeneste'!F15/'2023 Lønnsgr pensjon tjeneste'!F15)</f>
        <v>1.5359200266132834E-2</v>
      </c>
      <c r="W15" s="5">
        <f>IF(S15=0,0,'[2]2023 Nto driftsutg landet'!$C$7*'2023 Lønnsand og pensjon landet'!$D$8*('2023 Pensjon tjeneste'!F15/'2023 Lønnsgr pensjon tjeneste'!F15-$V$17)*'2023 Revekting utgiftsbehov'!F15)</f>
        <v>-2.4056064970835909</v>
      </c>
      <c r="X15" s="5">
        <f t="shared" si="16"/>
        <v>-585.35382332885308</v>
      </c>
      <c r="Y15" s="55">
        <f>IF('2023 Lønnsgr pensjon tjeneste'!G15&lt;100,0,(C15/$C$17)*'2023 Revekting utgiftsbehov'!G15*'2023 Pensjon tjeneste'!G15/'2023 Lønnsgr pensjon tjeneste'!G15)</f>
        <v>3.0743952026052505E-2</v>
      </c>
      <c r="Z15" s="5">
        <f>IF('2023 Lønnsgr pensjon tjeneste'!G15&lt;100,0,C15)</f>
        <v>243329</v>
      </c>
      <c r="AA15" s="55">
        <f>'2023 Revekting utgiftsbehov'!G15*Z15/$Z$17</f>
        <v>0.3231748603202676</v>
      </c>
      <c r="AB15" s="55">
        <f>'2023 Revekting utgiftsbehov'!G15/$AA$17</f>
        <v>1.9831348723351416</v>
      </c>
      <c r="AC15" s="55">
        <f>IF(Z15=0,0,(Z15/$Z$17)*AB15*'2023 Pensjon tjeneste'!G15/'2023 Lønnsgr pensjon tjeneste'!G15)</f>
        <v>4.3133109914181053E-2</v>
      </c>
      <c r="AD15" s="5">
        <f>IF(Z15=0,0,'[2]2023 Nto driftsutg landet'!$C$8*'2023 Lønnsand og pensjon landet'!$D$9*('2023 Pensjon tjeneste'!G15/'2023 Lønnsgr pensjon tjeneste'!G15-$AC$17)*'2023 Revekting utgiftsbehov'!G15)</f>
        <v>-0.44555899894198242</v>
      </c>
      <c r="AE15" s="5">
        <f t="shared" si="17"/>
        <v>-108.41742565355364</v>
      </c>
      <c r="AF15" s="55">
        <f>IF('2023 Lønnsgr pensjon tjeneste'!H15&lt;100,0,(C15/$C$17)*'2023 Revekting utgiftsbehov'!H15*'2023 Pensjon tjeneste'!H15/'2023 Lønnsgr pensjon tjeneste'!H15)</f>
        <v>1.2029599675616214E-2</v>
      </c>
      <c r="AG15" s="5">
        <f>IF('2023 Lønnsgr pensjon tjeneste'!H15&lt;100,0,C15)</f>
        <v>243329</v>
      </c>
      <c r="AH15" s="55">
        <f>'2023 Revekting utgiftsbehov'!H15*AG15/$AG$17</f>
        <v>5.3831940356040629E-2</v>
      </c>
      <c r="AI15" s="55">
        <f>'2023 Revekting utgiftsbehov'!H15/$AH$17</f>
        <v>1.2198806295668334</v>
      </c>
      <c r="AJ15" s="55">
        <f>IF(AG15=0,0,(AG15/$AG$17)*AI15*'2023 Pensjon tjeneste'!H15/'2023 Lønnsgr pensjon tjeneste'!H15)</f>
        <v>1.2029599675616214E-2</v>
      </c>
      <c r="AK15" s="5">
        <f>IF(AG15=0,0,'[2]2023 Nto driftsutg landet'!$C$9*'2023 Lønnsand og pensjon landet'!$D$10*('2023 Pensjon tjeneste'!H15/'2023 Lønnsgr pensjon tjeneste'!H15-$AJ$17)*'2023 Revekting utgiftsbehov'!H15)</f>
        <v>-6.9910987569306977</v>
      </c>
      <c r="AL15" s="5">
        <f t="shared" si="18"/>
        <v>-1701.1370694251896</v>
      </c>
      <c r="AM15" s="55">
        <f>IF('2023 Lønnsgr pensjon tjeneste'!K15&lt;100,0,(C15/$C$17)*'2023 Pensjon tjeneste'!K15/'2023 Lønnsgr pensjon tjeneste'!K15)</f>
        <v>8.0532534490021564E-3</v>
      </c>
      <c r="AN15" s="5">
        <f>IF('2023 Lønnsgr pensjon tjeneste'!K15&lt;100,0,C15)</f>
        <v>243329</v>
      </c>
      <c r="AO15" s="55">
        <f t="shared" si="3"/>
        <v>4.4128859046770656E-2</v>
      </c>
      <c r="AP15" s="55">
        <f t="shared" si="4"/>
        <v>1</v>
      </c>
      <c r="AQ15" s="55">
        <f>IF(AN15=0,0,(AN15/$AN$17)*AP15*'2023 Pensjon tjeneste'!K15/'2023 Lønnsgr pensjon tjeneste'!K15)</f>
        <v>8.0532534490021564E-3</v>
      </c>
      <c r="AR15" s="5">
        <f>IF(AN15=0,0,'[2]2023 Nto driftsutg landet'!$C$23*'2023 Lønnsand og pensjon landet'!$D$13*('2023 Pensjon tjeneste'!K15/'2023 Lønnsgr pensjon tjeneste'!K15-$AQ$17))</f>
        <v>-101.05595122317769</v>
      </c>
      <c r="AS15" s="5">
        <f t="shared" si="19"/>
        <v>-24589.843555184601</v>
      </c>
      <c r="AT15" s="55">
        <f>IF('2023 Lønnsgr pensjon tjeneste'!L15&lt;100,0,(C15/$C$17)*'2023 Pensjon tjeneste'!L15/'2023 Lønnsgr pensjon tjeneste'!L15)</f>
        <v>2.0370230335046119E-2</v>
      </c>
      <c r="AU15" s="5">
        <f>IF('2023 Lønnsgr pensjon tjeneste'!L15&lt;100,0,C15)</f>
        <v>243329</v>
      </c>
      <c r="AV15" s="55">
        <f t="shared" si="5"/>
        <v>5.0670971971234477E-2</v>
      </c>
      <c r="AW15" s="55">
        <f t="shared" si="6"/>
        <v>1</v>
      </c>
      <c r="AX15" s="55">
        <f>IF(AU15=0,0,(AU15/$AU$17)*AW15*'2023 Pensjon tjeneste'!L15/'2023 Lønnsgr pensjon tjeneste'!L15)</f>
        <v>2.3390121400164481E-2</v>
      </c>
      <c r="AY15" s="5">
        <f>IF(AU15=0,0,'[2]2023 Nto driftsutg landet'!$C$24*'2023 Lønnsand og pensjon landet'!$D$14*('2023 Pensjon tjeneste'!L15/'2023 Lønnsgr pensjon tjeneste'!L15-$AX$17))</f>
        <v>5.4191784080218364</v>
      </c>
      <c r="AZ15" s="5">
        <f t="shared" si="20"/>
        <v>1318.6432628455452</v>
      </c>
      <c r="BA15" s="55">
        <f>IF('2023 Lønnsgr pensjon tjeneste'!M15&lt;100,0,(C15/$C$17)*'2023 Pensjon tjeneste'!M15/'2023 Lønnsgr pensjon tjeneste'!M15)</f>
        <v>9.7117282603347444E-3</v>
      </c>
      <c r="BB15" s="5">
        <f>IF('2023 Lønnsgr pensjon tjeneste'!M15&lt;100,0,C15)</f>
        <v>243329</v>
      </c>
      <c r="BC15" s="55">
        <f t="shared" si="7"/>
        <v>5.0670971971234477E-2</v>
      </c>
      <c r="BD15" s="55">
        <f t="shared" si="8"/>
        <v>1</v>
      </c>
      <c r="BE15" s="55">
        <f>IF(BB15=0,0,(BB15/$BB$17)*BD15*'2023 Pensjon tjeneste'!M15/'2023 Lønnsgr pensjon tjeneste'!M15)</f>
        <v>1.1151494081233891E-2</v>
      </c>
      <c r="BF15" s="5">
        <f>IF(BB15=0,0,'[2]2023 Nto driftsutg landet'!$C$25*'2023 Lønnsand og pensjon landet'!$D$15*('2023 Pensjon tjeneste'!M15/'2023 Lønnsgr pensjon tjeneste'!M15-$BE$17))</f>
        <v>-3.9683535126684211E-2</v>
      </c>
      <c r="BG15" s="5">
        <f t="shared" si="21"/>
        <v>-9.6561549188409419</v>
      </c>
      <c r="BH15" s="55">
        <f>IF('2023 Lønnsgr pensjon tjeneste'!N15&lt;100,0,(C15/$C$17)*'2023 Pensjon tjeneste'!N15/'2023 Lønnsgr pensjon tjeneste'!N15)</f>
        <v>9.5553557030049648E-3</v>
      </c>
      <c r="BI15" s="5">
        <f>IF('2023 Lønnsgr pensjon tjeneste'!N15&lt;100,0,C15)</f>
        <v>243329</v>
      </c>
      <c r="BJ15" s="55">
        <f t="shared" si="9"/>
        <v>4.4128859046770656E-2</v>
      </c>
      <c r="BK15" s="55">
        <f t="shared" si="10"/>
        <v>1</v>
      </c>
      <c r="BL15" s="55">
        <f>IF(BI15=0,0,(BI15/$BI$17)*BK15*'2023 Pensjon tjeneste'!N15/'2023 Lønnsgr pensjon tjeneste'!N15)</f>
        <v>9.5553557030049648E-3</v>
      </c>
      <c r="BM15" s="5">
        <f>IF(BI15=0,0,'[2]2023 Nto driftsutg landet'!$C$26*'2023 Lønnsand og pensjon landet'!$D$16*('2023 Pensjon tjeneste'!N15/'2023 Lønnsgr pensjon tjeneste'!N15-$BL$17))</f>
        <v>-9.843277251992788E-2</v>
      </c>
      <c r="BN15" s="5">
        <f t="shared" si="22"/>
        <v>-23.95154810450153</v>
      </c>
      <c r="BO15" s="55">
        <f>IF('2023 Lønnsgr pensjon tjeneste'!O15&lt;100,0,(C15/$C$17)*'2023 Pensjon tjeneste'!O15/'2023 Lønnsgr pensjon tjeneste'!O15)</f>
        <v>0</v>
      </c>
      <c r="BP15" s="5">
        <f>IF('2023 Lønnsgr pensjon tjeneste'!O15&lt;100,0,C15)</f>
        <v>0</v>
      </c>
      <c r="BQ15" s="55">
        <f t="shared" si="11"/>
        <v>0</v>
      </c>
      <c r="BR15" s="55">
        <f t="shared" si="12"/>
        <v>1</v>
      </c>
      <c r="BS15" s="55">
        <f>IF(BP15=0,0,(BP15/$BP$17)*BR15*'2023 Pensjon tjeneste'!O15/'2023 Lønnsgr pensjon tjeneste'!O15)</f>
        <v>0</v>
      </c>
      <c r="BT15" s="5">
        <f>IF(BP15=0,0,'[2]2023 Nto driftsutg landet'!$C$27*'2023 Lønnsand og pensjon landet'!$D$17*('2023 Pensjon tjeneste'!O15/'2023 Lønnsgr pensjon tjeneste'!O15-$BS$17))</f>
        <v>0</v>
      </c>
      <c r="BU15" s="5">
        <f t="shared" si="23"/>
        <v>0</v>
      </c>
      <c r="BV15" s="55">
        <f>IF('2023 Lønnsgr pensjon tjeneste'!P15&lt;100,0,(C15/$C$17)*'2023 Pensjon tjeneste'!P15/'2023 Lønnsgr pensjon tjeneste'!P15)</f>
        <v>1.0414675954242636E-2</v>
      </c>
      <c r="BW15" s="5">
        <f>IF('2023 Lønnsgr pensjon tjeneste'!P15&lt;100,0,C15)</f>
        <v>243329</v>
      </c>
      <c r="BX15" s="55">
        <f t="shared" si="13"/>
        <v>6.3856208652915289E-2</v>
      </c>
      <c r="BY15" s="55">
        <f t="shared" si="14"/>
        <v>1</v>
      </c>
      <c r="BZ15" s="55">
        <f>IF(BW15=0,0,(BW15/$BW$17)*BY15*'2023 Pensjon tjeneste'!P15/'2023 Lønnsgr pensjon tjeneste'!P15)</f>
        <v>1.5070449024792655E-2</v>
      </c>
      <c r="CA15" s="5">
        <f>IF(BW15=0,0,'[2]2023 Nto driftsutg landet'!$C$28*'2023 Lønnsand og pensjon landet'!$D$18*('2023 Pensjon tjeneste'!P15/'2023 Lønnsgr pensjon tjeneste'!P15-$BZ$17))</f>
        <v>-7.9927882092336658E-2</v>
      </c>
      <c r="CB15" s="5">
        <f t="shared" si="24"/>
        <v>-19.448771621646184</v>
      </c>
      <c r="CC15" s="5"/>
      <c r="CD15" s="5"/>
      <c r="CE15" s="5"/>
    </row>
    <row r="16" spans="1:83" x14ac:dyDescent="0.3">
      <c r="B16" s="43"/>
      <c r="C16" s="43"/>
      <c r="D16" s="43"/>
      <c r="E16" s="43"/>
      <c r="F16" s="43"/>
      <c r="G16" s="43"/>
    </row>
    <row r="17" spans="2:83" x14ac:dyDescent="0.3">
      <c r="B17" s="42" t="s">
        <v>3</v>
      </c>
      <c r="C17" s="5">
        <f>SUM(C5:C16)</f>
        <v>5514056</v>
      </c>
      <c r="D17" s="55">
        <f>SUM(D5:D16)</f>
        <v>0.14886998204027116</v>
      </c>
      <c r="E17" s="5">
        <f>SUM(E5:E16)</f>
        <v>5514056</v>
      </c>
      <c r="F17" s="55">
        <f>SUM(F5:F16)</f>
        <v>0.99999999999999989</v>
      </c>
      <c r="G17" s="5"/>
      <c r="H17" s="55">
        <f>SUM(H5:H16)</f>
        <v>0.14886998204027116</v>
      </c>
      <c r="I17" s="5"/>
      <c r="J17" s="5">
        <f>SUM(J5:J16)</f>
        <v>-4.220055416226387E-10</v>
      </c>
      <c r="K17" s="55">
        <f>SUM(K5:K16)</f>
        <v>0.45506567316483448</v>
      </c>
      <c r="L17" s="5">
        <f>SUM(L5:L16)</f>
        <v>5514056</v>
      </c>
      <c r="M17" s="55">
        <f>SUM(M5:M16)</f>
        <v>1</v>
      </c>
      <c r="N17" s="5"/>
      <c r="O17" s="55">
        <f>SUM(O5:O16)</f>
        <v>0.45506567316483448</v>
      </c>
      <c r="P17" s="5"/>
      <c r="Q17" s="5">
        <f>SUM(Q5:Q16)</f>
        <v>0</v>
      </c>
      <c r="R17" s="55">
        <f>SUM(R5:R16)</f>
        <v>0.24688780815111736</v>
      </c>
      <c r="S17" s="5">
        <f>SUM(S5:S16)</f>
        <v>5514056</v>
      </c>
      <c r="T17" s="55">
        <f>SUM(T5:T16)</f>
        <v>1</v>
      </c>
      <c r="U17" s="5"/>
      <c r="V17" s="55">
        <f>SUM(V5:V16)</f>
        <v>0.24688780815111736</v>
      </c>
      <c r="W17" s="5"/>
      <c r="X17" s="5">
        <f>SUM(X5:X16)</f>
        <v>8.7538865045644343E-12</v>
      </c>
      <c r="Y17" s="55">
        <f>SUM(Y5:Y16)</f>
        <v>0.18368699061271368</v>
      </c>
      <c r="Z17" s="5">
        <f>SUM(Z5:Z16)</f>
        <v>2422503</v>
      </c>
      <c r="AA17" s="55">
        <f>SUM(AA5:AA16)</f>
        <v>1.6223919044163007</v>
      </c>
      <c r="AB17" s="5"/>
      <c r="AC17" s="55">
        <f>SUM(AC5:AC16)</f>
        <v>0.25770893570186942</v>
      </c>
      <c r="AD17" s="5"/>
      <c r="AE17" s="5">
        <f>SUM(AE5:AE16)</f>
        <v>-1.9895196601282805E-13</v>
      </c>
      <c r="AF17" s="55">
        <f>SUM(AF5:AF16)</f>
        <v>0.24193756186844662</v>
      </c>
      <c r="AG17" s="5">
        <f>SUM(AG5:AG16)</f>
        <v>5514056</v>
      </c>
      <c r="AH17" s="55">
        <f>SUM(AH5:AH16)</f>
        <v>1</v>
      </c>
      <c r="AI17" s="5"/>
      <c r="AJ17" s="55">
        <f>SUM(AJ5:AJ16)</f>
        <v>0.24193756186844662</v>
      </c>
      <c r="AK17" s="5"/>
      <c r="AL17" s="5">
        <f>SUM(AL5:AL16)</f>
        <v>1.9554136088117957E-11</v>
      </c>
      <c r="AM17" s="55">
        <f>SUM(AM5:AM16)</f>
        <v>0.46066458999703036</v>
      </c>
      <c r="AN17" s="5">
        <f>SUM(AN5:AN16)</f>
        <v>5514056</v>
      </c>
      <c r="AO17" s="55">
        <f>SUM(AO5:AO16)</f>
        <v>1</v>
      </c>
      <c r="AP17" s="5"/>
      <c r="AQ17" s="55">
        <f>SUM(AQ5:AQ16)</f>
        <v>0.46066458999703036</v>
      </c>
      <c r="AR17" s="5"/>
      <c r="AS17" s="5">
        <f>SUM(AS5:AS16)</f>
        <v>2.0008883439004421E-10</v>
      </c>
      <c r="AT17" s="55">
        <f>SUM(AT5:AT16)</f>
        <v>0.2742135897338045</v>
      </c>
      <c r="AU17" s="5">
        <f>SUM(AU5:AU16)</f>
        <v>4802138</v>
      </c>
      <c r="AV17" s="55">
        <f>SUM(AV5:AV16)</f>
        <v>1</v>
      </c>
      <c r="AW17" s="5"/>
      <c r="AX17" s="55">
        <f>SUM(AX5:AX16)</f>
        <v>0.31486581388398732</v>
      </c>
      <c r="AY17" s="5"/>
      <c r="AZ17" s="5">
        <f>SUM(AZ5:AZ16)</f>
        <v>-7.503331289626658E-12</v>
      </c>
      <c r="BA17" s="55">
        <f>SUM(BA5:BA16)</f>
        <v>0.18300497428113249</v>
      </c>
      <c r="BB17" s="5">
        <f>SUM(BB5:BB16)</f>
        <v>4802138</v>
      </c>
      <c r="BC17" s="55">
        <f>SUM(BC5:BC16)</f>
        <v>1</v>
      </c>
      <c r="BD17" s="5"/>
      <c r="BE17" s="55">
        <f>SUM(BE5:BE16)</f>
        <v>0.21013550140889828</v>
      </c>
      <c r="BF17" s="5"/>
      <c r="BG17" s="5">
        <f>SUM(BG5:BG16)</f>
        <v>-7.2652994731470244E-13</v>
      </c>
      <c r="BH17" s="55">
        <f>SUM(BH5:BH16)</f>
        <v>0.2198770278387219</v>
      </c>
      <c r="BI17" s="5">
        <f>SUM(BI5:BI16)</f>
        <v>5514056</v>
      </c>
      <c r="BJ17" s="55">
        <f>SUM(BJ5:BJ16)</f>
        <v>1</v>
      </c>
      <c r="BK17" s="5"/>
      <c r="BL17" s="55">
        <f>SUM(BL5:BL16)</f>
        <v>0.2198770278387219</v>
      </c>
      <c r="BM17" s="5"/>
      <c r="BN17" s="5">
        <f>SUM(BN5:BN16)</f>
        <v>-3.8831160509289475E-12</v>
      </c>
      <c r="BO17" s="55">
        <f>SUM(BO5:BO16)</f>
        <v>3.9111705556793108E-2</v>
      </c>
      <c r="BP17" s="5">
        <f>SUM(BP5:BP16)</f>
        <v>1731199</v>
      </c>
      <c r="BQ17" s="55">
        <f>SUM(BQ5:BQ16)</f>
        <v>1</v>
      </c>
      <c r="BR17" s="5"/>
      <c r="BS17" s="55">
        <f>SUM(BS5:BS16)</f>
        <v>0.1245750111313999</v>
      </c>
      <c r="BT17" s="5"/>
      <c r="BU17" s="5">
        <f>SUM(BU5:BU16)</f>
        <v>-8.8817841970012523E-15</v>
      </c>
      <c r="BV17" s="55">
        <f>SUM(BV5:BV16)</f>
        <v>0.14609004696912145</v>
      </c>
      <c r="BW17" s="5">
        <f>SUM(BW5:BW16)</f>
        <v>3810577</v>
      </c>
      <c r="BX17" s="55">
        <f>SUM(BX5:BX16)</f>
        <v>1</v>
      </c>
      <c r="BY17" s="5"/>
      <c r="BZ17" s="55">
        <f>SUM(BZ5:BZ16)</f>
        <v>0.21139809011348304</v>
      </c>
      <c r="CA17" s="55"/>
      <c r="CB17" s="5">
        <f>SUM(CB5:CB16)</f>
        <v>0</v>
      </c>
      <c r="CC17" s="5"/>
      <c r="CD17" s="5"/>
      <c r="CE17" s="5"/>
    </row>
    <row r="18" spans="2:83" x14ac:dyDescent="0.3">
      <c r="CD18" s="5"/>
    </row>
  </sheetData>
  <sheetProtection algorithmName="SHA-512" hashValue="PQb9faYY17Y0+c9Lr4l1g44xh2ir1lnD2XCOyR4gysGvrgAzwYvYxaHyWIGUqiWhgMK5S4/Q+A+F74Sy4imwIg==" saltValue="h7JiCdfFNnNEuIcQ2YMM9w==" spinCount="100000" sheet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4AFE-B36F-46AE-A0E6-7742AB776582}">
  <dimension ref="A2:F36"/>
  <sheetViews>
    <sheetView workbookViewId="0"/>
  </sheetViews>
  <sheetFormatPr baseColWidth="10" defaultRowHeight="14.4" x14ac:dyDescent="0.3"/>
  <cols>
    <col min="1" max="1" width="39.109375" customWidth="1"/>
    <col min="2" max="3" width="21" customWidth="1"/>
  </cols>
  <sheetData>
    <row r="2" spans="1:5" ht="27" x14ac:dyDescent="0.3">
      <c r="A2" s="22" t="s">
        <v>10</v>
      </c>
      <c r="B2" s="22" t="s">
        <v>33</v>
      </c>
      <c r="C2" s="22" t="s">
        <v>33</v>
      </c>
    </row>
    <row r="3" spans="1:5" x14ac:dyDescent="0.3">
      <c r="A3" s="111"/>
      <c r="B3" s="111" t="s">
        <v>11</v>
      </c>
      <c r="C3" s="111" t="s">
        <v>12</v>
      </c>
    </row>
    <row r="4" spans="1:5" x14ac:dyDescent="0.3">
      <c r="A4" s="107">
        <v>1</v>
      </c>
      <c r="B4" s="107">
        <f>+A4+1</f>
        <v>2</v>
      </c>
      <c r="C4" s="107">
        <f>+B4+1</f>
        <v>3</v>
      </c>
    </row>
    <row r="5" spans="1:5" x14ac:dyDescent="0.3">
      <c r="A5" t="s">
        <v>171</v>
      </c>
      <c r="B5" s="5">
        <f>+'2021 Nto driftsutg eks avskriv'!D17</f>
        <v>33220154</v>
      </c>
      <c r="C5" s="5">
        <f>+B5*1000/'2021 Nto driftsutg'!$W$17</f>
        <v>6149.8019650766173</v>
      </c>
      <c r="E5" s="5"/>
    </row>
    <row r="6" spans="1:5" x14ac:dyDescent="0.3">
      <c r="A6" t="s">
        <v>172</v>
      </c>
      <c r="B6" s="5">
        <f>+'2021 Nto driftsutg eks avskriv'!E17</f>
        <v>8909509</v>
      </c>
      <c r="C6" s="5">
        <f>+B6*1000/'2021 Nto driftsutg'!$W$17</f>
        <v>1649.3516543020182</v>
      </c>
      <c r="E6" s="5"/>
    </row>
    <row r="7" spans="1:5" x14ac:dyDescent="0.3">
      <c r="A7" t="s">
        <v>275</v>
      </c>
      <c r="B7" s="5">
        <f>+'2021 Nto driftsutg eks avskriv'!F17</f>
        <v>13576239</v>
      </c>
      <c r="C7" s="5">
        <f>+B7*1000/'2021 Nto driftsutg'!$W$17</f>
        <v>2513.2689415151362</v>
      </c>
      <c r="E7" s="5"/>
    </row>
    <row r="8" spans="1:5" x14ac:dyDescent="0.3">
      <c r="A8" t="s">
        <v>276</v>
      </c>
      <c r="B8" s="5">
        <f>+'2021 Nto driftsutg eks avskriv'!G17</f>
        <v>4376534</v>
      </c>
      <c r="C8" s="5">
        <f>+B8*1000/'2021 Nto driftsutg'!$W$17</f>
        <v>810.19544320669399</v>
      </c>
      <c r="E8" s="5"/>
    </row>
    <row r="9" spans="1:5" x14ac:dyDescent="0.3">
      <c r="A9" s="21" t="s">
        <v>173</v>
      </c>
      <c r="B9" s="20">
        <f>+'2021 Nto driftsutg eks avskriv'!H17</f>
        <v>2712683</v>
      </c>
      <c r="C9" s="20">
        <f>+B9*1000/'2021 Nto driftsutg'!$W$17</f>
        <v>502.17898580572307</v>
      </c>
      <c r="E9" s="5"/>
    </row>
    <row r="10" spans="1:5" x14ac:dyDescent="0.3">
      <c r="A10" s="112" t="s">
        <v>30</v>
      </c>
      <c r="B10" s="7">
        <f>SUM(B5:B9)</f>
        <v>62795119</v>
      </c>
      <c r="C10" s="7">
        <f>SUM(C5:C9)</f>
        <v>11624.79698990619</v>
      </c>
      <c r="D10" s="7"/>
      <c r="E10" s="7"/>
    </row>
    <row r="11" spans="1:5" x14ac:dyDescent="0.3">
      <c r="A11" s="112"/>
      <c r="B11" s="7"/>
      <c r="C11" s="7"/>
    </row>
    <row r="12" spans="1:5" x14ac:dyDescent="0.3">
      <c r="A12" s="112"/>
      <c r="B12" s="7"/>
      <c r="C12" s="7"/>
    </row>
    <row r="13" spans="1:5" x14ac:dyDescent="0.3">
      <c r="A13" t="s">
        <v>22</v>
      </c>
      <c r="B13" s="50">
        <f>+'2021 Nto driftsutg eks avskriv'!I17</f>
        <v>7408703</v>
      </c>
      <c r="C13" s="5">
        <f>+B13*1000/'2021 Nto driftsutg'!$W$17</f>
        <v>1371.5185145760922</v>
      </c>
      <c r="E13" s="5"/>
    </row>
    <row r="14" spans="1:5" x14ac:dyDescent="0.3">
      <c r="A14" t="s">
        <v>26</v>
      </c>
      <c r="B14" s="5">
        <f>+'2021 Nto driftsutg eks avskriv'!R17</f>
        <v>-934580.06606233004</v>
      </c>
      <c r="C14" s="5">
        <f>+B14*1000/'2021 Nto driftsutg'!$W$17</f>
        <v>-173.01191098607046</v>
      </c>
      <c r="E14" s="5"/>
    </row>
    <row r="15" spans="1:5" x14ac:dyDescent="0.3">
      <c r="A15" t="s">
        <v>23</v>
      </c>
      <c r="B15" s="5">
        <f>+'2021 Nto driftsutg eks avskriv'!S17</f>
        <v>3959291.8873434216</v>
      </c>
      <c r="C15" s="5">
        <f>+B15*1000/'2021 Nto driftsutg'!$W$17</f>
        <v>732.95448988877308</v>
      </c>
      <c r="E15" s="5"/>
    </row>
    <row r="16" spans="1:5" x14ac:dyDescent="0.3">
      <c r="A16" s="21" t="s">
        <v>24</v>
      </c>
      <c r="B16" s="20">
        <f>+'2021 Nto driftsutg eks avskriv'!T17</f>
        <v>7761817.0790318195</v>
      </c>
      <c r="C16" s="20">
        <f>+B16*1000/'2021 Nto driftsutg'!$W$17</f>
        <v>1436.8879182557412</v>
      </c>
      <c r="E16" s="5"/>
    </row>
    <row r="17" spans="1:6" x14ac:dyDescent="0.3">
      <c r="A17" s="112" t="s">
        <v>31</v>
      </c>
      <c r="B17" s="7">
        <f>SUM(B13:B16)</f>
        <v>18195231.900312908</v>
      </c>
      <c r="C17" s="7">
        <f>SUM(C13:C16)</f>
        <v>3368.3490117345359</v>
      </c>
      <c r="D17" s="7"/>
      <c r="E17" s="7"/>
    </row>
    <row r="19" spans="1:6" x14ac:dyDescent="0.3">
      <c r="A19" s="6" t="s">
        <v>32</v>
      </c>
      <c r="B19" s="23">
        <f>+B10+B17</f>
        <v>80990350.900312901</v>
      </c>
      <c r="C19" s="23">
        <f>+B19*1000/'2021 Nto driftsutg'!$W$17</f>
        <v>14993.146001640722</v>
      </c>
      <c r="D19" s="23"/>
      <c r="E19" s="5"/>
      <c r="F19" s="5"/>
    </row>
    <row r="22" spans="1:6" x14ac:dyDescent="0.3">
      <c r="A22" s="6" t="s">
        <v>83</v>
      </c>
    </row>
    <row r="23" spans="1:6" x14ac:dyDescent="0.3">
      <c r="A23" t="s">
        <v>4</v>
      </c>
      <c r="B23" s="5">
        <f>+'2021 Nto driftsutg eks avskriv'!K17</f>
        <v>4132147</v>
      </c>
      <c r="C23" s="5">
        <f>+B23*1000/'2021 Nto driftsutg'!$W$17</f>
        <v>764.95388132714402</v>
      </c>
    </row>
    <row r="24" spans="1:6" x14ac:dyDescent="0.3">
      <c r="A24" t="s">
        <v>174</v>
      </c>
      <c r="B24" s="5">
        <f>+'2021 Nto driftsutg eks avskriv'!L17</f>
        <v>1095521</v>
      </c>
      <c r="C24" s="5">
        <f>+B24*1000/'2021 Nto driftsutg'!$W$17</f>
        <v>202.80571843775022</v>
      </c>
    </row>
    <row r="25" spans="1:6" x14ac:dyDescent="0.3">
      <c r="A25" t="s">
        <v>36</v>
      </c>
      <c r="B25" s="5">
        <f>+'2021 Nto driftsutg eks avskriv'!M17</f>
        <v>342363</v>
      </c>
      <c r="C25" s="5">
        <f>+B25*1000/'2021 Nto driftsutg'!$W$17</f>
        <v>63.379135755045752</v>
      </c>
    </row>
    <row r="26" spans="1:6" x14ac:dyDescent="0.3">
      <c r="A26" t="s">
        <v>175</v>
      </c>
      <c r="B26" s="5">
        <f>+'2021 Nto driftsutg eks avskriv'!N17</f>
        <v>1837742</v>
      </c>
      <c r="C26" s="5">
        <f>+B26*1000/'2021 Nto driftsutg'!$W$17</f>
        <v>340.20761501899818</v>
      </c>
    </row>
    <row r="27" spans="1:6" x14ac:dyDescent="0.3">
      <c r="A27" t="s">
        <v>37</v>
      </c>
      <c r="B27" s="5">
        <f>+'2021 Nto driftsutg eks avskriv'!O17</f>
        <v>-1145</v>
      </c>
      <c r="C27" s="5">
        <f>+B27*1000/'2021 Nto driftsutg'!$W$17</f>
        <v>-0.21196540058221064</v>
      </c>
    </row>
    <row r="28" spans="1:6" x14ac:dyDescent="0.3">
      <c r="A28" s="21" t="s">
        <v>38</v>
      </c>
      <c r="B28" s="20">
        <f>+'2021 Nto driftsutg eks avskriv'!P17</f>
        <v>2075</v>
      </c>
      <c r="C28" s="20">
        <f>+B28*1000/'2021 Nto driftsutg'!$W$17</f>
        <v>0.38412943773632058</v>
      </c>
    </row>
    <row r="29" spans="1:6" x14ac:dyDescent="0.3">
      <c r="A29" t="s">
        <v>17</v>
      </c>
      <c r="B29" s="50">
        <f>SUM(B23:B28)</f>
        <v>7408703</v>
      </c>
      <c r="C29" s="5">
        <f>SUM(C23:C28)</f>
        <v>1371.5185145760925</v>
      </c>
    </row>
    <row r="33" spans="1:3" x14ac:dyDescent="0.3">
      <c r="A33" s="6"/>
    </row>
    <row r="34" spans="1:3" x14ac:dyDescent="0.3">
      <c r="B34" s="5"/>
      <c r="C34" s="5"/>
    </row>
    <row r="35" spans="1:3" x14ac:dyDescent="0.3">
      <c r="B35" s="5"/>
      <c r="C35" s="5"/>
    </row>
    <row r="36" spans="1:3" x14ac:dyDescent="0.3">
      <c r="B36" s="5"/>
      <c r="C36" s="5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59C47-B8C2-4355-A1FA-9BDFDD88A6ED}">
  <dimension ref="A1:CE18"/>
  <sheetViews>
    <sheetView zoomScale="80" zoomScaleNormal="80"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4"/>
      <c r="CB1" s="5"/>
    </row>
    <row r="2" spans="1:83" ht="79.8" x14ac:dyDescent="0.3">
      <c r="A2" s="22" t="s">
        <v>2</v>
      </c>
      <c r="B2" s="22" t="s">
        <v>1</v>
      </c>
      <c r="C2" s="22" t="s">
        <v>411</v>
      </c>
      <c r="D2" s="22" t="s">
        <v>319</v>
      </c>
      <c r="E2" s="22" t="s">
        <v>320</v>
      </c>
      <c r="F2" s="22" t="s">
        <v>322</v>
      </c>
      <c r="G2" s="22" t="s">
        <v>321</v>
      </c>
      <c r="H2" s="22" t="s">
        <v>323</v>
      </c>
      <c r="I2" s="22" t="s">
        <v>228</v>
      </c>
      <c r="J2" s="22" t="s">
        <v>227</v>
      </c>
      <c r="K2" s="101" t="s">
        <v>324</v>
      </c>
      <c r="L2" s="101" t="s">
        <v>325</v>
      </c>
      <c r="M2" s="101" t="s">
        <v>326</v>
      </c>
      <c r="N2" s="101" t="s">
        <v>327</v>
      </c>
      <c r="O2" s="101" t="s">
        <v>328</v>
      </c>
      <c r="P2" s="101" t="s">
        <v>230</v>
      </c>
      <c r="Q2" s="101" t="s">
        <v>229</v>
      </c>
      <c r="R2" s="22" t="s">
        <v>441</v>
      </c>
      <c r="S2" s="22" t="s">
        <v>442</v>
      </c>
      <c r="T2" s="22" t="s">
        <v>443</v>
      </c>
      <c r="U2" s="22" t="s">
        <v>455</v>
      </c>
      <c r="V2" s="22" t="s">
        <v>445</v>
      </c>
      <c r="W2" s="22" t="s">
        <v>446</v>
      </c>
      <c r="X2" s="22" t="s">
        <v>447</v>
      </c>
      <c r="Y2" s="101" t="s">
        <v>448</v>
      </c>
      <c r="Z2" s="101" t="s">
        <v>449</v>
      </c>
      <c r="AA2" s="101" t="s">
        <v>450</v>
      </c>
      <c r="AB2" s="101" t="s">
        <v>451</v>
      </c>
      <c r="AC2" s="101" t="s">
        <v>452</v>
      </c>
      <c r="AD2" s="101" t="s">
        <v>453</v>
      </c>
      <c r="AE2" s="101" t="s">
        <v>454</v>
      </c>
      <c r="AF2" s="22" t="s">
        <v>339</v>
      </c>
      <c r="AG2" s="22" t="s">
        <v>340</v>
      </c>
      <c r="AH2" s="22" t="s">
        <v>341</v>
      </c>
      <c r="AI2" s="22" t="s">
        <v>342</v>
      </c>
      <c r="AJ2" s="22" t="s">
        <v>343</v>
      </c>
      <c r="AK2" s="22" t="s">
        <v>344</v>
      </c>
      <c r="AL2" s="22" t="s">
        <v>345</v>
      </c>
      <c r="AM2" s="101" t="s">
        <v>346</v>
      </c>
      <c r="AN2" s="101" t="s">
        <v>347</v>
      </c>
      <c r="AO2" s="101" t="s">
        <v>348</v>
      </c>
      <c r="AP2" s="101" t="s">
        <v>349</v>
      </c>
      <c r="AQ2" s="101" t="s">
        <v>350</v>
      </c>
      <c r="AR2" s="101" t="s">
        <v>232</v>
      </c>
      <c r="AS2" s="101" t="s">
        <v>231</v>
      </c>
      <c r="AT2" s="22" t="s">
        <v>351</v>
      </c>
      <c r="AU2" s="22" t="s">
        <v>352</v>
      </c>
      <c r="AV2" s="22" t="s">
        <v>353</v>
      </c>
      <c r="AW2" s="22" t="s">
        <v>354</v>
      </c>
      <c r="AX2" s="22" t="s">
        <v>355</v>
      </c>
      <c r="AY2" s="22" t="s">
        <v>356</v>
      </c>
      <c r="AZ2" s="22" t="s">
        <v>357</v>
      </c>
      <c r="BA2" s="101" t="s">
        <v>358</v>
      </c>
      <c r="BB2" s="101" t="s">
        <v>359</v>
      </c>
      <c r="BC2" s="101" t="s">
        <v>360</v>
      </c>
      <c r="BD2" s="101" t="s">
        <v>361</v>
      </c>
      <c r="BE2" s="101" t="s">
        <v>362</v>
      </c>
      <c r="BF2" s="101" t="s">
        <v>234</v>
      </c>
      <c r="BG2" s="101" t="s">
        <v>233</v>
      </c>
      <c r="BH2" s="22" t="s">
        <v>363</v>
      </c>
      <c r="BI2" s="22" t="s">
        <v>364</v>
      </c>
      <c r="BJ2" s="22" t="s">
        <v>365</v>
      </c>
      <c r="BK2" s="22" t="s">
        <v>366</v>
      </c>
      <c r="BL2" s="22" t="s">
        <v>367</v>
      </c>
      <c r="BM2" s="22" t="s">
        <v>236</v>
      </c>
      <c r="BN2" s="22" t="s">
        <v>235</v>
      </c>
      <c r="BO2" s="101" t="s">
        <v>368</v>
      </c>
      <c r="BP2" s="101" t="s">
        <v>369</v>
      </c>
      <c r="BQ2" s="101" t="s">
        <v>370</v>
      </c>
      <c r="BR2" s="101" t="s">
        <v>371</v>
      </c>
      <c r="BS2" s="101" t="s">
        <v>372</v>
      </c>
      <c r="BT2" s="101" t="s">
        <v>373</v>
      </c>
      <c r="BU2" s="101" t="s">
        <v>374</v>
      </c>
      <c r="BV2" s="22" t="s">
        <v>375</v>
      </c>
      <c r="BW2" s="22" t="s">
        <v>376</v>
      </c>
      <c r="BX2" s="22" t="s">
        <v>377</v>
      </c>
      <c r="BY2" s="22" t="s">
        <v>378</v>
      </c>
      <c r="BZ2" s="22" t="s">
        <v>379</v>
      </c>
      <c r="CA2" s="22" t="s">
        <v>380</v>
      </c>
      <c r="CB2" s="22" t="s">
        <v>381</v>
      </c>
      <c r="CC2" s="101"/>
      <c r="CD2" s="101"/>
      <c r="CE2" s="101"/>
    </row>
    <row r="3" spans="1:83" x14ac:dyDescent="0.3">
      <c r="A3" s="107">
        <v>1</v>
      </c>
      <c r="B3" s="107">
        <f>+A3+1</f>
        <v>2</v>
      </c>
      <c r="C3" s="107">
        <f t="shared" ref="C3:BN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2">
        <f t="shared" si="0"/>
        <v>11</v>
      </c>
      <c r="L3" s="102">
        <f t="shared" si="0"/>
        <v>12</v>
      </c>
      <c r="M3" s="102">
        <f t="shared" si="0"/>
        <v>13</v>
      </c>
      <c r="N3" s="102">
        <f t="shared" si="0"/>
        <v>14</v>
      </c>
      <c r="O3" s="102">
        <f t="shared" si="0"/>
        <v>15</v>
      </c>
      <c r="P3" s="102">
        <f t="shared" si="0"/>
        <v>16</v>
      </c>
      <c r="Q3" s="102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2">
        <f t="shared" si="0"/>
        <v>25</v>
      </c>
      <c r="Z3" s="102">
        <f t="shared" si="0"/>
        <v>26</v>
      </c>
      <c r="AA3" s="102">
        <f t="shared" si="0"/>
        <v>27</v>
      </c>
      <c r="AB3" s="102">
        <f t="shared" si="0"/>
        <v>28</v>
      </c>
      <c r="AC3" s="102">
        <f t="shared" si="0"/>
        <v>29</v>
      </c>
      <c r="AD3" s="102">
        <f t="shared" si="0"/>
        <v>30</v>
      </c>
      <c r="AE3" s="102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2">
        <f t="shared" si="0"/>
        <v>39</v>
      </c>
      <c r="AN3" s="102">
        <f t="shared" si="0"/>
        <v>40</v>
      </c>
      <c r="AO3" s="102">
        <f t="shared" si="0"/>
        <v>41</v>
      </c>
      <c r="AP3" s="102">
        <f t="shared" si="0"/>
        <v>42</v>
      </c>
      <c r="AQ3" s="102">
        <f t="shared" si="0"/>
        <v>43</v>
      </c>
      <c r="AR3" s="102">
        <f t="shared" si="0"/>
        <v>44</v>
      </c>
      <c r="AS3" s="102">
        <f t="shared" si="0"/>
        <v>45</v>
      </c>
      <c r="AT3" s="107">
        <f t="shared" si="0"/>
        <v>46</v>
      </c>
      <c r="AU3" s="107">
        <f t="shared" si="0"/>
        <v>47</v>
      </c>
      <c r="AV3" s="107">
        <f t="shared" si="0"/>
        <v>48</v>
      </c>
      <c r="AW3" s="107">
        <f t="shared" si="0"/>
        <v>49</v>
      </c>
      <c r="AX3" s="107">
        <f t="shared" si="0"/>
        <v>50</v>
      </c>
      <c r="AY3" s="107">
        <f t="shared" si="0"/>
        <v>51</v>
      </c>
      <c r="AZ3" s="107">
        <f t="shared" si="0"/>
        <v>52</v>
      </c>
      <c r="BA3" s="102">
        <f t="shared" si="0"/>
        <v>53</v>
      </c>
      <c r="BB3" s="102">
        <f t="shared" si="0"/>
        <v>54</v>
      </c>
      <c r="BC3" s="102">
        <f t="shared" si="0"/>
        <v>55</v>
      </c>
      <c r="BD3" s="102">
        <f t="shared" si="0"/>
        <v>56</v>
      </c>
      <c r="BE3" s="102">
        <f t="shared" si="0"/>
        <v>57</v>
      </c>
      <c r="BF3" s="102">
        <f t="shared" si="0"/>
        <v>58</v>
      </c>
      <c r="BG3" s="102">
        <f t="shared" si="0"/>
        <v>59</v>
      </c>
      <c r="BH3" s="107">
        <f t="shared" si="0"/>
        <v>60</v>
      </c>
      <c r="BI3" s="107">
        <f t="shared" si="0"/>
        <v>61</v>
      </c>
      <c r="BJ3" s="107">
        <f t="shared" si="0"/>
        <v>62</v>
      </c>
      <c r="BK3" s="107">
        <f t="shared" si="0"/>
        <v>63</v>
      </c>
      <c r="BL3" s="107">
        <f t="shared" si="0"/>
        <v>64</v>
      </c>
      <c r="BM3" s="107">
        <f t="shared" si="0"/>
        <v>65</v>
      </c>
      <c r="BN3" s="107">
        <f t="shared" si="0"/>
        <v>66</v>
      </c>
      <c r="BO3" s="102">
        <f t="shared" ref="BO3:BR3" si="1">+BN3+1</f>
        <v>67</v>
      </c>
      <c r="BP3" s="102">
        <f t="shared" si="1"/>
        <v>68</v>
      </c>
      <c r="BQ3" s="102">
        <f t="shared" si="1"/>
        <v>69</v>
      </c>
      <c r="BR3" s="102">
        <f t="shared" si="1"/>
        <v>70</v>
      </c>
      <c r="BS3" s="102">
        <f>+BN3+1</f>
        <v>67</v>
      </c>
      <c r="BT3" s="102">
        <f t="shared" ref="BT3:CE3" si="2">+BS3+1</f>
        <v>68</v>
      </c>
      <c r="BU3" s="102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2">
        <f t="shared" si="2"/>
        <v>77</v>
      </c>
      <c r="CD3" s="102">
        <f t="shared" si="2"/>
        <v>78</v>
      </c>
      <c r="CE3" s="102">
        <f t="shared" si="2"/>
        <v>79</v>
      </c>
    </row>
    <row r="5" spans="1:83" x14ac:dyDescent="0.3">
      <c r="A5" s="41">
        <v>300</v>
      </c>
      <c r="B5" s="42" t="s">
        <v>0</v>
      </c>
      <c r="C5" s="42">
        <f>+'2023 Nto driftsutg'!W5</f>
        <v>711918</v>
      </c>
      <c r="D5" s="55">
        <f>IF('2023 Lønnsgr arbavg tjeneste'!D5&lt;100,0,(C5/$C$17)*'2023 Revekting utgiftsbehov'!D5*'2023 Arbavg tjeneste'!D5/'2023 Lønnsgr arbavg tjeneste'!D5)</f>
        <v>1.2979234524607003E-2</v>
      </c>
      <c r="E5" s="5">
        <f>IF('2023 Lønnsgr arbavg tjeneste'!D5&lt;100,0,C5)</f>
        <v>711918</v>
      </c>
      <c r="F5" s="55">
        <f>'2023 Revekting utgiftsbehov'!D5*E5/$E$17</f>
        <v>9.1736375534709272E-2</v>
      </c>
      <c r="G5" s="55">
        <f>'2023 Revekting utgiftsbehov'!D5/$F$17</f>
        <v>0.7105305834877288</v>
      </c>
      <c r="H5" s="55">
        <f>IF(E5=0,0,(E5/$E$17)*G5*'2023 Arbavg tjeneste'!D5/'2023 Lønnsgr arbavg tjeneste'!D5)</f>
        <v>1.2979234524607005E-2</v>
      </c>
      <c r="I5" s="5">
        <f>IF(E5=0,0,'[2]2023 Nto driftsutg landet'!$C$5*'2023 Lønnsand og arbavg landet'!$D$6*('2023 Arbavg tjeneste'!D5/'2023 Lønnsgr arbavg tjeneste'!D5-$H$17)*'2023 Revekting utgiftsbehov'!D5)</f>
        <v>34.829081665940826</v>
      </c>
      <c r="J5" s="5">
        <f>I5*C5/1000</f>
        <v>24795.450161453264</v>
      </c>
      <c r="K5" s="55">
        <f>IF('2023 Lønnsgr arbavg tjeneste'!E5&lt;100,0,(C5/$C$17)*'2023 Revekting utgiftsbehov'!E5*'2023 Arbavg tjeneste'!E5/'2023 Lønnsgr arbavg tjeneste'!E5)</f>
        <v>4.0604122648485313E-3</v>
      </c>
      <c r="L5" s="5">
        <f>IF('2023 Lønnsgr arbavg tjeneste'!E5&lt;100,0,C5)</f>
        <v>711918</v>
      </c>
      <c r="M5" s="55">
        <f>'2023 Revekting utgiftsbehov'!E5*L5/$L$17</f>
        <v>2.770957018579065E-2</v>
      </c>
      <c r="N5" s="55">
        <f>'2023 Revekting utgiftsbehov'!E5/$M$17</f>
        <v>0.21462039411895759</v>
      </c>
      <c r="O5" s="55">
        <f>IF(L5=0,0,(L5/$L$17)*N5*'2023 Arbavg tjeneste'!E5/'2023 Lønnsgr arbavg tjeneste'!E5)</f>
        <v>4.0604122648485313E-3</v>
      </c>
      <c r="P5" s="5">
        <f>IF(L5=0,0,'[2]2023 Nto driftsutg landet'!$C$6*'2023 Lønnsand og arbavg landet'!$D$7*('2023 Arbavg tjeneste'!E5/'2023 Lønnsgr arbavg tjeneste'!E5-$O$17)*'2023 Revekting utgiftsbehov'!E5)</f>
        <v>-2.8606765424281901</v>
      </c>
      <c r="Q5" s="5">
        <f>P5*C5/1000</f>
        <v>-2036.5671227323924</v>
      </c>
      <c r="R5" s="55">
        <f>IF('2023 Lønnsgr arbavg tjeneste'!F5&lt;100,0,(C5/$C$17)*'2023 Revekting utgiftsbehov'!F5*'2023 Arbavg tjeneste'!F5/'2023 Lønnsgr arbavg tjeneste'!F5)</f>
        <v>2.7529219284143657E-2</v>
      </c>
      <c r="S5" s="5">
        <f>IF('2023 Lønnsgr arbavg tjeneste'!F5&lt;100,0,C5)</f>
        <v>711918</v>
      </c>
      <c r="T5" s="55">
        <f>'2023 Revekting utgiftsbehov'!F5*S5/$S$17</f>
        <v>0.19514004242386096</v>
      </c>
      <c r="U5" s="55">
        <f>'2023 Revekting utgiftsbehov'!F5/$T$17</f>
        <v>1.5114284535122655</v>
      </c>
      <c r="V5" s="55">
        <f>IF(S5=0,0,(S5/$S$17)*U5*'2023 Arbavg tjeneste'!F5/'2023 Lønnsgr arbavg tjeneste'!F5)</f>
        <v>2.7529219284143657E-2</v>
      </c>
      <c r="W5" s="5">
        <f>IF(S5=0,0,'[2]2023 Nto driftsutg landet'!$C$7*'2023 Lønnsand og arbavg landet'!$D$8*('2023 Arbavg tjeneste'!F5/'2023 Lønnsgr arbavg tjeneste'!F5-$V$17)*'2023 Revekting utgiftsbehov'!F5)</f>
        <v>0.61720906323744273</v>
      </c>
      <c r="X5" s="5">
        <f>W5*C5/1000</f>
        <v>439.40224188187375</v>
      </c>
      <c r="Y5" s="55">
        <f>IF('2023 Lønnsgr arbavg tjeneste'!G5&lt;100,0,(C5/$C$17)*'2023 Revekting utgiftsbehov'!G5*'2023 Arbavg tjeneste'!G5/'2023 Lønnsgr arbavg tjeneste'!G5)</f>
        <v>0</v>
      </c>
      <c r="Z5" s="5">
        <f>IF('2023 Lønnsgr arbavg tjeneste'!G5&lt;100,0,C5)</f>
        <v>0</v>
      </c>
      <c r="AA5" s="55">
        <f>'2023 Revekting utgiftsbehov'!G5*Z5/$Z$17</f>
        <v>0</v>
      </c>
      <c r="AB5" s="55">
        <f>'2023 Revekting utgiftsbehov'!G5/$AA$17</f>
        <v>0</v>
      </c>
      <c r="AC5" s="55">
        <f>IF(Z5=0,0,(Z5/$Z$17)*AB5*'2023 Arbavg tjeneste'!G5/'2023 Lønnsgr arbavg tjeneste'!G5)</f>
        <v>0</v>
      </c>
      <c r="AD5" s="5">
        <f>IF(Z5=0,0,'[2]2023 Nto driftsutg landet'!$C$8*'2023 Lønnsand og arbavg landet'!$D$9*('2023 Arbavg tjeneste'!G5/'2023 Lønnsgr arbavg tjeneste'!G5-$AC$17)*'2023 Revekting utgiftsbehov'!G5)</f>
        <v>0</v>
      </c>
      <c r="AE5" s="5">
        <f>+AD5*$C5/1000</f>
        <v>0</v>
      </c>
      <c r="AF5" s="55">
        <f>IF('2023 Lønnsgr arbavg tjeneste'!H5&lt;100,0,(C5/$C$17)*'2023 Revekting utgiftsbehov'!H5*'2023 Arbavg tjeneste'!H5/'2023 Lønnsgr arbavg tjeneste'!H5)</f>
        <v>1.3326567293527663E-2</v>
      </c>
      <c r="AG5" s="5">
        <f>IF('2023 Lønnsgr arbavg tjeneste'!H5&lt;100,0,C5)</f>
        <v>711918</v>
      </c>
      <c r="AH5" s="55">
        <f>'2023 Revekting utgiftsbehov'!H5*AG5/$AG$17</f>
        <v>0.10435988164939797</v>
      </c>
      <c r="AI5" s="55">
        <f>'2023 Revekting utgiftsbehov'!H5/$AH$17</f>
        <v>0.80830409059491792</v>
      </c>
      <c r="AJ5" s="55">
        <f>IF(AG5=0,0,(AG5/$AG$17)*AI5*'2023 Arbavg tjeneste'!H5/'2023 Lønnsgr arbavg tjeneste'!H5)</f>
        <v>1.3326567293527663E-2</v>
      </c>
      <c r="AK5" s="5">
        <f>IF(AG5=0,0,'[2]2023 Nto driftsutg landet'!$C$9*'2023 Lønnsand og arbavg landet'!$D$10*('2023 Arbavg tjeneste'!H5/'2023 Lønnsgr arbavg tjeneste'!H5-$AJ$17)*'2023 Revekting utgiftsbehov'!H5)</f>
        <v>0.25294181961620188</v>
      </c>
      <c r="AL5" s="5">
        <f>+AK5*$C5/1000</f>
        <v>180.07383433752722</v>
      </c>
      <c r="AM5" s="55">
        <f>IF('2023 Lønnsgr arbavg tjeneste'!K5&lt;100,0,(C5/$C$17)*'2023 Arbavg tjeneste'!K5/'2023 Lønnsgr arbavg tjeneste'!K5)</f>
        <v>2.3226464201852013E-2</v>
      </c>
      <c r="AN5" s="5">
        <f>IF('2023 Lønnsgr arbavg tjeneste'!K5&lt;100,0,C5)</f>
        <v>711918</v>
      </c>
      <c r="AO5" s="55">
        <f t="shared" ref="AO5:AO15" si="3">AN5/$AN$17</f>
        <v>0.12910967897315515</v>
      </c>
      <c r="AP5" s="55">
        <f t="shared" ref="AP5:AP15" si="4">1/$AH$17</f>
        <v>1</v>
      </c>
      <c r="AQ5" s="55">
        <f>IF(AN5=0,0,(AN5/$AN$17)*AP5*'2023 Arbavg tjeneste'!K5/'2023 Lønnsgr arbavg tjeneste'!K5)</f>
        <v>2.3226464201852013E-2</v>
      </c>
      <c r="AR5" s="5">
        <f>IF(AN5=0,0,'[2]2023 Nto driftsutg landet'!$C$23*'2023 Lønnsand og arbavg landet'!$D$13*('2023 Arbavg tjeneste'!K5/'2023 Lønnsgr arbavg tjeneste'!K5-$AQ$17))</f>
        <v>28.184309082474932</v>
      </c>
      <c r="AS5" s="5">
        <f>+AR5*$C5/1000</f>
        <v>20064.916953377389</v>
      </c>
      <c r="AT5" s="55">
        <f>IF('2023 Lønnsgr arbavg tjeneste'!L5&lt;100,0,(C5/$C$17)*'2023 Arbavg tjeneste'!L5/'2023 Lønnsgr arbavg tjeneste'!L5)</f>
        <v>0</v>
      </c>
      <c r="AU5" s="5">
        <f>IF('2023 Lønnsgr arbavg tjeneste'!L5&lt;100,0,C5)</f>
        <v>0</v>
      </c>
      <c r="AV5" s="55">
        <f t="shared" ref="AV5:AV15" si="5">AU5/$AU$17</f>
        <v>0</v>
      </c>
      <c r="AW5" s="55">
        <f t="shared" ref="AW5:AW15" si="6">1/$AV$17</f>
        <v>1</v>
      </c>
      <c r="AX5" s="55">
        <f>IF(AU5=0,0,(AU5/$AU$17)*AW5*'2023 Arbavg tjeneste'!L5/'2023 Lønnsgr arbavg tjeneste'!L5)</f>
        <v>0</v>
      </c>
      <c r="AY5" s="5">
        <f>IF(AU5=0,0,'[2]2023 Nto driftsutg landet'!$C$24*'2023 Lønnsand og arbavg landet'!$D$14*('2023 Arbavg tjeneste'!L5/'2023 Lønnsgr arbavg tjeneste'!L5-$AX$17))</f>
        <v>0</v>
      </c>
      <c r="AZ5" s="5">
        <f>+AY5*$C5/1000</f>
        <v>0</v>
      </c>
      <c r="BA5" s="55">
        <f>IF('2023 Lønnsgr arbavg tjeneste'!M5&lt;100,0,(C5/$C$17)*'2023 Arbavg tjeneste'!M5/'2023 Lønnsgr arbavg tjeneste'!M5)</f>
        <v>0</v>
      </c>
      <c r="BB5" s="5">
        <f>IF('2023 Lønnsgr arbavg tjeneste'!M5&lt;100,0,C5)</f>
        <v>0</v>
      </c>
      <c r="BC5" s="55">
        <f t="shared" ref="BC5:BC15" si="7">BB5/$BB$17</f>
        <v>0</v>
      </c>
      <c r="BD5" s="55">
        <f t="shared" ref="BD5:BD15" si="8">1/$BC$17</f>
        <v>1</v>
      </c>
      <c r="BE5" s="55">
        <f>IF(BB5=0,0,(BB5/$BB$17)*BD5*'2023 Arbavg tjeneste'!M5/'2023 Lønnsgr arbavg tjeneste'!M5)</f>
        <v>0</v>
      </c>
      <c r="BF5" s="5">
        <f>IF(BB5=0,0,'[2]2023 Nto driftsutg landet'!$C$25*'2023 Lønnsand og arbavg landet'!$D$15*('2023 Arbavg tjeneste'!M5/'2023 Lønnsgr arbavg tjeneste'!M5-$BE$17))</f>
        <v>0</v>
      </c>
      <c r="BG5" s="5">
        <f>+BF5*$C5/1000</f>
        <v>0</v>
      </c>
      <c r="BH5" s="55">
        <f>IF('2023 Lønnsgr arbavg tjeneste'!N5&lt;100,0,(C5/$C$17)*'2023 Arbavg tjeneste'!N5/'2023 Lønnsgr arbavg tjeneste'!N5)</f>
        <v>1.6398545987645823E-2</v>
      </c>
      <c r="BI5" s="5">
        <f>IF('2023 Lønnsgr arbavg tjeneste'!N5&lt;100,0,C5)</f>
        <v>711918</v>
      </c>
      <c r="BJ5" s="55">
        <f t="shared" ref="BJ5:BJ15" si="9">BI5/$BI$17</f>
        <v>0.12910967897315515</v>
      </c>
      <c r="BK5" s="55">
        <f t="shared" ref="BK5:BK15" si="10">1/$BJ$17</f>
        <v>1</v>
      </c>
      <c r="BL5" s="55">
        <f>IF(BI5=0,0,(BI5/$BI$17)*BK5*'2023 Arbavg tjeneste'!N5/'2023 Lønnsgr arbavg tjeneste'!N5)</f>
        <v>1.6398545987645823E-2</v>
      </c>
      <c r="BM5" s="5">
        <f>IF(BI5=0,0,'[2]2023 Nto driftsutg landet'!$C$26*'2023 Lønnsand og arbavg landet'!$D$16*('2023 Arbavg tjeneste'!N5/'2023 Lønnsgr arbavg tjeneste'!N5-$BL$17))</f>
        <v>-0.11422296433895783</v>
      </c>
      <c r="BN5" s="5">
        <f>+BM5*$C5/1000</f>
        <v>-81.317384326262186</v>
      </c>
      <c r="BO5" s="55">
        <f>IF('2023 Lønnsgr arbavg tjeneste'!O5&lt;100,0,(C5/$C$17)*'2023 Arbavg tjeneste'!O5/'2023 Lønnsgr arbavg tjeneste'!O5)</f>
        <v>0</v>
      </c>
      <c r="BP5" s="5">
        <f>IF('2023 Lønnsgr arbavg tjeneste'!O5&lt;100,0,C5)</f>
        <v>0</v>
      </c>
      <c r="BQ5" s="55">
        <f t="shared" ref="BQ5:BQ15" si="11">BP5/$BP$17</f>
        <v>0</v>
      </c>
      <c r="BR5" s="55">
        <f t="shared" ref="BR5:BR15" si="12">1/$BQ$17</f>
        <v>1</v>
      </c>
      <c r="BS5" s="55">
        <f>IF(BP5=0,0,(BP5/$BP$17)*BR5*'2023 Arbavg tjeneste'!O5/'2023 Lønnsgr arbavg tjeneste'!O5)</f>
        <v>0</v>
      </c>
      <c r="BT5" s="5">
        <f>IF(BP5=0,0,'[2]2023 Nto driftsutg landet'!$C$27*'2023 Lønnsand og arbavg landet'!$D$17*('2023 Arbavg tjeneste'!O5/'2023 Lønnsgr arbavg tjeneste'!O5-$BS$17))</f>
        <v>0</v>
      </c>
      <c r="BU5" s="5">
        <f>+BT5*$C5/1000</f>
        <v>0</v>
      </c>
      <c r="BV5" s="55">
        <f>IF('2023 Lønnsgr arbavg tjeneste'!P5&lt;100,0,(C5/$C$17)*'2023 Arbavg tjeneste'!P5/'2023 Lønnsgr arbavg tjeneste'!P5)</f>
        <v>0</v>
      </c>
      <c r="BW5" s="5">
        <f>IF('2023 Lønnsgr arbavg tjeneste'!P5&lt;100,0,C5)</f>
        <v>0</v>
      </c>
      <c r="BX5" s="55">
        <f t="shared" ref="BX5:BX15" si="13">BW5/$BW$17</f>
        <v>0</v>
      </c>
      <c r="BY5" s="55">
        <f t="shared" ref="BY5:BY15" si="14">1/$BX$17</f>
        <v>1</v>
      </c>
      <c r="BZ5" s="55">
        <f>IF(BW5=0,0,(BW5/$BW$17)*BY5*'2023 Arbavg tjeneste'!P5/'2023 Lønnsgr arbavg tjeneste'!P5)</f>
        <v>0</v>
      </c>
      <c r="CA5" s="5">
        <f>IF(BW5=0,0,'[2]2023 Nto driftsutg landet'!$C$28*'2023 Lønnsand og arbavg landet'!$D$18*('2023 Arbavg tjeneste'!P5/'2023 Lønnsgr arbavg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1">
        <v>1100</v>
      </c>
      <c r="B6" s="42" t="s">
        <v>139</v>
      </c>
      <c r="C6" s="42">
        <f>+'2023 Nto driftsutg'!W6</f>
        <v>495545</v>
      </c>
      <c r="D6" s="55">
        <f>IF('2023 Lønnsgr arbavg tjeneste'!D6&lt;100,0,(C6/$C$17)*'2023 Revekting utgiftsbehov'!D6*'2023 Arbavg tjeneste'!D6/'2023 Lønnsgr arbavg tjeneste'!D6)</f>
        <v>1.3697743458305409E-2</v>
      </c>
      <c r="E6" s="5">
        <f>IF('2023 Lønnsgr arbavg tjeneste'!D6&lt;100,0,C6)</f>
        <v>495545</v>
      </c>
      <c r="F6" s="55">
        <f>'2023 Revekting utgiftsbehov'!D6*E6/$E$17</f>
        <v>9.6833290051327292E-2</v>
      </c>
      <c r="G6" s="55">
        <f>'2023 Revekting utgiftsbehov'!D6/$F$17</f>
        <v>1.0774887931615931</v>
      </c>
      <c r="H6" s="55">
        <f>IF(E6=0,0,(E6/$E$17)*G6*'2023 Arbavg tjeneste'!D6/'2023 Lønnsgr arbavg tjeneste'!D6)</f>
        <v>1.3697743458305415E-2</v>
      </c>
      <c r="I6" s="5">
        <f>IF(E6=0,0,'[2]2023 Nto driftsutg landet'!$C$5*'2023 Lønnsand og arbavg landet'!$D$6*('2023 Arbavg tjeneste'!D6/'2023 Lønnsgr arbavg tjeneste'!D6-$H$17)*'2023 Revekting utgiftsbehov'!D6)</f>
        <v>52.689119234458268</v>
      </c>
      <c r="J6" s="5">
        <f t="shared" ref="J6:J15" si="15">I6*C6/1000</f>
        <v>26109.829591039623</v>
      </c>
      <c r="K6" s="55">
        <f>IF('2023 Lønnsgr arbavg tjeneste'!E6&lt;100,0,(C6/$C$17)*'2023 Revekting utgiftsbehov'!E6*'2023 Arbavg tjeneste'!E6/'2023 Lønnsgr arbavg tjeneste'!E6)</f>
        <v>1.0341239602160351E-2</v>
      </c>
      <c r="L6" s="5">
        <f>IF('2023 Lønnsgr arbavg tjeneste'!E6&lt;100,0,C6)</f>
        <v>495545</v>
      </c>
      <c r="M6" s="55">
        <f>'2023 Revekting utgiftsbehov'!E6*L6/$L$17</f>
        <v>7.1840717968341822E-2</v>
      </c>
      <c r="N6" s="55">
        <f>'2023 Revekting utgiftsbehov'!E6/$M$17</f>
        <v>0.79939004925414059</v>
      </c>
      <c r="O6" s="55">
        <f>IF(L6=0,0,(L6/$L$17)*N6*'2023 Arbavg tjeneste'!E6/'2023 Lønnsgr arbavg tjeneste'!E6)</f>
        <v>1.0341239602160351E-2</v>
      </c>
      <c r="P6" s="5">
        <f>IF(L6=0,0,'[2]2023 Nto driftsutg landet'!$C$6*'2023 Lønnsand og arbavg landet'!$D$7*('2023 Arbavg tjeneste'!E6/'2023 Lønnsgr arbavg tjeneste'!E6-$O$17)*'2023 Revekting utgiftsbehov'!E6)</f>
        <v>-11.018448621775503</v>
      </c>
      <c r="Q6" s="5">
        <f t="shared" ref="Q6:Q15" si="16">P6*C6/1000</f>
        <v>-5460.1371222777425</v>
      </c>
      <c r="R6" s="55">
        <f>IF('2023 Lønnsgr arbavg tjeneste'!F6&lt;100,0,(C6/$C$17)*'2023 Revekting utgiftsbehov'!F6*'2023 Arbavg tjeneste'!F6/'2023 Lønnsgr arbavg tjeneste'!F6)</f>
        <v>1.2269850532976995E-2</v>
      </c>
      <c r="S6" s="5">
        <f>IF('2023 Lønnsgr arbavg tjeneste'!F6&lt;100,0,C6)</f>
        <v>495545</v>
      </c>
      <c r="T6" s="55">
        <f>'2023 Revekting utgiftsbehov'!F6*S6/$S$17</f>
        <v>8.4700590483093016E-2</v>
      </c>
      <c r="U6" s="55">
        <f>'2023 Revekting utgiftsbehov'!F6/$T$17</f>
        <v>0.9424851409192746</v>
      </c>
      <c r="V6" s="55">
        <f>IF(S6=0,0,(S6/$S$17)*U6*'2023 Arbavg tjeneste'!F6/'2023 Lønnsgr arbavg tjeneste'!F6)</f>
        <v>1.2269850532976995E-2</v>
      </c>
      <c r="W6" s="5">
        <f>IF(S6=0,0,'[2]2023 Nto driftsutg landet'!$C$7*'2023 Lønnsand og arbavg landet'!$D$8*('2023 Arbavg tjeneste'!F6/'2023 Lønnsgr arbavg tjeneste'!F6-$V$17)*'2023 Revekting utgiftsbehov'!F6)</f>
        <v>0.56405314290042552</v>
      </c>
      <c r="X6" s="5">
        <f t="shared" ref="X6:X15" si="17">W6*C6/1000</f>
        <v>279.5137146985914</v>
      </c>
      <c r="Y6" s="55">
        <f>IF('2023 Lønnsgr arbavg tjeneste'!G6&lt;100,0,(C6/$C$17)*'2023 Revekting utgiftsbehov'!G6*'2023 Arbavg tjeneste'!G6/'2023 Lønnsgr arbavg tjeneste'!G6)</f>
        <v>8.1618043655311522E-3</v>
      </c>
      <c r="Z6" s="5">
        <f>IF('2023 Lønnsgr arbavg tjeneste'!G6&lt;100,0,C6)</f>
        <v>495545</v>
      </c>
      <c r="AA6" s="55">
        <f>'2023 Revekting utgiftsbehov'!G6*Z6/$Z$17</f>
        <v>0.13269818841027309</v>
      </c>
      <c r="AB6" s="55">
        <f>'2023 Revekting utgiftsbehov'!G6/$AA$17</f>
        <v>0.39984387567602769</v>
      </c>
      <c r="AC6" s="55">
        <f>IF(Z6=0,0,(Z6/$Z$17)*AB6*'2023 Arbavg tjeneste'!G6/'2023 Lønnsgr arbavg tjeneste'!G6)</f>
        <v>1.1450837696408549E-2</v>
      </c>
      <c r="AD6" s="5">
        <f>IF(Z6=0,0,'[2]2023 Nto driftsutg landet'!$C$8*'2023 Lønnsand og arbavg landet'!$D$9*('2023 Arbavg tjeneste'!G6/'2023 Lønnsgr arbavg tjeneste'!G6-$AC$17)*'2023 Revekting utgiftsbehov'!G6)</f>
        <v>0.10227557336517784</v>
      </c>
      <c r="AE6" s="5">
        <f t="shared" ref="AE6:AE15" si="18">+AD6*$C6/1000</f>
        <v>50.682149003247055</v>
      </c>
      <c r="AF6" s="55">
        <f>IF('2023 Lønnsgr arbavg tjeneste'!H6&lt;100,0,(C6/$C$17)*'2023 Revekting utgiftsbehov'!H6*'2023 Arbavg tjeneste'!H6/'2023 Lønnsgr arbavg tjeneste'!H6)</f>
        <v>1.3126197460239483E-2</v>
      </c>
      <c r="AG6" s="5">
        <f>IF('2023 Lønnsgr arbavg tjeneste'!H6&lt;100,0,C6)</f>
        <v>495545</v>
      </c>
      <c r="AH6" s="55">
        <f>'2023 Revekting utgiftsbehov'!H6*AG6/$AG$17</f>
        <v>9.1427724337629926E-2</v>
      </c>
      <c r="AI6" s="55">
        <f>'2023 Revekting utgiftsbehov'!H6/$AH$17</f>
        <v>1.0173396804533479</v>
      </c>
      <c r="AJ6" s="55">
        <f>IF(AG6=0,0,(AG6/$AG$17)*AI6*'2023 Arbavg tjeneste'!H6/'2023 Lønnsgr arbavg tjeneste'!H6)</f>
        <v>1.3126197460239483E-2</v>
      </c>
      <c r="AK6" s="5">
        <f>IF(AG6=0,0,'[2]2023 Nto driftsutg landet'!$C$9*'2023 Lønnsand og arbavg landet'!$D$10*('2023 Arbavg tjeneste'!H6/'2023 Lønnsgr arbavg tjeneste'!H6-$AJ$17)*'2023 Revekting utgiftsbehov'!H6)</f>
        <v>6.5374661882425418</v>
      </c>
      <c r="AL6" s="5">
        <f t="shared" ref="AL6:AL15" si="19">+AK6*$C6/1000</f>
        <v>3239.6086822526499</v>
      </c>
      <c r="AM6" s="55">
        <f>IF('2023 Lønnsgr arbavg tjeneste'!K6&lt;100,0,(C6/$C$17)*'2023 Arbavg tjeneste'!K6/'2023 Lønnsgr arbavg tjeneste'!K6)</f>
        <v>1.3121183007843212E-2</v>
      </c>
      <c r="AN6" s="5">
        <f>IF('2023 Lønnsgr arbavg tjeneste'!K6&lt;100,0,C6)</f>
        <v>495545</v>
      </c>
      <c r="AO6" s="55">
        <f t="shared" si="3"/>
        <v>8.98694173581117E-2</v>
      </c>
      <c r="AP6" s="55">
        <f t="shared" si="4"/>
        <v>1</v>
      </c>
      <c r="AQ6" s="55">
        <f>IF(AN6=0,0,(AN6/$AN$17)*AP6*'2023 Arbavg tjeneste'!K6/'2023 Lønnsgr arbavg tjeneste'!K6)</f>
        <v>1.3121183007843212E-2</v>
      </c>
      <c r="AR6" s="5">
        <f>IF(AN6=0,0,'[2]2023 Nto driftsutg landet'!$C$23*'2023 Lønnsand og arbavg landet'!$D$13*('2023 Arbavg tjeneste'!K6/'2023 Lønnsgr arbavg tjeneste'!K6-$AQ$17))</f>
        <v>11.583225473680683</v>
      </c>
      <c r="AS6" s="5">
        <f t="shared" ref="AS6:AS15" si="20">+AR6*$C6/1000</f>
        <v>5740.0094673550939</v>
      </c>
      <c r="AT6" s="55">
        <f>IF('2023 Lønnsgr arbavg tjeneste'!L6&lt;100,0,(C6/$C$17)*'2023 Arbavg tjeneste'!L6/'2023 Lønnsgr arbavg tjeneste'!L6)</f>
        <v>1.2877583829183978E-2</v>
      </c>
      <c r="AU6" s="5">
        <f>IF('2023 Lønnsgr arbavg tjeneste'!L6&lt;100,0,C6)</f>
        <v>495545</v>
      </c>
      <c r="AV6" s="55">
        <f t="shared" si="5"/>
        <v>0.10319257797256139</v>
      </c>
      <c r="AW6" s="55">
        <f t="shared" si="6"/>
        <v>1</v>
      </c>
      <c r="AX6" s="55">
        <f>IF(AU6=0,0,(AU6/$AU$17)*AW6*'2023 Arbavg tjeneste'!L6/'2023 Lønnsgr arbavg tjeneste'!L6)</f>
        <v>1.4786688424783898E-2</v>
      </c>
      <c r="AY6" s="5">
        <f>IF(AU6=0,0,'[2]2023 Nto driftsutg landet'!$C$24*'2023 Lønnsand og arbavg landet'!$D$14*('2023 Arbavg tjeneste'!L6/'2023 Lønnsgr arbavg tjeneste'!L6-$AX$17))</f>
        <v>0.6957404141877348</v>
      </c>
      <c r="AZ6" s="5">
        <f t="shared" ref="AZ6:AZ15" si="21">+AY6*$C6/1000</f>
        <v>344.77068354866105</v>
      </c>
      <c r="BA6" s="55">
        <f>IF('2023 Lønnsgr arbavg tjeneste'!M6&lt;100,0,(C6/$C$17)*'2023 Arbavg tjeneste'!M6/'2023 Lønnsgr arbavg tjeneste'!M6)</f>
        <v>1.2922739998415986E-2</v>
      </c>
      <c r="BB6" s="5">
        <f>IF('2023 Lønnsgr arbavg tjeneste'!M6&lt;100,0,C6)</f>
        <v>495545</v>
      </c>
      <c r="BC6" s="55">
        <f t="shared" si="7"/>
        <v>0.10319257797256139</v>
      </c>
      <c r="BD6" s="55">
        <f t="shared" si="8"/>
        <v>1</v>
      </c>
      <c r="BE6" s="55">
        <f>IF(BB6=0,0,(BB6/$BB$17)*BD6*'2023 Arbavg tjeneste'!M6/'2023 Lønnsgr arbavg tjeneste'!M6)</f>
        <v>1.4838539005898134E-2</v>
      </c>
      <c r="BF6" s="5">
        <f>IF(BB6=0,0,'[2]2023 Nto driftsutg landet'!$C$25*'2023 Lønnsand og arbavg landet'!$D$15*('2023 Arbavg tjeneste'!M6/'2023 Lønnsgr arbavg tjeneste'!M6-$BE$17))</f>
        <v>-4.2099226666867898E-2</v>
      </c>
      <c r="BG6" s="5">
        <f t="shared" ref="BG6:BG15" si="22">+BF6*$C6/1000</f>
        <v>-20.862061278633053</v>
      </c>
      <c r="BH6" s="55">
        <f>IF('2023 Lønnsgr arbavg tjeneste'!N6&lt;100,0,(C6/$C$17)*'2023 Arbavg tjeneste'!N6/'2023 Lønnsgr arbavg tjeneste'!N6)</f>
        <v>1.2896151538568079E-2</v>
      </c>
      <c r="BI6" s="5">
        <f>IF('2023 Lønnsgr arbavg tjeneste'!N6&lt;100,0,C6)</f>
        <v>495545</v>
      </c>
      <c r="BJ6" s="55">
        <f t="shared" si="9"/>
        <v>8.98694173581117E-2</v>
      </c>
      <c r="BK6" s="55">
        <f t="shared" si="10"/>
        <v>1</v>
      </c>
      <c r="BL6" s="55">
        <f>IF(BI6=0,0,(BI6/$BI$17)*BK6*'2023 Arbavg tjeneste'!N6/'2023 Lønnsgr arbavg tjeneste'!N6)</f>
        <v>1.2896151538568079E-2</v>
      </c>
      <c r="BM6" s="5">
        <f>IF(BI6=0,0,'[2]2023 Nto driftsutg landet'!$C$26*'2023 Lønnsand og arbavg landet'!$D$16*('2023 Arbavg tjeneste'!N6/'2023 Lønnsgr arbavg tjeneste'!N6-$BL$17))</f>
        <v>0.46724922922931622</v>
      </c>
      <c r="BN6" s="5">
        <f t="shared" ref="BN6:BN15" si="23">+BM6*$C6/1000</f>
        <v>231.54301929844149</v>
      </c>
      <c r="BO6" s="55">
        <f>IF('2023 Lønnsgr arbavg tjeneste'!O6&lt;100,0,(C6/$C$17)*'2023 Arbavg tjeneste'!O6/'2023 Lønnsgr arbavg tjeneste'!O6)</f>
        <v>0</v>
      </c>
      <c r="BP6" s="5">
        <f>IF('2023 Lønnsgr arbavg tjeneste'!O6&lt;100,0,C6)</f>
        <v>0</v>
      </c>
      <c r="BQ6" s="55">
        <f t="shared" si="11"/>
        <v>0</v>
      </c>
      <c r="BR6" s="55">
        <f t="shared" si="12"/>
        <v>1</v>
      </c>
      <c r="BS6" s="55">
        <f>IF(BP6=0,0,(BP6/$BP$17)*BR6*'2023 Arbavg tjeneste'!O6/'2023 Lønnsgr arbavg tjeneste'!O6)</f>
        <v>0</v>
      </c>
      <c r="BT6" s="5">
        <f>IF(BP6=0,0,'[2]2023 Nto driftsutg landet'!$C$27*'2023 Lønnsand og arbavg landet'!$D$17*('2023 Arbavg tjeneste'!O6/'2023 Lønnsgr arbavg tjeneste'!O6-$BS$17))</f>
        <v>0</v>
      </c>
      <c r="BU6" s="5">
        <f t="shared" ref="BU6:BU15" si="24">+BT6*$C6/1000</f>
        <v>0</v>
      </c>
      <c r="BV6" s="55">
        <f>IF('2023 Lønnsgr arbavg tjeneste'!P6&lt;100,0,(C6/$C$17)*'2023 Arbavg tjeneste'!P6/'2023 Lønnsgr arbavg tjeneste'!P6)</f>
        <v>1.3069774420898001E-2</v>
      </c>
      <c r="BW6" s="5">
        <f>IF('2023 Lønnsgr arbavg tjeneste'!P6&lt;100,0,C6)</f>
        <v>495545</v>
      </c>
      <c r="BX6" s="55">
        <f t="shared" si="13"/>
        <v>0.13004461004199627</v>
      </c>
      <c r="BY6" s="55">
        <f t="shared" si="14"/>
        <v>1</v>
      </c>
      <c r="BZ6" s="55">
        <f>IF(BW6=0,0,(BW6/$BW$17)*BY6*'2023 Arbavg tjeneste'!P6/'2023 Lønnsgr arbavg tjeneste'!P6)</f>
        <v>1.8912481774859595E-2</v>
      </c>
      <c r="CA6" s="5">
        <f>IF(BW6=0,0,'[2]2023 Nto driftsutg landet'!$C$28*'2023 Lønnsand og arbavg landet'!$D$18*('2023 Arbavg tjeneste'!P6/'2023 Lønnsgr arbavg tjeneste'!P6-$BZ$17))</f>
        <v>-2.4050860787075811E-2</v>
      </c>
      <c r="CB6" s="5">
        <f t="shared" ref="CB6:CB15" si="25">+CA6*$C6/1000</f>
        <v>-11.918283808731482</v>
      </c>
      <c r="CC6" s="5"/>
      <c r="CD6" s="5"/>
      <c r="CE6" s="5"/>
    </row>
    <row r="7" spans="1:83" x14ac:dyDescent="0.3">
      <c r="A7" s="41">
        <v>1500</v>
      </c>
      <c r="B7" s="42" t="s">
        <v>140</v>
      </c>
      <c r="C7" s="42">
        <f>+'2023 Nto driftsutg'!W7</f>
        <v>269164</v>
      </c>
      <c r="D7" s="55">
        <f>IF('2023 Lønnsgr arbavg tjeneste'!D7&lt;100,0,(C7/$C$17)*'2023 Revekting utgiftsbehov'!D7*'2023 Arbavg tjeneste'!D7/'2023 Lønnsgr arbavg tjeneste'!D7)</f>
        <v>7.3126064915526269E-3</v>
      </c>
      <c r="E7" s="5">
        <f>IF('2023 Lønnsgr arbavg tjeneste'!D7&lt;100,0,C7)</f>
        <v>269164</v>
      </c>
      <c r="F7" s="55">
        <f>'2023 Revekting utgiftsbehov'!D7*E7/$E$17</f>
        <v>5.3643626262187466E-2</v>
      </c>
      <c r="G7" s="55">
        <f>'2023 Revekting utgiftsbehov'!D7/$F$17</f>
        <v>1.0989358133062834</v>
      </c>
      <c r="H7" s="55">
        <f>IF(E7=0,0,(E7/$E$17)*G7*'2023 Arbavg tjeneste'!D7/'2023 Lønnsgr arbavg tjeneste'!D7)</f>
        <v>7.3126064915526269E-3</v>
      </c>
      <c r="I7" s="5">
        <f>IF(E7=0,0,'[2]2023 Nto driftsutg landet'!$C$5*'2023 Lønnsand og arbavg landet'!$D$6*('2023 Arbavg tjeneste'!D7/'2023 Lønnsgr arbavg tjeneste'!D7-$H$17)*'2023 Revekting utgiftsbehov'!D7)</f>
        <v>29.037787602752616</v>
      </c>
      <c r="J7" s="5">
        <f t="shared" si="15"/>
        <v>7815.9270623073044</v>
      </c>
      <c r="K7" s="55">
        <f>IF('2023 Lønnsgr arbavg tjeneste'!E7&lt;100,0,(C7/$C$17)*'2023 Revekting utgiftsbehov'!E7*'2023 Arbavg tjeneste'!E7/'2023 Lønnsgr arbavg tjeneste'!E7)</f>
        <v>2.3131279585398849E-2</v>
      </c>
      <c r="L7" s="5">
        <f>IF('2023 Lønnsgr arbavg tjeneste'!E7&lt;100,0,C7)</f>
        <v>269164</v>
      </c>
      <c r="M7" s="55">
        <f>'2023 Revekting utgiftsbehov'!E7*L7/$L$17</f>
        <v>7.5916491020678586E-2</v>
      </c>
      <c r="N7" s="55">
        <f>'2023 Revekting utgiftsbehov'!E7/$M$17</f>
        <v>1.5552146008066416</v>
      </c>
      <c r="O7" s="55">
        <f>IF(L7=0,0,(L7/$L$17)*N7*'2023 Arbavg tjeneste'!E7/'2023 Lønnsgr arbavg tjeneste'!E7)</f>
        <v>2.3131279585398849E-2</v>
      </c>
      <c r="P7" s="5">
        <f>IF(L7=0,0,'[2]2023 Nto driftsutg landet'!$C$6*'2023 Lønnsand og arbavg landet'!$D$7*('2023 Arbavg tjeneste'!E7/'2023 Lønnsgr arbavg tjeneste'!E7-$O$17)*'2023 Revekting utgiftsbehov'!E7)</f>
        <v>22.475663147571794</v>
      </c>
      <c r="Q7" s="5">
        <f t="shared" si="16"/>
        <v>6049.639395453014</v>
      </c>
      <c r="R7" s="55">
        <f>IF('2023 Lønnsgr arbavg tjeneste'!F7&lt;100,0,(C7/$C$17)*'2023 Revekting utgiftsbehov'!F7*'2023 Arbavg tjeneste'!F7/'2023 Lønnsgr arbavg tjeneste'!F7)</f>
        <v>8.242085557827343E-3</v>
      </c>
      <c r="S7" s="5">
        <f>IF('2023 Lønnsgr arbavg tjeneste'!F7&lt;100,0,C7)</f>
        <v>269164</v>
      </c>
      <c r="T7" s="55">
        <f>'2023 Revekting utgiftsbehov'!F7*S7/$S$17</f>
        <v>5.236864917025278E-2</v>
      </c>
      <c r="U7" s="55">
        <f>'2023 Revekting utgiftsbehov'!F7/$T$17</f>
        <v>1.0728168111973642</v>
      </c>
      <c r="V7" s="55">
        <f>IF(S7=0,0,(S7/$S$17)*U7*'2023 Arbavg tjeneste'!F7/'2023 Lønnsgr arbavg tjeneste'!F7)</f>
        <v>8.242085557827343E-3</v>
      </c>
      <c r="W7" s="5">
        <f>IF(S7=0,0,'[2]2023 Nto driftsutg landet'!$C$7*'2023 Lønnsand og arbavg landet'!$D$8*('2023 Arbavg tjeneste'!F7/'2023 Lønnsgr arbavg tjeneste'!F7-$V$17)*'2023 Revekting utgiftsbehov'!F7)</f>
        <v>1.3165300613334343</v>
      </c>
      <c r="X7" s="5">
        <f t="shared" si="17"/>
        <v>354.36249742875253</v>
      </c>
      <c r="Y7" s="55">
        <f>IF('2023 Lønnsgr arbavg tjeneste'!G7&lt;100,0,(C7/$C$17)*'2023 Revekting utgiftsbehov'!G7*'2023 Arbavg tjeneste'!G7/'2023 Lønnsgr arbavg tjeneste'!G7)</f>
        <v>2.5931866838076023E-2</v>
      </c>
      <c r="Z7" s="5">
        <f>IF('2023 Lønnsgr arbavg tjeneste'!G7&lt;100,0,C7)</f>
        <v>269164</v>
      </c>
      <c r="AA7" s="55">
        <f>'2023 Revekting utgiftsbehov'!G7*Z7/$Z$17</f>
        <v>0.40564749417628737</v>
      </c>
      <c r="AB7" s="55">
        <f>'2023 Revekting utgiftsbehov'!G7/$AA$17</f>
        <v>2.2502997755280898</v>
      </c>
      <c r="AC7" s="55">
        <f>IF(Z7=0,0,(Z7/$Z$17)*AB7*'2023 Arbavg tjeneste'!G7/'2023 Lønnsgr arbavg tjeneste'!G7)</f>
        <v>3.6381856882251228E-2</v>
      </c>
      <c r="AD7" s="5">
        <f>IF(Z7=0,0,'[2]2023 Nto driftsutg landet'!$C$8*'2023 Lønnsand og arbavg landet'!$D$9*('2023 Arbavg tjeneste'!G7/'2023 Lønnsgr arbavg tjeneste'!G7-$AC$17)*'2023 Revekting utgiftsbehov'!G7)</f>
        <v>0.65613843754207424</v>
      </c>
      <c r="AE7" s="5">
        <f t="shared" si="18"/>
        <v>176.6088464025749</v>
      </c>
      <c r="AF7" s="55">
        <f>IF('2023 Lønnsgr arbavg tjeneste'!H7&lt;100,0,(C7/$C$17)*'2023 Revekting utgiftsbehov'!H7*'2023 Arbavg tjeneste'!H7/'2023 Lønnsgr arbavg tjeneste'!H7)</f>
        <v>6.7381666747472679E-3</v>
      </c>
      <c r="AG7" s="5">
        <f>IF('2023 Lønnsgr arbavg tjeneste'!H7&lt;100,0,C7)</f>
        <v>269164</v>
      </c>
      <c r="AH7" s="55">
        <f>'2023 Revekting utgiftsbehov'!H7*AG7/$AG$17</f>
        <v>5.2742861171396364E-2</v>
      </c>
      <c r="AI7" s="55">
        <f>'2023 Revekting utgiftsbehov'!H7/$AH$17</f>
        <v>1.0804828658338601</v>
      </c>
      <c r="AJ7" s="55">
        <f>IF(AG7=0,0,(AG7/$AG$17)*AI7*'2023 Arbavg tjeneste'!H7/'2023 Lønnsgr arbavg tjeneste'!H7)</f>
        <v>6.7381666747472679E-3</v>
      </c>
      <c r="AK7" s="5">
        <f>IF(AG7=0,0,'[2]2023 Nto driftsutg landet'!$C$9*'2023 Lønnsand og arbavg landet'!$D$10*('2023 Arbavg tjeneste'!H7/'2023 Lønnsgr arbavg tjeneste'!H7-$AJ$17)*'2023 Revekting utgiftsbehov'!H7)</f>
        <v>0.36177955859631394</v>
      </c>
      <c r="AL7" s="5">
        <f t="shared" si="19"/>
        <v>97.378033110018251</v>
      </c>
      <c r="AM7" s="55">
        <f>IF('2023 Lønnsgr arbavg tjeneste'!K7&lt;100,0,(C7/$C$17)*'2023 Arbavg tjeneste'!K7/'2023 Lønnsgr arbavg tjeneste'!K7)</f>
        <v>6.9951501438085826E-3</v>
      </c>
      <c r="AN7" s="5">
        <f>IF('2023 Lønnsgr arbavg tjeneste'!K7&lt;100,0,C7)</f>
        <v>269164</v>
      </c>
      <c r="AO7" s="55">
        <f t="shared" si="3"/>
        <v>4.8814157854037026E-2</v>
      </c>
      <c r="AP7" s="55">
        <f t="shared" si="4"/>
        <v>1</v>
      </c>
      <c r="AQ7" s="55">
        <f>IF(AN7=0,0,(AN7/$AN$17)*AP7*'2023 Arbavg tjeneste'!K7/'2023 Lønnsgr arbavg tjeneste'!K7)</f>
        <v>6.9951501438085826E-3</v>
      </c>
      <c r="AR7" s="5">
        <f>IF(AN7=0,0,'[2]2023 Nto driftsutg landet'!$C$23*'2023 Lønnsand og arbavg landet'!$D$13*('2023 Arbavg tjeneste'!K7/'2023 Lønnsgr arbavg tjeneste'!K7-$AQ$17))</f>
        <v>10.260260668387842</v>
      </c>
      <c r="AS7" s="5">
        <f t="shared" si="20"/>
        <v>2761.6928025459451</v>
      </c>
      <c r="AT7" s="55">
        <f>IF('2023 Lønnsgr arbavg tjeneste'!L7&lt;100,0,(C7/$C$17)*'2023 Arbavg tjeneste'!L7/'2023 Lønnsgr arbavg tjeneste'!L7)</f>
        <v>6.6852088052515935E-3</v>
      </c>
      <c r="AU7" s="5">
        <f>IF('2023 Lønnsgr arbavg tjeneste'!L7&lt;100,0,C7)</f>
        <v>269164</v>
      </c>
      <c r="AV7" s="55">
        <f t="shared" si="5"/>
        <v>5.6050867342837714E-2</v>
      </c>
      <c r="AW7" s="55">
        <f t="shared" si="6"/>
        <v>1</v>
      </c>
      <c r="AX7" s="55">
        <f>IF(AU7=0,0,(AU7/$AU$17)*AW7*'2023 Arbavg tjeneste'!L7/'2023 Lønnsgr arbavg tjeneste'!L7)</f>
        <v>7.6762924605353654E-3</v>
      </c>
      <c r="AY7" s="5">
        <f>IF(AU7=0,0,'[2]2023 Nto driftsutg landet'!$C$24*'2023 Lønnsand og arbavg landet'!$D$14*('2023 Arbavg tjeneste'!L7/'2023 Lønnsgr arbavg tjeneste'!L7-$AX$17))</f>
        <v>0.29037998284880912</v>
      </c>
      <c r="AZ7" s="5">
        <f t="shared" si="21"/>
        <v>78.159837703516857</v>
      </c>
      <c r="BA7" s="55">
        <f>IF('2023 Lønnsgr arbavg tjeneste'!M7&lt;100,0,(C7/$C$17)*'2023 Arbavg tjeneste'!M7/'2023 Lønnsgr arbavg tjeneste'!M7)</f>
        <v>6.8054388995205922E-3</v>
      </c>
      <c r="BB7" s="5">
        <f>IF('2023 Lønnsgr arbavg tjeneste'!M7&lt;100,0,C7)</f>
        <v>269164</v>
      </c>
      <c r="BC7" s="55">
        <f t="shared" si="7"/>
        <v>5.6050867342837714E-2</v>
      </c>
      <c r="BD7" s="55">
        <f t="shared" si="8"/>
        <v>1</v>
      </c>
      <c r="BE7" s="55">
        <f>IF(BB7=0,0,(BB7/$BB$17)*BD7*'2023 Arbavg tjeneste'!M7/'2023 Lønnsgr arbavg tjeneste'!M7)</f>
        <v>7.8143466923555564E-3</v>
      </c>
      <c r="BF7" s="5">
        <f>IF(BB7=0,0,'[2]2023 Nto driftsutg landet'!$C$25*'2023 Lønnsand og arbavg landet'!$D$15*('2023 Arbavg tjeneste'!M7/'2023 Lønnsgr arbavg tjeneste'!M7-$BE$17))</f>
        <v>-2.0626545718036581E-2</v>
      </c>
      <c r="BG7" s="5">
        <f t="shared" si="22"/>
        <v>-5.5519235516495984</v>
      </c>
      <c r="BH7" s="55">
        <f>IF('2023 Lønnsgr arbavg tjeneste'!N7&lt;100,0,(C7/$C$17)*'2023 Arbavg tjeneste'!N7/'2023 Lønnsgr arbavg tjeneste'!N7)</f>
        <v>6.6187757639377311E-3</v>
      </c>
      <c r="BI7" s="5">
        <f>IF('2023 Lønnsgr arbavg tjeneste'!N7&lt;100,0,C7)</f>
        <v>269164</v>
      </c>
      <c r="BJ7" s="55">
        <f t="shared" si="9"/>
        <v>4.8814157854037026E-2</v>
      </c>
      <c r="BK7" s="55">
        <f t="shared" si="10"/>
        <v>1</v>
      </c>
      <c r="BL7" s="55">
        <f>IF(BI7=0,0,(BI7/$BI$17)*BK7*'2023 Arbavg tjeneste'!N7/'2023 Lønnsgr arbavg tjeneste'!N7)</f>
        <v>6.6187757639377311E-3</v>
      </c>
      <c r="BM7" s="5">
        <f>IF(BI7=0,0,'[2]2023 Nto driftsutg landet'!$C$26*'2023 Lønnsand og arbavg landet'!$D$16*('2023 Arbavg tjeneste'!N7/'2023 Lønnsgr arbavg tjeneste'!N7-$BL$17))</f>
        <v>0.18835201187775788</v>
      </c>
      <c r="BN7" s="5">
        <f t="shared" si="23"/>
        <v>50.697580925064827</v>
      </c>
      <c r="BO7" s="55">
        <f>IF('2023 Lønnsgr arbavg tjeneste'!O7&lt;100,0,(C7/$C$17)*'2023 Arbavg tjeneste'!O7/'2023 Lønnsgr arbavg tjeneste'!O7)</f>
        <v>0</v>
      </c>
      <c r="BP7" s="5">
        <f>IF('2023 Lønnsgr arbavg tjeneste'!O7&lt;100,0,C7)</f>
        <v>0</v>
      </c>
      <c r="BQ7" s="55">
        <f t="shared" si="11"/>
        <v>0</v>
      </c>
      <c r="BR7" s="55">
        <f t="shared" si="12"/>
        <v>1</v>
      </c>
      <c r="BS7" s="55">
        <f>IF(BP7=0,0,(BP7/$BP$17)*BR7*'2023 Arbavg tjeneste'!O7/'2023 Lønnsgr arbavg tjeneste'!O7)</f>
        <v>0</v>
      </c>
      <c r="BT7" s="5">
        <f>IF(BP7=0,0,'[2]2023 Nto driftsutg landet'!$C$27*'2023 Lønnsand og arbavg landet'!$D$17*('2023 Arbavg tjeneste'!O7/'2023 Lønnsgr arbavg tjeneste'!O7-$BS$17))</f>
        <v>0</v>
      </c>
      <c r="BU7" s="5">
        <f t="shared" si="24"/>
        <v>0</v>
      </c>
      <c r="BV7" s="55">
        <f>IF('2023 Lønnsgr arbavg tjeneste'!P7&lt;100,0,(C7/$C$17)*'2023 Arbavg tjeneste'!P7/'2023 Lønnsgr arbavg tjeneste'!P7)</f>
        <v>0</v>
      </c>
      <c r="BW7" s="5">
        <f>IF('2023 Lønnsgr arbavg tjeneste'!P7&lt;100,0,C7)</f>
        <v>0</v>
      </c>
      <c r="BX7" s="55">
        <f t="shared" si="13"/>
        <v>0</v>
      </c>
      <c r="BY7" s="55">
        <f t="shared" si="14"/>
        <v>1</v>
      </c>
      <c r="BZ7" s="55">
        <f>IF(BW7=0,0,(BW7/$BW$17)*BY7*'2023 Arbavg tjeneste'!P7/'2023 Lønnsgr arbavg tjeneste'!P7)</f>
        <v>0</v>
      </c>
      <c r="CA7" s="5">
        <f>IF(BW7=0,0,'[2]2023 Nto driftsutg landet'!$C$28*'2023 Lønnsand og arbavg landet'!$D$18*('2023 Arbavg tjeneste'!P7/'2023 Lønnsgr arbavg tjeneste'!P7-$BZ$17))</f>
        <v>0</v>
      </c>
      <c r="CB7" s="5">
        <f t="shared" si="25"/>
        <v>0</v>
      </c>
      <c r="CC7" s="5"/>
      <c r="CD7" s="5"/>
      <c r="CE7" s="5"/>
    </row>
    <row r="8" spans="1:83" x14ac:dyDescent="0.3">
      <c r="A8" s="41">
        <v>1800</v>
      </c>
      <c r="B8" s="42" t="s">
        <v>141</v>
      </c>
      <c r="C8" s="42">
        <f>+'2023 Nto driftsutg'!W8</f>
        <v>241960</v>
      </c>
      <c r="D8" s="55">
        <f>IF('2023 Lønnsgr arbavg tjeneste'!D8&lt;100,0,(C8/$C$17)*'2023 Revekting utgiftsbehov'!D8*'2023 Arbavg tjeneste'!D8/'2023 Lønnsgr arbavg tjeneste'!D8)</f>
        <v>2.7922687918856639E-3</v>
      </c>
      <c r="E8" s="5">
        <f>IF('2023 Lønnsgr arbavg tjeneste'!D8&lt;100,0,C8)</f>
        <v>241960</v>
      </c>
      <c r="F8" s="55">
        <f>'2023 Revekting utgiftsbehov'!D8*E8/$E$17</f>
        <v>4.7625257205129057E-2</v>
      </c>
      <c r="G8" s="55">
        <f>'2023 Revekting utgiftsbehov'!D8/$F$17</f>
        <v>1.0853378047755213</v>
      </c>
      <c r="H8" s="55">
        <f>IF(E8=0,0,(E8/$E$17)*G8*'2023 Arbavg tjeneste'!D8/'2023 Lønnsgr arbavg tjeneste'!D8)</f>
        <v>2.7922687918856643E-3</v>
      </c>
      <c r="I8" s="5">
        <f>IF(E8=0,0,'[2]2023 Nto driftsutg landet'!$C$5*'2023 Lønnsand og arbavg landet'!$D$6*('2023 Arbavg tjeneste'!D8/'2023 Lønnsgr arbavg tjeneste'!D8-$H$17)*'2023 Revekting utgiftsbehov'!D8)</f>
        <v>-340.12405256722741</v>
      </c>
      <c r="J8" s="5">
        <f t="shared" si="15"/>
        <v>-82296.415759166339</v>
      </c>
      <c r="K8" s="55">
        <f>IF('2023 Lønnsgr arbavg tjeneste'!E8&lt;100,0,(C8/$C$17)*'2023 Revekting utgiftsbehov'!E8*'2023 Arbavg tjeneste'!E8/'2023 Lønnsgr arbavg tjeneste'!E8)</f>
        <v>8.2689423218618337E-3</v>
      </c>
      <c r="L8" s="5">
        <f>IF('2023 Lønnsgr arbavg tjeneste'!E8&lt;100,0,C8)</f>
        <v>241960</v>
      </c>
      <c r="M8" s="55">
        <f>'2023 Revekting utgiftsbehov'!E8*L8/$L$17</f>
        <v>8.5049046958107458E-2</v>
      </c>
      <c r="N8" s="55">
        <f>'2023 Revekting utgiftsbehov'!E8/$M$17</f>
        <v>1.9381931214813777</v>
      </c>
      <c r="O8" s="55">
        <f>IF(L8=0,0,(L8/$L$17)*N8*'2023 Arbavg tjeneste'!E8/'2023 Lønnsgr arbavg tjeneste'!E8)</f>
        <v>8.2689423218618337E-3</v>
      </c>
      <c r="P8" s="5">
        <f>IF(L8=0,0,'[2]2023 Nto driftsutg landet'!$C$6*'2023 Lønnsand og arbavg landet'!$D$7*('2023 Arbavg tjeneste'!E8/'2023 Lønnsgr arbavg tjeneste'!E8-$O$17)*'2023 Revekting utgiftsbehov'!E8)</f>
        <v>-42.621253064532283</v>
      </c>
      <c r="Q8" s="5">
        <f t="shared" si="16"/>
        <v>-10312.638391494231</v>
      </c>
      <c r="R8" s="55">
        <f>IF('2023 Lønnsgr arbavg tjeneste'!F8&lt;100,0,(C8/$C$17)*'2023 Revekting utgiftsbehov'!F8*'2023 Arbavg tjeneste'!F8/'2023 Lønnsgr arbavg tjeneste'!F8)</f>
        <v>4.3488273176540112E-3</v>
      </c>
      <c r="S8" s="5">
        <f>IF('2023 Lønnsgr arbavg tjeneste'!F8&lt;100,0,C8)</f>
        <v>241960</v>
      </c>
      <c r="T8" s="55">
        <f>'2023 Revekting utgiftsbehov'!F8*S8/$S$17</f>
        <v>5.9448411678979497E-2</v>
      </c>
      <c r="U8" s="55">
        <f>'2023 Revekting utgiftsbehov'!F8/$T$17</f>
        <v>1.3547771165025086</v>
      </c>
      <c r="V8" s="55">
        <f>IF(S8=0,0,(S8/$S$17)*U8*'2023 Arbavg tjeneste'!F8/'2023 Lønnsgr arbavg tjeneste'!F8)</f>
        <v>4.3488273176540112E-3</v>
      </c>
      <c r="W8" s="5">
        <f>IF(S8=0,0,'[2]2023 Nto driftsutg landet'!$C$7*'2023 Lønnsand og arbavg landet'!$D$8*('2023 Arbavg tjeneste'!F8/'2023 Lønnsgr arbavg tjeneste'!F8-$V$17)*'2023 Revekting utgiftsbehov'!F8)</f>
        <v>-4.0658577305602766</v>
      </c>
      <c r="X8" s="5">
        <f t="shared" si="17"/>
        <v>-983.77493648636448</v>
      </c>
      <c r="Y8" s="55">
        <f>IF('2023 Lønnsgr arbavg tjeneste'!G8&lt;100,0,(C8/$C$17)*'2023 Revekting utgiftsbehov'!G8*'2023 Arbavg tjeneste'!G8/'2023 Lønnsgr arbavg tjeneste'!G8)</f>
        <v>1.6940277724998641E-2</v>
      </c>
      <c r="Z8" s="5">
        <f>IF('2023 Lønnsgr arbavg tjeneste'!G8&lt;100,0,C8)</f>
        <v>241960</v>
      </c>
      <c r="AA8" s="55">
        <f>'2023 Revekting utgiftsbehov'!G8*Z8/$Z$17</f>
        <v>0.52485798422779961</v>
      </c>
      <c r="AB8" s="55">
        <f>'2023 Revekting utgiftsbehov'!G8/$AA$17</f>
        <v>3.2389689542976696</v>
      </c>
      <c r="AC8" s="55">
        <f>IF(Z8=0,0,(Z8/$Z$17)*AB8*'2023 Arbavg tjeneste'!G8/'2023 Lønnsgr arbavg tjeneste'!G8)</f>
        <v>2.3766848857620308E-2</v>
      </c>
      <c r="AD8" s="5">
        <f>IF(Z8=0,0,'[2]2023 Nto driftsutg landet'!$C$8*'2023 Lønnsand og arbavg landet'!$D$9*('2023 Arbavg tjeneste'!G8/'2023 Lønnsgr arbavg tjeneste'!G8-$AC$17)*'2023 Revekting utgiftsbehov'!G8)</f>
        <v>-0.5713581752945085</v>
      </c>
      <c r="AE8" s="5">
        <f t="shared" si="18"/>
        <v>-138.24582409425926</v>
      </c>
      <c r="AF8" s="55">
        <f>IF('2023 Lønnsgr arbavg tjeneste'!H8&lt;100,0,(C8/$C$17)*'2023 Revekting utgiftsbehov'!H8*'2023 Arbavg tjeneste'!H8/'2023 Lønnsgr arbavg tjeneste'!H8)</f>
        <v>2.8510036855602452E-3</v>
      </c>
      <c r="AG8" s="5">
        <f>IF('2023 Lønnsgr arbavg tjeneste'!H8&lt;100,0,C8)</f>
        <v>241960</v>
      </c>
      <c r="AH8" s="55">
        <f>'2023 Revekting utgiftsbehov'!H8*AG8/$AG$17</f>
        <v>5.0925677592769274E-2</v>
      </c>
      <c r="AI8" s="55">
        <f>'2023 Revekting utgiftsbehov'!H8/$AH$17</f>
        <v>1.1605514881983592</v>
      </c>
      <c r="AJ8" s="55">
        <f>IF(AG8=0,0,(AG8/$AG$17)*AI8*'2023 Arbavg tjeneste'!H8/'2023 Lønnsgr arbavg tjeneste'!H8)</f>
        <v>2.8510036855602452E-3</v>
      </c>
      <c r="AK8" s="5">
        <f>IF(AG8=0,0,'[2]2023 Nto driftsutg landet'!$C$9*'2023 Lønnsand og arbavg landet'!$D$10*('2023 Arbavg tjeneste'!H8/'2023 Lønnsgr arbavg tjeneste'!H8-$AJ$17)*'2023 Revekting utgiftsbehov'!H8)</f>
        <v>-31.694480285384508</v>
      </c>
      <c r="AL8" s="5">
        <f t="shared" si="19"/>
        <v>-7668.7964498516358</v>
      </c>
      <c r="AM8" s="55">
        <f>IF('2023 Lønnsgr arbavg tjeneste'!K8&lt;100,0,(C8/$C$17)*'2023 Arbavg tjeneste'!K8/'2023 Lønnsgr arbavg tjeneste'!K8)</f>
        <v>3.190113327794287E-3</v>
      </c>
      <c r="AN8" s="5">
        <f>IF('2023 Lønnsgr arbavg tjeneste'!K8&lt;100,0,C8)</f>
        <v>241960</v>
      </c>
      <c r="AO8" s="55">
        <f t="shared" si="3"/>
        <v>4.3880584455435342E-2</v>
      </c>
      <c r="AP8" s="55">
        <f t="shared" si="4"/>
        <v>1</v>
      </c>
      <c r="AQ8" s="55">
        <f>IF(AN8=0,0,(AN8/$AN$17)*AP8*'2023 Arbavg tjeneste'!K8/'2023 Lønnsgr arbavg tjeneste'!K8)</f>
        <v>3.190113327794287E-3</v>
      </c>
      <c r="AR8" s="5">
        <f>IF(AN8=0,0,'[2]2023 Nto driftsutg landet'!$C$23*'2023 Lønnsand og arbavg landet'!$D$13*('2023 Arbavg tjeneste'!K8/'2023 Lønnsgr arbavg tjeneste'!K8-$AQ$17))</f>
        <v>-24.319676607356044</v>
      </c>
      <c r="AS8" s="5">
        <f t="shared" si="20"/>
        <v>-5884.3889519158683</v>
      </c>
      <c r="AT8" s="55">
        <f>IF('2023 Lønnsgr arbavg tjeneste'!L8&lt;100,0,(C8/$C$17)*'2023 Arbavg tjeneste'!L8/'2023 Lønnsgr arbavg tjeneste'!L8)</f>
        <v>3.0473469530697193E-3</v>
      </c>
      <c r="AU8" s="5">
        <f>IF('2023 Lønnsgr arbavg tjeneste'!L8&lt;100,0,C8)</f>
        <v>241960</v>
      </c>
      <c r="AV8" s="55">
        <f t="shared" si="5"/>
        <v>5.0385890617887286E-2</v>
      </c>
      <c r="AW8" s="55">
        <f t="shared" si="6"/>
        <v>1</v>
      </c>
      <c r="AX8" s="55">
        <f>IF(AU8=0,0,(AU8/$AU$17)*AW8*'2023 Arbavg tjeneste'!L8/'2023 Lønnsgr arbavg tjeneste'!L8)</f>
        <v>3.499116799778725E-3</v>
      </c>
      <c r="AY8" s="5">
        <f>IF(AU8=0,0,'[2]2023 Nto driftsutg landet'!$C$24*'2023 Lønnsand og arbavg landet'!$D$14*('2023 Arbavg tjeneste'!L8/'2023 Lønnsgr arbavg tjeneste'!L8-$AX$17))</f>
        <v>-4.0257977065586736</v>
      </c>
      <c r="AZ8" s="5">
        <f t="shared" si="21"/>
        <v>-974.08201307893671</v>
      </c>
      <c r="BA8" s="55">
        <f>IF('2023 Lønnsgr arbavg tjeneste'!M8&lt;100,0,(C8/$C$17)*'2023 Arbavg tjeneste'!M8/'2023 Lønnsgr arbavg tjeneste'!M8)</f>
        <v>3.2604373065383821E-3</v>
      </c>
      <c r="BB8" s="5">
        <f>IF('2023 Lønnsgr arbavg tjeneste'!M8&lt;100,0,C8)</f>
        <v>241960</v>
      </c>
      <c r="BC8" s="55">
        <f t="shared" si="7"/>
        <v>5.0385890617887286E-2</v>
      </c>
      <c r="BD8" s="55">
        <f t="shared" si="8"/>
        <v>1</v>
      </c>
      <c r="BE8" s="55">
        <f>IF(BB8=0,0,(BB8/$BB$17)*BD8*'2023 Arbavg tjeneste'!M8/'2023 Lønnsgr arbavg tjeneste'!M8)</f>
        <v>3.7437978443646994E-3</v>
      </c>
      <c r="BF8" s="5">
        <f>IF(BB8=0,0,'[2]2023 Nto driftsutg landet'!$C$25*'2023 Lønnsand og arbavg landet'!$D$15*('2023 Arbavg tjeneste'!M8/'2023 Lønnsgr arbavg tjeneste'!M8-$BE$17))</f>
        <v>0.29863097439263747</v>
      </c>
      <c r="BG8" s="5">
        <f t="shared" si="22"/>
        <v>72.256750564042562</v>
      </c>
      <c r="BH8" s="55">
        <f>IF('2023 Lønnsgr arbavg tjeneste'!N8&lt;100,0,(C8/$C$17)*'2023 Arbavg tjeneste'!N8/'2023 Lønnsgr arbavg tjeneste'!N8)</f>
        <v>2.6252087625410849E-3</v>
      </c>
      <c r="BI8" s="5">
        <f>IF('2023 Lønnsgr arbavg tjeneste'!N8&lt;100,0,C8)</f>
        <v>241960</v>
      </c>
      <c r="BJ8" s="55">
        <f t="shared" si="9"/>
        <v>4.3880584455435342E-2</v>
      </c>
      <c r="BK8" s="55">
        <f t="shared" si="10"/>
        <v>1</v>
      </c>
      <c r="BL8" s="55">
        <f>IF(BI8=0,0,(BI8/$BI$17)*BK8*'2023 Arbavg tjeneste'!N8/'2023 Lønnsgr arbavg tjeneste'!N8)</f>
        <v>2.6252087625410849E-3</v>
      </c>
      <c r="BM8" s="5">
        <f>IF(BI8=0,0,'[2]2023 Nto driftsutg landet'!$C$26*'2023 Lønnsand og arbavg landet'!$D$16*('2023 Arbavg tjeneste'!N8/'2023 Lønnsgr arbavg tjeneste'!N8-$BL$17))</f>
        <v>-2.4838924680038228</v>
      </c>
      <c r="BN8" s="5">
        <f t="shared" si="23"/>
        <v>-601.00262155820496</v>
      </c>
      <c r="BO8" s="55">
        <f>IF('2023 Lønnsgr arbavg tjeneste'!O8&lt;100,0,(C8/$C$17)*'2023 Arbavg tjeneste'!O8/'2023 Lønnsgr arbavg tjeneste'!O8)</f>
        <v>0</v>
      </c>
      <c r="BP8" s="5">
        <f>IF('2023 Lønnsgr arbavg tjeneste'!O8&lt;100,0,C8)</f>
        <v>0</v>
      </c>
      <c r="BQ8" s="55">
        <f t="shared" si="11"/>
        <v>0</v>
      </c>
      <c r="BR8" s="55">
        <f t="shared" si="12"/>
        <v>1</v>
      </c>
      <c r="BS8" s="55">
        <f>IF(BP8=0,0,(BP8/$BP$17)*BR8*'2023 Arbavg tjeneste'!O8/'2023 Lønnsgr arbavg tjeneste'!O8)</f>
        <v>0</v>
      </c>
      <c r="BT8" s="5">
        <f>IF(BP8=0,0,'[2]2023 Nto driftsutg landet'!$C$27*'2023 Lønnsand og arbavg landet'!$D$17*('2023 Arbavg tjeneste'!O8/'2023 Lønnsgr arbavg tjeneste'!O8-$BS$17))</f>
        <v>0</v>
      </c>
      <c r="BU8" s="5">
        <f t="shared" si="24"/>
        <v>0</v>
      </c>
      <c r="BV8" s="55">
        <f>IF('2023 Lønnsgr arbavg tjeneste'!P8&lt;100,0,(C8/$C$17)*'2023 Arbavg tjeneste'!P8/'2023 Lønnsgr arbavg tjeneste'!P8)</f>
        <v>0</v>
      </c>
      <c r="BW8" s="5">
        <f>IF('2023 Lønnsgr arbavg tjeneste'!P8&lt;100,0,C8)</f>
        <v>0</v>
      </c>
      <c r="BX8" s="55">
        <f t="shared" si="13"/>
        <v>0</v>
      </c>
      <c r="BY8" s="55">
        <f t="shared" si="14"/>
        <v>1</v>
      </c>
      <c r="BZ8" s="55">
        <f>IF(BW8=0,0,(BW8/$BW$17)*BY8*'2023 Arbavg tjeneste'!P8/'2023 Lønnsgr arbavg tjeneste'!P8)</f>
        <v>0</v>
      </c>
      <c r="CA8" s="5">
        <f>IF(BW8=0,0,'[2]2023 Nto driftsutg landet'!$C$28*'2023 Lønnsand og arbavg landet'!$D$18*('2023 Arbavg tjeneste'!P8/'2023 Lønnsgr arbavg tjeneste'!P8-$BZ$17))</f>
        <v>0</v>
      </c>
      <c r="CB8" s="5">
        <f t="shared" si="25"/>
        <v>0</v>
      </c>
      <c r="CC8" s="5"/>
      <c r="CD8" s="5"/>
      <c r="CE8" s="5"/>
    </row>
    <row r="9" spans="1:83" x14ac:dyDescent="0.3">
      <c r="A9" s="41">
        <v>3000</v>
      </c>
      <c r="B9" s="42" t="s">
        <v>403</v>
      </c>
      <c r="C9" s="42">
        <f>+'2023 Nto driftsutg'!W9</f>
        <v>1300096</v>
      </c>
      <c r="D9" s="55">
        <f>IF('2023 Lønnsgr arbavg tjeneste'!D9&lt;100,0,(C9/$C$17)*'2023 Revekting utgiftsbehov'!D9*'2023 Arbavg tjeneste'!D9/'2023 Lønnsgr arbavg tjeneste'!D9)</f>
        <v>3.4481185123041949E-2</v>
      </c>
      <c r="E9" s="5">
        <f>IF('2023 Lønnsgr arbavg tjeneste'!D9&lt;100,0,C9)</f>
        <v>1300096</v>
      </c>
      <c r="F9" s="55">
        <f>'2023 Revekting utgiftsbehov'!D9*E9/$E$17</f>
        <v>0.23836049048609598</v>
      </c>
      <c r="G9" s="55">
        <f>'2023 Revekting utgiftsbehov'!D9/$F$17</f>
        <v>1.0109508011160719</v>
      </c>
      <c r="H9" s="55">
        <f>IF(E9=0,0,(E9/$E$17)*G9*'2023 Arbavg tjeneste'!D9/'2023 Lønnsgr arbavg tjeneste'!D9)</f>
        <v>3.4481185123041956E-2</v>
      </c>
      <c r="I9" s="5">
        <f>IF(E9=0,0,'[2]2023 Nto driftsutg landet'!$C$5*'2023 Lønnsand og arbavg landet'!$D$6*('2023 Arbavg tjeneste'!D9/'2023 Lønnsgr arbavg tjeneste'!D9-$H$17)*'2023 Revekting utgiftsbehov'!D9)</f>
        <v>63.597928827574776</v>
      </c>
      <c r="J9" s="5">
        <f t="shared" si="15"/>
        <v>82683.412877014649</v>
      </c>
      <c r="K9" s="55">
        <f>IF('2023 Lønnsgr arbavg tjeneste'!E9&lt;100,0,(C9/$C$17)*'2023 Revekting utgiftsbehov'!E9*'2023 Arbavg tjeneste'!E9/'2023 Lønnsgr arbavg tjeneste'!E9)</f>
        <v>3.6840725290181592E-2</v>
      </c>
      <c r="L9" s="5">
        <f>IF('2023 Lønnsgr arbavg tjeneste'!E9&lt;100,0,C9)</f>
        <v>1300096</v>
      </c>
      <c r="M9" s="55">
        <f>'2023 Revekting utgiftsbehov'!E9*L9/$L$17</f>
        <v>0.14294762646220679</v>
      </c>
      <c r="N9" s="55">
        <f>'2023 Revekting utgiftsbehov'!E9/$M$17</f>
        <v>0.60627924197881555</v>
      </c>
      <c r="O9" s="55">
        <f>IF(L9=0,0,(L9/$L$17)*N9*'2023 Arbavg tjeneste'!E9/'2023 Lønnsgr arbavg tjeneste'!E9)</f>
        <v>3.6840725290181592E-2</v>
      </c>
      <c r="P9" s="5">
        <f>IF(L9=0,0,'[2]2023 Nto driftsutg landet'!$C$6*'2023 Lønnsand og arbavg landet'!$D$7*('2023 Arbavg tjeneste'!E9/'2023 Lønnsgr arbavg tjeneste'!E9-$O$17)*'2023 Revekting utgiftsbehov'!E9)</f>
        <v>3.7596244112094768</v>
      </c>
      <c r="Q9" s="5">
        <f t="shared" si="16"/>
        <v>4887.8726585157965</v>
      </c>
      <c r="R9" s="55">
        <f>IF('2023 Lønnsgr arbavg tjeneste'!F9&lt;100,0,(C9/$C$17)*'2023 Revekting utgiftsbehov'!F9*'2023 Arbavg tjeneste'!F9/'2023 Lønnsgr arbavg tjeneste'!F9)</f>
        <v>2.1206014373813371E-2</v>
      </c>
      <c r="S9" s="5">
        <f>IF('2023 Lønnsgr arbavg tjeneste'!F9&lt;100,0,C9)</f>
        <v>1300096</v>
      </c>
      <c r="T9" s="55">
        <f>'2023 Revekting utgiftsbehov'!F9*S9/$S$17</f>
        <v>0.15400471544489103</v>
      </c>
      <c r="U9" s="55">
        <f>'2023 Revekting utgiftsbehov'!F9/$T$17</f>
        <v>0.65317532338165341</v>
      </c>
      <c r="V9" s="55">
        <f>IF(S9=0,0,(S9/$S$17)*U9*'2023 Arbavg tjeneste'!F9/'2023 Lønnsgr arbavg tjeneste'!F9)</f>
        <v>2.1206014373813371E-2</v>
      </c>
      <c r="W9" s="5">
        <f>IF(S9=0,0,'[2]2023 Nto driftsutg landet'!$C$7*'2023 Lønnsand og arbavg landet'!$D$8*('2023 Arbavg tjeneste'!F9/'2023 Lønnsgr arbavg tjeneste'!F9-$V$17)*'2023 Revekting utgiftsbehov'!F9)</f>
        <v>0.15600710553995367</v>
      </c>
      <c r="X9" s="5">
        <f t="shared" si="17"/>
        <v>202.82421388407161</v>
      </c>
      <c r="Y9" s="55">
        <f>IF('2023 Lønnsgr arbavg tjeneste'!G9&lt;100,0,(C9/$C$17)*'2023 Revekting utgiftsbehov'!G9*'2023 Arbavg tjeneste'!G9/'2023 Lønnsgr arbavg tjeneste'!G9)</f>
        <v>0</v>
      </c>
      <c r="Z9" s="5">
        <f>IF('2023 Lønnsgr arbavg tjeneste'!G9&lt;100,0,C9)</f>
        <v>0</v>
      </c>
      <c r="AA9" s="55">
        <f>'2023 Revekting utgiftsbehov'!G9*Z9/$Z$17</f>
        <v>0</v>
      </c>
      <c r="AB9" s="55">
        <f>'2023 Revekting utgiftsbehov'!G9/$AA$17</f>
        <v>1.613655188161597E-2</v>
      </c>
      <c r="AC9" s="55">
        <f>IF(Z9=0,0,(Z9/$Z$17)*AB9*'2023 Arbavg tjeneste'!G9/'2023 Lønnsgr arbavg tjeneste'!G9)</f>
        <v>0</v>
      </c>
      <c r="AD9" s="5">
        <f>IF(Z9=0,0,'[2]2023 Nto driftsutg landet'!$C$8*'2023 Lønnsand og arbavg landet'!$D$9*('2023 Arbavg tjeneste'!G9/'2023 Lønnsgr arbavg tjeneste'!G9-$AC$17)*'2023 Revekting utgiftsbehov'!G9)</f>
        <v>0</v>
      </c>
      <c r="AE9" s="5">
        <f t="shared" si="18"/>
        <v>0</v>
      </c>
      <c r="AF9" s="55">
        <f>IF('2023 Lønnsgr arbavg tjeneste'!H9&lt;100,0,(C9/$C$17)*'2023 Revekting utgiftsbehov'!H9*'2023 Arbavg tjeneste'!H9/'2023 Lønnsgr arbavg tjeneste'!H9)</f>
        <v>3.2523922011160465E-2</v>
      </c>
      <c r="AG9" s="5">
        <f>IF('2023 Lønnsgr arbavg tjeneste'!H9&lt;100,0,C9)</f>
        <v>1300096</v>
      </c>
      <c r="AH9" s="55">
        <f>'2023 Revekting utgiftsbehov'!H9*AG9/$AG$17</f>
        <v>0.22743207422836331</v>
      </c>
      <c r="AI9" s="55">
        <f>'2023 Revekting utgiftsbehov'!H9/$AH$17</f>
        <v>0.96460045526742033</v>
      </c>
      <c r="AJ9" s="55">
        <f>IF(AG9=0,0,(AG9/$AG$17)*AI9*'2023 Arbavg tjeneste'!H9/'2023 Lønnsgr arbavg tjeneste'!H9)</f>
        <v>3.2523922011160465E-2</v>
      </c>
      <c r="AK9" s="5">
        <f>IF(AG9=0,0,'[2]2023 Nto driftsutg landet'!$C$9*'2023 Lønnsand og arbavg landet'!$D$10*('2023 Arbavg tjeneste'!H9/'2023 Lønnsgr arbavg tjeneste'!H9-$AJ$17)*'2023 Revekting utgiftsbehov'!H9)</f>
        <v>5.9889667847064798</v>
      </c>
      <c r="AL9" s="5">
        <f t="shared" si="19"/>
        <v>7786.2317609297561</v>
      </c>
      <c r="AM9" s="55">
        <f>IF('2023 Lønnsgr arbavg tjeneste'!K9&lt;100,0,(C9/$C$17)*'2023 Arbavg tjeneste'!K9/'2023 Lønnsgr arbavg tjeneste'!K9)</f>
        <v>1.339663969377901E-2</v>
      </c>
      <c r="AN9" s="5">
        <f>IF('2023 Lønnsgr arbavg tjeneste'!K9&lt;100,0,C9)</f>
        <v>1300096</v>
      </c>
      <c r="AO9" s="55">
        <f t="shared" si="3"/>
        <v>0.23577852673240896</v>
      </c>
      <c r="AP9" s="55">
        <f t="shared" si="4"/>
        <v>1</v>
      </c>
      <c r="AQ9" s="55">
        <f>IF(AN9=0,0,(AN9/$AN$17)*AP9*'2023 Arbavg tjeneste'!K9/'2023 Lønnsgr arbavg tjeneste'!K9)</f>
        <v>1.339663969377901E-2</v>
      </c>
      <c r="AR9" s="5">
        <f>IF(AN9=0,0,'[2]2023 Nto driftsutg landet'!$C$23*'2023 Lønnsand og arbavg landet'!$D$13*('2023 Arbavg tjeneste'!K9/'2023 Lønnsgr arbavg tjeneste'!K9-$AQ$17))</f>
        <v>-32.098074667801605</v>
      </c>
      <c r="AS9" s="5">
        <f t="shared" si="20"/>
        <v>-41730.578483310193</v>
      </c>
      <c r="AT9" s="55">
        <f>IF('2023 Lønnsgr arbavg tjeneste'!L9&lt;100,0,(C9/$C$17)*'2023 Arbavg tjeneste'!L9/'2023 Lønnsgr arbavg tjeneste'!L9)</f>
        <v>3.4093959835235159E-2</v>
      </c>
      <c r="AU9" s="5">
        <f>IF('2023 Lønnsgr arbavg tjeneste'!L9&lt;100,0,C9)</f>
        <v>1300096</v>
      </c>
      <c r="AV9" s="55">
        <f t="shared" si="5"/>
        <v>0.27073274445673989</v>
      </c>
      <c r="AW9" s="55">
        <f t="shared" si="6"/>
        <v>1</v>
      </c>
      <c r="AX9" s="55">
        <f>IF(AU9=0,0,(AU9/$AU$17)*AW9*'2023 Arbavg tjeneste'!L9/'2023 Lønnsgr arbavg tjeneste'!L9)</f>
        <v>3.9148396775194189E-2</v>
      </c>
      <c r="AY9" s="5">
        <f>IF(AU9=0,0,'[2]2023 Nto driftsutg landet'!$C$24*'2023 Lønnsand og arbavg landet'!$D$14*('2023 Arbavg tjeneste'!L9/'2023 Lønnsgr arbavg tjeneste'!L9-$AX$17))</f>
        <v>0.77946454885653516</v>
      </c>
      <c r="AZ9" s="5">
        <f t="shared" si="21"/>
        <v>1013.378742110186</v>
      </c>
      <c r="BA9" s="55">
        <f>IF('2023 Lønnsgr arbavg tjeneste'!M9&lt;100,0,(C9/$C$17)*'2023 Arbavg tjeneste'!M9/'2023 Lønnsgr arbavg tjeneste'!M9)</f>
        <v>3.5576003868642826E-2</v>
      </c>
      <c r="BB9" s="5">
        <f>IF('2023 Lønnsgr arbavg tjeneste'!M9&lt;100,0,C9)</f>
        <v>1300096</v>
      </c>
      <c r="BC9" s="55">
        <f t="shared" si="7"/>
        <v>0.27073274445673989</v>
      </c>
      <c r="BD9" s="55">
        <f t="shared" si="8"/>
        <v>1</v>
      </c>
      <c r="BE9" s="55">
        <f>IF(BB9=0,0,(BB9/$BB$17)*BD9*'2023 Arbavg tjeneste'!M9/'2023 Lønnsgr arbavg tjeneste'!M9)</f>
        <v>4.0850154157984042E-2</v>
      </c>
      <c r="BF9" s="5">
        <f>IF(BB9=0,0,'[2]2023 Nto driftsutg landet'!$C$25*'2023 Lønnsand og arbavg landet'!$D$15*('2023 Arbavg tjeneste'!M9/'2023 Lønnsgr arbavg tjeneste'!M9-$BE$17))</f>
        <v>-7.6876003036193144E-2</v>
      </c>
      <c r="BG9" s="5">
        <f t="shared" si="22"/>
        <v>-99.946184043342569</v>
      </c>
      <c r="BH9" s="55">
        <f>IF('2023 Lønnsgr arbavg tjeneste'!N9&lt;100,0,(C9/$C$17)*'2023 Arbavg tjeneste'!N9/'2023 Lønnsgr arbavg tjeneste'!N9)</f>
        <v>3.4093863126206742E-2</v>
      </c>
      <c r="BI9" s="5">
        <f>IF('2023 Lønnsgr arbavg tjeneste'!N9&lt;100,0,C9)</f>
        <v>1300096</v>
      </c>
      <c r="BJ9" s="55">
        <f t="shared" si="9"/>
        <v>0.23577852673240896</v>
      </c>
      <c r="BK9" s="55">
        <f t="shared" si="10"/>
        <v>1</v>
      </c>
      <c r="BL9" s="55">
        <f>IF(BI9=0,0,(BI9/$BI$17)*BK9*'2023 Arbavg tjeneste'!N9/'2023 Lønnsgr arbavg tjeneste'!N9)</f>
        <v>3.4093863126206742E-2</v>
      </c>
      <c r="BM9" s="5">
        <f>IF(BI9=0,0,'[2]2023 Nto driftsutg landet'!$C$26*'2023 Lønnsand og arbavg landet'!$D$16*('2023 Arbavg tjeneste'!N9/'2023 Lønnsgr arbavg tjeneste'!N9-$BL$17))</f>
        <v>0.50613257922647104</v>
      </c>
      <c r="BN9" s="5">
        <f t="shared" si="23"/>
        <v>658.02094172201805</v>
      </c>
      <c r="BO9" s="55">
        <f>IF('2023 Lønnsgr arbavg tjeneste'!O9&lt;100,0,(C9/$C$17)*'2023 Arbavg tjeneste'!O9/'2023 Lønnsgr arbavg tjeneste'!O9)</f>
        <v>3.4237478502934383E-2</v>
      </c>
      <c r="BP9" s="5">
        <f>IF('2023 Lønnsgr arbavg tjeneste'!O9&lt;100,0,C9)</f>
        <v>1300096</v>
      </c>
      <c r="BQ9" s="55">
        <f t="shared" si="11"/>
        <v>0.75098010107445767</v>
      </c>
      <c r="BR9" s="55">
        <f t="shared" si="12"/>
        <v>1</v>
      </c>
      <c r="BS9" s="55">
        <f>IF(BP9=0,0,(BP9/$BP$17)*BR9*'2023 Arbavg tjeneste'!O9/'2023 Lønnsgr arbavg tjeneste'!O9)</f>
        <v>0.10905007094157075</v>
      </c>
      <c r="BT9" s="5">
        <f>IF(BP9=0,0,'[2]2023 Nto driftsutg landet'!$C$27*'2023 Lønnsand og arbavg landet'!$D$17*('2023 Arbavg tjeneste'!O9/'2023 Lønnsgr arbavg tjeneste'!O9-$BS$17))</f>
        <v>4.187712986532117E-3</v>
      </c>
      <c r="BU9" s="5">
        <f t="shared" si="24"/>
        <v>5.4444289029384594</v>
      </c>
      <c r="BV9" s="55">
        <f>IF('2023 Lønnsgr arbavg tjeneste'!P9&lt;100,0,(C9/$C$17)*'2023 Arbavg tjeneste'!P9/'2023 Lønnsgr arbavg tjeneste'!P9)</f>
        <v>3.3566942927934558E-2</v>
      </c>
      <c r="BW9" s="5">
        <f>IF('2023 Lønnsgr arbavg tjeneste'!P9&lt;100,0,C9)</f>
        <v>1300096</v>
      </c>
      <c r="BX9" s="55">
        <f t="shared" si="13"/>
        <v>0.3411808762819909</v>
      </c>
      <c r="BY9" s="55">
        <f t="shared" si="14"/>
        <v>1</v>
      </c>
      <c r="BZ9" s="55">
        <f>IF(BW9=0,0,(BW9/$BW$17)*BY9*'2023 Arbavg tjeneste'!P9/'2023 Lønnsgr arbavg tjeneste'!P9)</f>
        <v>4.8572697272207102E-2</v>
      </c>
      <c r="CA9" s="5">
        <f>IF(BW9=0,0,'[2]2023 Nto driftsutg landet'!$C$28*'2023 Lønnsand og arbavg landet'!$D$18*('2023 Arbavg tjeneste'!P9/'2023 Lønnsgr arbavg tjeneste'!P9-$BZ$17))</f>
        <v>-1.1272422151664085E-2</v>
      </c>
      <c r="CB9" s="5">
        <f t="shared" si="25"/>
        <v>-14.655230949689871</v>
      </c>
      <c r="CC9" s="5"/>
      <c r="CD9" s="5"/>
      <c r="CE9" s="5"/>
    </row>
    <row r="10" spans="1:83" x14ac:dyDescent="0.3">
      <c r="A10" s="41">
        <v>3400</v>
      </c>
      <c r="B10" s="42" t="s">
        <v>404</v>
      </c>
      <c r="C10" s="42">
        <f>+'2023 Nto driftsutg'!W10</f>
        <v>374624</v>
      </c>
      <c r="D10" s="55">
        <f>IF('2023 Lønnsgr arbavg tjeneste'!D10&lt;100,0,(C10/$C$17)*'2023 Revekting utgiftsbehov'!D10*'2023 Arbavg tjeneste'!D10/'2023 Lønnsgr arbavg tjeneste'!D10)</f>
        <v>8.6450684291483962E-3</v>
      </c>
      <c r="E10" s="5">
        <f>IF('2023 Lønnsgr arbavg tjeneste'!D10&lt;100,0,C10)</f>
        <v>374624</v>
      </c>
      <c r="F10" s="55">
        <f>'2023 Revekting utgiftsbehov'!D10*E10/$E$17</f>
        <v>6.8363758514205994E-2</v>
      </c>
      <c r="G10" s="55">
        <f>'2023 Revekting utgiftsbehov'!D10/$F$17</f>
        <v>1.0062398373243806</v>
      </c>
      <c r="H10" s="55">
        <f>IF(E10=0,0,(E10/$E$17)*G10*'2023 Arbavg tjeneste'!D10/'2023 Lønnsgr arbavg tjeneste'!D10)</f>
        <v>8.6450684291483979E-3</v>
      </c>
      <c r="I10" s="5">
        <f>IF(E10=0,0,'[2]2023 Nto driftsutg landet'!$C$5*'2023 Lønnsand og arbavg landet'!$D$6*('2023 Arbavg tjeneste'!D10/'2023 Lønnsgr arbavg tjeneste'!D10-$H$17)*'2023 Revekting utgiftsbehov'!D10)</f>
        <v>-16.813868670400307</v>
      </c>
      <c r="J10" s="5">
        <f t="shared" si="15"/>
        <v>-6298.8787367800451</v>
      </c>
      <c r="K10" s="55">
        <f>IF('2023 Lønnsgr arbavg tjeneste'!E10&lt;100,0,(C10/$C$17)*'2023 Revekting utgiftsbehov'!E10*'2023 Arbavg tjeneste'!E10/'2023 Lønnsgr arbavg tjeneste'!E10)</f>
        <v>1.3031293826226241E-2</v>
      </c>
      <c r="L10" s="5">
        <f>IF('2023 Lønnsgr arbavg tjeneste'!E10&lt;100,0,C10)</f>
        <v>374624</v>
      </c>
      <c r="M10" s="55">
        <f>'2023 Revekting utgiftsbehov'!E10*L10/$L$17</f>
        <v>0.10309596274290869</v>
      </c>
      <c r="N10" s="55">
        <f>'2023 Revekting utgiftsbehov'!E10/$M$17</f>
        <v>1.5174599383336682</v>
      </c>
      <c r="O10" s="55">
        <f>IF(L10=0,0,(L10/$L$17)*N10*'2023 Arbavg tjeneste'!E10/'2023 Lønnsgr arbavg tjeneste'!E10)</f>
        <v>1.3031293826226241E-2</v>
      </c>
      <c r="P10" s="5">
        <f>IF(L10=0,0,'[2]2023 Nto driftsutg landet'!$C$6*'2023 Lønnsand og arbavg landet'!$D$7*('2023 Arbavg tjeneste'!E10/'2023 Lønnsgr arbavg tjeneste'!E10-$O$17)*'2023 Revekting utgiftsbehov'!E10)</f>
        <v>-25.593086029467319</v>
      </c>
      <c r="Q10" s="5">
        <f t="shared" si="16"/>
        <v>-9587.7842607031653</v>
      </c>
      <c r="R10" s="55">
        <f>IF('2023 Lønnsgr arbavg tjeneste'!F10&lt;100,0,(C10/$C$17)*'2023 Revekting utgiftsbehov'!F10*'2023 Arbavg tjeneste'!F10/'2023 Lønnsgr arbavg tjeneste'!F10)</f>
        <v>9.1107612466832417E-3</v>
      </c>
      <c r="S10" s="5">
        <f>IF('2023 Lønnsgr arbavg tjeneste'!F10&lt;100,0,C10)</f>
        <v>374624</v>
      </c>
      <c r="T10" s="55">
        <f>'2023 Revekting utgiftsbehov'!F10*S10/$S$17</f>
        <v>6.4073991734869287E-2</v>
      </c>
      <c r="U10" s="55">
        <f>'2023 Revekting utgiftsbehov'!F10/$T$17</f>
        <v>0.94309915694030932</v>
      </c>
      <c r="V10" s="55">
        <f>IF(S10=0,0,(S10/$S$17)*U10*'2023 Arbavg tjeneste'!F10/'2023 Lønnsgr arbavg tjeneste'!F10)</f>
        <v>9.1107612466832417E-3</v>
      </c>
      <c r="W10" s="5">
        <f>IF(S10=0,0,'[2]2023 Nto driftsutg landet'!$C$7*'2023 Lønnsand og arbavg landet'!$D$8*('2023 Arbavg tjeneste'!F10/'2023 Lønnsgr arbavg tjeneste'!F10-$V$17)*'2023 Revekting utgiftsbehov'!F10)</f>
        <v>0.43800969820412344</v>
      </c>
      <c r="X10" s="5">
        <f t="shared" si="17"/>
        <v>164.08894518002154</v>
      </c>
      <c r="Y10" s="55">
        <f>IF('2023 Lønnsgr arbavg tjeneste'!G10&lt;100,0,(C10/$C$17)*'2023 Revekting utgiftsbehov'!G10*'2023 Arbavg tjeneste'!G10/'2023 Lønnsgr arbavg tjeneste'!G10)</f>
        <v>5.8456848779830353E-4</v>
      </c>
      <c r="Z10" s="5">
        <f>IF('2023 Lønnsgr arbavg tjeneste'!G10&lt;100,0,C10)</f>
        <v>374624</v>
      </c>
      <c r="AA10" s="55">
        <f>'2023 Revekting utgiftsbehov'!G10*Z10/$Z$17</f>
        <v>9.1955629271275527E-3</v>
      </c>
      <c r="AB10" s="55">
        <f>'2023 Revekting utgiftsbehov'!G10/$AA$17</f>
        <v>3.6651459805514007E-2</v>
      </c>
      <c r="AC10" s="55">
        <f>IF(Z10=0,0,(Z10/$Z$17)*AB10*'2023 Arbavg tjeneste'!G10/'2023 Lønnsgr arbavg tjeneste'!G10)</f>
        <v>8.2013713836152891E-4</v>
      </c>
      <c r="AD10" s="5">
        <f>IF(Z10=0,0,'[2]2023 Nto driftsutg landet'!$C$8*'2023 Lønnsand og arbavg landet'!$D$9*('2023 Arbavg tjeneste'!G10/'2023 Lønnsgr arbavg tjeneste'!G10-$AC$17)*'2023 Revekting utgiftsbehov'!G10)</f>
        <v>1.0493639004220451E-2</v>
      </c>
      <c r="AE10" s="5">
        <f t="shared" si="18"/>
        <v>3.9311690183170822</v>
      </c>
      <c r="AF10" s="55">
        <f>IF('2023 Lønnsgr arbavg tjeneste'!H10&lt;100,0,(C10/$C$17)*'2023 Revekting utgiftsbehov'!H10*'2023 Arbavg tjeneste'!H10/'2023 Lønnsgr arbavg tjeneste'!H10)</f>
        <v>8.5649726696886679E-3</v>
      </c>
      <c r="AG10" s="5">
        <f>IF('2023 Lønnsgr arbavg tjeneste'!H10&lt;100,0,C10)</f>
        <v>374624</v>
      </c>
      <c r="AH10" s="55">
        <f>'2023 Revekting utgiftsbehov'!H10*AG10/$AG$17</f>
        <v>6.9410108271441728E-2</v>
      </c>
      <c r="AI10" s="55">
        <f>'2023 Revekting utgiftsbehov'!H10/$AH$17</f>
        <v>1.0216409626046192</v>
      </c>
      <c r="AJ10" s="55">
        <f>IF(AG10=0,0,(AG10/$AG$17)*AI10*'2023 Arbavg tjeneste'!H10/'2023 Lønnsgr arbavg tjeneste'!H10)</f>
        <v>8.5649726696886679E-3</v>
      </c>
      <c r="AK10" s="5">
        <f>IF(AG10=0,0,'[2]2023 Nto driftsutg landet'!$C$9*'2023 Lønnsand og arbavg landet'!$D$10*('2023 Arbavg tjeneste'!H10/'2023 Lønnsgr arbavg tjeneste'!H10-$AJ$17)*'2023 Revekting utgiftsbehov'!H10)</f>
        <v>-1.3730170049344332</v>
      </c>
      <c r="AL10" s="5">
        <f t="shared" si="19"/>
        <v>-514.36512245655717</v>
      </c>
      <c r="AM10" s="55">
        <f>IF('2023 Lønnsgr arbavg tjeneste'!K10&lt;100,0,(C10/$C$17)*'2023 Arbavg tjeneste'!K10/'2023 Lønnsgr arbavg tjeneste'!K10)</f>
        <v>9.8235994998307121E-3</v>
      </c>
      <c r="AN10" s="5">
        <f>IF('2023 Lønnsgr arbavg tjeneste'!K10&lt;100,0,C10)</f>
        <v>374624</v>
      </c>
      <c r="AO10" s="55">
        <f t="shared" si="3"/>
        <v>6.7939825057997241E-2</v>
      </c>
      <c r="AP10" s="55">
        <f t="shared" si="4"/>
        <v>1</v>
      </c>
      <c r="AQ10" s="55">
        <f>IF(AN10=0,0,(AN10/$AN$17)*AP10*'2023 Arbavg tjeneste'!K10/'2023 Lønnsgr arbavg tjeneste'!K10)</f>
        <v>9.8235994998307121E-3</v>
      </c>
      <c r="AR10" s="5">
        <f>IF(AN10=0,0,'[2]2023 Nto driftsutg landet'!$C$23*'2023 Lønnsand og arbavg landet'!$D$13*('2023 Arbavg tjeneste'!K10/'2023 Lønnsgr arbavg tjeneste'!K10-$AQ$17))</f>
        <v>10.892570826456817</v>
      </c>
      <c r="AS10" s="5">
        <f t="shared" si="20"/>
        <v>4080.6184532905586</v>
      </c>
      <c r="AT10" s="55">
        <f>IF('2023 Lønnsgr arbavg tjeneste'!L10&lt;100,0,(C10/$C$17)*'2023 Arbavg tjeneste'!L10/'2023 Lønnsgr arbavg tjeneste'!L10)</f>
        <v>9.6826609264877433E-3</v>
      </c>
      <c r="AU10" s="5">
        <f>IF('2023 Lønnsgr arbavg tjeneste'!L10&lt;100,0,C10)</f>
        <v>374624</v>
      </c>
      <c r="AV10" s="55">
        <f t="shared" si="5"/>
        <v>7.8011918857808754E-2</v>
      </c>
      <c r="AW10" s="55">
        <f t="shared" si="6"/>
        <v>1</v>
      </c>
      <c r="AX10" s="55">
        <f>IF(AU10=0,0,(AU10/$AU$17)*AW10*'2023 Arbavg tjeneste'!L10/'2023 Lønnsgr arbavg tjeneste'!L10)</f>
        <v>1.1118117508839873E-2</v>
      </c>
      <c r="AY10" s="5">
        <f>IF(AU10=0,0,'[2]2023 Nto driftsutg landet'!$C$24*'2023 Lønnsand og arbavg landet'!$D$14*('2023 Arbavg tjeneste'!L10/'2023 Lønnsgr arbavg tjeneste'!L10-$AX$17))</f>
        <v>0.64625386875411794</v>
      </c>
      <c r="AZ10" s="5">
        <f t="shared" si="21"/>
        <v>242.10220932814269</v>
      </c>
      <c r="BA10" s="55">
        <f>IF('2023 Lønnsgr arbavg tjeneste'!M10&lt;100,0,(C10/$C$17)*'2023 Arbavg tjeneste'!M10/'2023 Lønnsgr arbavg tjeneste'!M10)</f>
        <v>9.71778151807242E-3</v>
      </c>
      <c r="BB10" s="5">
        <f>IF('2023 Lønnsgr arbavg tjeneste'!M10&lt;100,0,C10)</f>
        <v>374624</v>
      </c>
      <c r="BC10" s="55">
        <f t="shared" si="7"/>
        <v>7.8011918857808754E-2</v>
      </c>
      <c r="BD10" s="55">
        <f t="shared" si="8"/>
        <v>1</v>
      </c>
      <c r="BE10" s="55">
        <f>IF(BB10=0,0,(BB10/$BB$17)*BD10*'2023 Arbavg tjeneste'!M10/'2023 Lønnsgr arbavg tjeneste'!M10)</f>
        <v>1.1158444735744025E-2</v>
      </c>
      <c r="BF10" s="5">
        <f>IF(BB10=0,0,'[2]2023 Nto driftsutg landet'!$C$25*'2023 Lønnsand og arbavg landet'!$D$15*('2023 Arbavg tjeneste'!M10/'2023 Lønnsgr arbavg tjeneste'!M10-$BE$17))</f>
        <v>-3.8375251141337358E-2</v>
      </c>
      <c r="BG10" s="5">
        <f t="shared" si="22"/>
        <v>-14.376290083572366</v>
      </c>
      <c r="BH10" s="55">
        <f>IF('2023 Lønnsgr arbavg tjeneste'!N10&lt;100,0,(C10/$C$17)*'2023 Arbavg tjeneste'!N10/'2023 Lønnsgr arbavg tjeneste'!N10)</f>
        <v>9.6326719555609504E-3</v>
      </c>
      <c r="BI10" s="5">
        <f>IF('2023 Lønnsgr arbavg tjeneste'!N10&lt;100,0,C10)</f>
        <v>374624</v>
      </c>
      <c r="BJ10" s="55">
        <f t="shared" si="9"/>
        <v>6.7939825057997241E-2</v>
      </c>
      <c r="BK10" s="55">
        <f t="shared" si="10"/>
        <v>1</v>
      </c>
      <c r="BL10" s="55">
        <f>IF(BI10=0,0,(BI10/$BI$17)*BK10*'2023 Arbavg tjeneste'!N10/'2023 Lønnsgr arbavg tjeneste'!N10)</f>
        <v>9.6326719555609504E-3</v>
      </c>
      <c r="BM10" s="5">
        <f>IF(BI10=0,0,'[2]2023 Nto driftsutg landet'!$C$26*'2023 Lønnsand og arbavg landet'!$D$16*('2023 Arbavg tjeneste'!N10/'2023 Lønnsgr arbavg tjeneste'!N10-$BL$17))</f>
        <v>0.40671264588035722</v>
      </c>
      <c r="BN10" s="5">
        <f t="shared" si="23"/>
        <v>152.36431825028293</v>
      </c>
      <c r="BO10" s="55">
        <f>IF('2023 Lønnsgr arbavg tjeneste'!O10&lt;100,0,(C10/$C$17)*'2023 Arbavg tjeneste'!O10/'2023 Lønnsgr arbavg tjeneste'!O10)</f>
        <v>0</v>
      </c>
      <c r="BP10" s="5">
        <f>IF('2023 Lønnsgr arbavg tjeneste'!O10&lt;100,0,C10)</f>
        <v>0</v>
      </c>
      <c r="BQ10" s="55">
        <f t="shared" si="11"/>
        <v>0</v>
      </c>
      <c r="BR10" s="55">
        <f t="shared" si="12"/>
        <v>1</v>
      </c>
      <c r="BS10" s="55">
        <f>IF(BP10=0,0,(BP10/$BP$17)*BR10*'2023 Arbavg tjeneste'!O10/'2023 Lønnsgr arbavg tjeneste'!O10)</f>
        <v>0</v>
      </c>
      <c r="BT10" s="5">
        <f>IF(BP10=0,0,'[2]2023 Nto driftsutg landet'!$C$27*'2023 Lønnsand og arbavg landet'!$D$17*('2023 Arbavg tjeneste'!O10/'2023 Lønnsgr arbavg tjeneste'!O10-$BS$17))</f>
        <v>0</v>
      </c>
      <c r="BU10" s="5">
        <f t="shared" si="24"/>
        <v>0</v>
      </c>
      <c r="BV10" s="55">
        <f>IF('2023 Lønnsgr arbavg tjeneste'!P10&lt;100,0,(C10/$C$17)*'2023 Arbavg tjeneste'!P10/'2023 Lønnsgr arbavg tjeneste'!P10)</f>
        <v>9.649108725354268E-3</v>
      </c>
      <c r="BW10" s="5">
        <f>IF('2023 Lønnsgr arbavg tjeneste'!P10&lt;100,0,C10)</f>
        <v>374624</v>
      </c>
      <c r="BX10" s="55">
        <f t="shared" si="13"/>
        <v>9.831162052361099E-2</v>
      </c>
      <c r="BY10" s="55">
        <f t="shared" si="14"/>
        <v>1</v>
      </c>
      <c r="BZ10" s="55">
        <f>IF(BW10=0,0,(BW10/$BW$17)*BY10*'2023 Arbavg tjeneste'!P10/'2023 Lønnsgr arbavg tjeneste'!P10)</f>
        <v>1.3962642891533763E-2</v>
      </c>
      <c r="CA10" s="5">
        <f>IF(BW10=0,0,'[2]2023 Nto driftsutg landet'!$C$28*'2023 Lønnsand og arbavg landet'!$D$18*('2023 Arbavg tjeneste'!P10/'2023 Lønnsgr arbavg tjeneste'!P10-$BZ$17))</f>
        <v>-9.84594669345038E-3</v>
      </c>
      <c r="CB10" s="5">
        <f t="shared" si="25"/>
        <v>-3.6885279340871553</v>
      </c>
      <c r="CC10" s="5"/>
      <c r="CD10" s="5"/>
      <c r="CE10" s="5"/>
    </row>
    <row r="11" spans="1:83" x14ac:dyDescent="0.3">
      <c r="A11" s="41">
        <v>3800</v>
      </c>
      <c r="B11" s="42" t="s">
        <v>405</v>
      </c>
      <c r="C11" s="42">
        <f>+'2023 Nto driftsutg'!W11</f>
        <v>431103</v>
      </c>
      <c r="D11" s="55">
        <f>IF('2023 Lønnsgr arbavg tjeneste'!D11&lt;100,0,(C11/$C$17)*'2023 Revekting utgiftsbehov'!D11*'2023 Arbavg tjeneste'!D11/'2023 Lønnsgr arbavg tjeneste'!D11)</f>
        <v>1.1259018055951097E-2</v>
      </c>
      <c r="E11" s="5">
        <f>IF('2023 Lønnsgr arbavg tjeneste'!D11&lt;100,0,C11)</f>
        <v>431103</v>
      </c>
      <c r="F11" s="55">
        <f>'2023 Revekting utgiftsbehov'!D11*E11/$E$17</f>
        <v>8.0113483607837141E-2</v>
      </c>
      <c r="G11" s="55">
        <f>'2023 Revekting utgiftsbehov'!D11/$F$17</f>
        <v>1.0246976591874706</v>
      </c>
      <c r="H11" s="55">
        <f>IF(E11=0,0,(E11/$E$17)*G11*'2023 Arbavg tjeneste'!D11/'2023 Lønnsgr arbavg tjeneste'!D11)</f>
        <v>1.1259018055951102E-2</v>
      </c>
      <c r="I11" s="5">
        <f>IF(E11=0,0,'[2]2023 Nto driftsutg landet'!$C$5*'2023 Lønnsand og arbavg landet'!$D$6*('2023 Arbavg tjeneste'!D11/'2023 Lønnsgr arbavg tjeneste'!D11-$H$17)*'2023 Revekting utgiftsbehov'!D11)</f>
        <v>45.990493203645293</v>
      </c>
      <c r="J11" s="5">
        <f t="shared" si="15"/>
        <v>19826.639591571096</v>
      </c>
      <c r="K11" s="55">
        <f>IF('2023 Lønnsgr arbavg tjeneste'!E11&lt;100,0,(C11/$C$17)*'2023 Revekting utgiftsbehov'!E11*'2023 Arbavg tjeneste'!E11/'2023 Lønnsgr arbavg tjeneste'!E11)</f>
        <v>9.9537738289604463E-3</v>
      </c>
      <c r="L11" s="5">
        <f>IF('2023 Lønnsgr arbavg tjeneste'!E11&lt;100,0,C11)</f>
        <v>431103</v>
      </c>
      <c r="M11" s="55">
        <f>'2023 Revekting utgiftsbehov'!E11*L11/$L$17</f>
        <v>6.8627385582169631E-2</v>
      </c>
      <c r="N11" s="55">
        <f>'2023 Revekting utgiftsbehov'!E11/$M$17</f>
        <v>0.87778384106275287</v>
      </c>
      <c r="O11" s="55">
        <f>IF(L11=0,0,(L11/$L$17)*N11*'2023 Arbavg tjeneste'!E11/'2023 Lønnsgr arbavg tjeneste'!E11)</f>
        <v>9.9537738289604463E-3</v>
      </c>
      <c r="P11" s="5">
        <f>IF(L11=0,0,'[2]2023 Nto driftsutg landet'!$C$6*'2023 Lønnsand og arbavg landet'!$D$7*('2023 Arbavg tjeneste'!E11/'2023 Lønnsgr arbavg tjeneste'!E11-$O$17)*'2023 Revekting utgiftsbehov'!E11)</f>
        <v>-11.93030743053427</v>
      </c>
      <c r="Q11" s="5">
        <f t="shared" si="16"/>
        <v>-5143.191324225616</v>
      </c>
      <c r="R11" s="55">
        <f>IF('2023 Lønnsgr arbavg tjeneste'!F11&lt;100,0,(C11/$C$17)*'2023 Revekting utgiftsbehov'!F11*'2023 Arbavg tjeneste'!F11/'2023 Lønnsgr arbavg tjeneste'!F11)</f>
        <v>7.4634676569005848E-3</v>
      </c>
      <c r="S11" s="5">
        <f>IF('2023 Lønnsgr arbavg tjeneste'!F11&lt;100,0,C11)</f>
        <v>431103</v>
      </c>
      <c r="T11" s="55">
        <f>'2023 Revekting utgiftsbehov'!F11*S11/$S$17</f>
        <v>5.2189562778583373E-2</v>
      </c>
      <c r="U11" s="55">
        <f>'2023 Revekting utgiftsbehov'!F11/$T$17</f>
        <v>0.66753460722060465</v>
      </c>
      <c r="V11" s="55">
        <f>IF(S11=0,0,(S11/$S$17)*U11*'2023 Arbavg tjeneste'!F11/'2023 Lønnsgr arbavg tjeneste'!F11)</f>
        <v>7.4634676569005848E-3</v>
      </c>
      <c r="W11" s="5">
        <f>IF(S11=0,0,'[2]2023 Nto driftsutg landet'!$C$7*'2023 Lønnsand og arbavg landet'!$D$8*('2023 Arbavg tjeneste'!F11/'2023 Lønnsgr arbavg tjeneste'!F11-$V$17)*'2023 Revekting utgiftsbehov'!F11)</f>
        <v>0.33735873043542769</v>
      </c>
      <c r="X11" s="5">
        <f t="shared" si="17"/>
        <v>145.43636076690419</v>
      </c>
      <c r="Y11" s="55">
        <f>IF('2023 Lønnsgr arbavg tjeneste'!G11&lt;100,0,(C11/$C$17)*'2023 Revekting utgiftsbehov'!G11*'2023 Arbavg tjeneste'!G11/'2023 Lønnsgr arbavg tjeneste'!G11)</f>
        <v>0</v>
      </c>
      <c r="Z11" s="5">
        <f>IF('2023 Lønnsgr arbavg tjeneste'!G11&lt;100,0,C11)</f>
        <v>0</v>
      </c>
      <c r="AA11" s="55">
        <f>'2023 Revekting utgiftsbehov'!G11*Z11/$Z$17</f>
        <v>0</v>
      </c>
      <c r="AB11" s="55">
        <f>'2023 Revekting utgiftsbehov'!G11/$AA$17</f>
        <v>8.2948097703551826E-2</v>
      </c>
      <c r="AC11" s="55">
        <f>IF(Z11=0,0,(Z11/$Z$17)*AB11*'2023 Arbavg tjeneste'!G11/'2023 Lønnsgr arbavg tjeneste'!G11)</f>
        <v>0</v>
      </c>
      <c r="AD11" s="5">
        <f>IF(Z11=0,0,'[2]2023 Nto driftsutg landet'!$C$8*'2023 Lønnsand og arbavg landet'!$D$9*('2023 Arbavg tjeneste'!G11/'2023 Lønnsgr arbavg tjeneste'!G11-$AC$17)*'2023 Revekting utgiftsbehov'!G11)</f>
        <v>0</v>
      </c>
      <c r="AE11" s="5">
        <f t="shared" si="18"/>
        <v>0</v>
      </c>
      <c r="AF11" s="55">
        <f>IF('2023 Lønnsgr arbavg tjeneste'!H11&lt;100,0,(C11/$C$17)*'2023 Revekting utgiftsbehov'!H11*'2023 Arbavg tjeneste'!H11/'2023 Lønnsgr arbavg tjeneste'!H11)</f>
        <v>1.058295420975677E-2</v>
      </c>
      <c r="AG11" s="5">
        <f>IF('2023 Lønnsgr arbavg tjeneste'!H11&lt;100,0,C11)</f>
        <v>431103</v>
      </c>
      <c r="AH11" s="55">
        <f>'2023 Revekting utgiftsbehov'!H11*AG11/$AG$17</f>
        <v>7.5470155003862935E-2</v>
      </c>
      <c r="AI11" s="55">
        <f>'2023 Revekting utgiftsbehov'!H11/$AH$17</f>
        <v>0.96530680839609195</v>
      </c>
      <c r="AJ11" s="55">
        <f>IF(AG11=0,0,(AG11/$AG$17)*AI11*'2023 Arbavg tjeneste'!H11/'2023 Lønnsgr arbavg tjeneste'!H11)</f>
        <v>1.058295420975677E-2</v>
      </c>
      <c r="AK11" s="5">
        <f>IF(AG11=0,0,'[2]2023 Nto driftsutg landet'!$C$9*'2023 Lønnsand og arbavg landet'!$D$10*('2023 Arbavg tjeneste'!H11/'2023 Lønnsgr arbavg tjeneste'!H11-$AJ$17)*'2023 Revekting utgiftsbehov'!H11)</f>
        <v>4.9604609080459108</v>
      </c>
      <c r="AL11" s="5">
        <f t="shared" si="19"/>
        <v>2138.469578841316</v>
      </c>
      <c r="AM11" s="55">
        <f>IF('2023 Lønnsgr arbavg tjeneste'!K11&lt;100,0,(C11/$C$17)*'2023 Arbavg tjeneste'!K11/'2023 Lønnsgr arbavg tjeneste'!K11)</f>
        <v>1.1370357742086321E-2</v>
      </c>
      <c r="AN11" s="5">
        <f>IF('2023 Lønnsgr arbavg tjeneste'!K11&lt;100,0,C11)</f>
        <v>431103</v>
      </c>
      <c r="AO11" s="55">
        <f t="shared" si="3"/>
        <v>7.8182557449543499E-2</v>
      </c>
      <c r="AP11" s="55">
        <f t="shared" si="4"/>
        <v>1</v>
      </c>
      <c r="AQ11" s="55">
        <f>IF(AN11=0,0,(AN11/$AN$17)*AP11*'2023 Arbavg tjeneste'!K11/'2023 Lønnsgr arbavg tjeneste'!K11)</f>
        <v>1.1370357742086321E-2</v>
      </c>
      <c r="AR11" s="5">
        <f>IF(AN11=0,0,'[2]2023 Nto driftsutg landet'!$C$23*'2023 Lønnsand og arbavg landet'!$D$13*('2023 Arbavg tjeneste'!K11/'2023 Lønnsgr arbavg tjeneste'!K11-$AQ$17))</f>
        <v>11.304375578778838</v>
      </c>
      <c r="AS11" s="5">
        <f t="shared" si="20"/>
        <v>4873.3502251382934</v>
      </c>
      <c r="AT11" s="55">
        <f>IF('2023 Lønnsgr arbavg tjeneste'!L11&lt;100,0,(C11/$C$17)*'2023 Arbavg tjeneste'!L11/'2023 Lønnsgr arbavg tjeneste'!L11)</f>
        <v>1.0721956631958815E-2</v>
      </c>
      <c r="AU11" s="5">
        <f>IF('2023 Lønnsgr arbavg tjeneste'!L11&lt;100,0,C11)</f>
        <v>431103</v>
      </c>
      <c r="AV11" s="55">
        <f t="shared" si="5"/>
        <v>8.9773138547871806E-2</v>
      </c>
      <c r="AW11" s="55">
        <f t="shared" si="6"/>
        <v>1</v>
      </c>
      <c r="AX11" s="55">
        <f>IF(AU11=0,0,(AU11/$AU$17)*AW11*'2023 Arbavg tjeneste'!L11/'2023 Lønnsgr arbavg tjeneste'!L11)</f>
        <v>1.2311489028052149E-2</v>
      </c>
      <c r="AY11" s="5">
        <f>IF(AU11=0,0,'[2]2023 Nto driftsutg landet'!$C$24*'2023 Lønnsand og arbavg landet'!$D$14*('2023 Arbavg tjeneste'!L11/'2023 Lønnsgr arbavg tjeneste'!L11-$AX$17))</f>
        <v>0.30238480659768285</v>
      </c>
      <c r="AZ11" s="5">
        <f t="shared" si="21"/>
        <v>130.35899727868087</v>
      </c>
      <c r="BA11" s="55">
        <f>IF('2023 Lønnsgr arbavg tjeneste'!M11&lt;100,0,(C11/$C$17)*'2023 Arbavg tjeneste'!M11/'2023 Lønnsgr arbavg tjeneste'!M11)</f>
        <v>1.1833637279524885E-2</v>
      </c>
      <c r="BB11" s="5">
        <f>IF('2023 Lønnsgr arbavg tjeneste'!M11&lt;100,0,C11)</f>
        <v>431103</v>
      </c>
      <c r="BC11" s="55">
        <f t="shared" si="7"/>
        <v>8.9773138547871806E-2</v>
      </c>
      <c r="BD11" s="55">
        <f t="shared" si="8"/>
        <v>1</v>
      </c>
      <c r="BE11" s="55">
        <f>IF(BB11=0,0,(BB11/$BB$17)*BD11*'2023 Arbavg tjeneste'!M11/'2023 Lønnsgr arbavg tjeneste'!M11)</f>
        <v>1.3587976572724038E-2</v>
      </c>
      <c r="BF11" s="5">
        <f>IF(BB11=0,0,'[2]2023 Nto driftsutg landet'!$C$25*'2023 Lønnsand og arbavg landet'!$D$15*('2023 Arbavg tjeneste'!M11/'2023 Lønnsgr arbavg tjeneste'!M11-$BE$17))</f>
        <v>-7.918865541797071E-2</v>
      </c>
      <c r="BG11" s="5">
        <f t="shared" si="22"/>
        <v>-34.138466916653428</v>
      </c>
      <c r="BH11" s="55">
        <f>IF('2023 Lønnsgr arbavg tjeneste'!N11&lt;100,0,(C11/$C$17)*'2023 Arbavg tjeneste'!N11/'2023 Lønnsgr arbavg tjeneste'!N11)</f>
        <v>1.0997818352702315E-2</v>
      </c>
      <c r="BI11" s="5">
        <f>IF('2023 Lønnsgr arbavg tjeneste'!N11&lt;100,0,C11)</f>
        <v>431103</v>
      </c>
      <c r="BJ11" s="55">
        <f t="shared" si="9"/>
        <v>7.8182557449543499E-2</v>
      </c>
      <c r="BK11" s="55">
        <f t="shared" si="10"/>
        <v>1</v>
      </c>
      <c r="BL11" s="55">
        <f>IF(BI11=0,0,(BI11/$BI$17)*BK11*'2023 Arbavg tjeneste'!N11/'2023 Lønnsgr arbavg tjeneste'!N11)</f>
        <v>1.0997818352702315E-2</v>
      </c>
      <c r="BM11" s="5">
        <f>IF(BI11=0,0,'[2]2023 Nto driftsutg landet'!$C$26*'2023 Lønnsand og arbavg landet'!$D$16*('2023 Arbavg tjeneste'!N11/'2023 Lønnsgr arbavg tjeneste'!N11-$BL$17))</f>
        <v>0.36742286476413166</v>
      </c>
      <c r="BN11" s="5">
        <f t="shared" si="23"/>
        <v>158.39709926841147</v>
      </c>
      <c r="BO11" s="55">
        <f>IF('2023 Lønnsgr arbavg tjeneste'!O11&lt;100,0,(C11/$C$17)*'2023 Arbavg tjeneste'!O11/'2023 Lønnsgr arbavg tjeneste'!O11)</f>
        <v>8.350109877264169E-3</v>
      </c>
      <c r="BP11" s="5">
        <f>IF('2023 Lønnsgr arbavg tjeneste'!O11&lt;100,0,C11)</f>
        <v>431103</v>
      </c>
      <c r="BQ11" s="55">
        <f t="shared" si="11"/>
        <v>0.24901989892554235</v>
      </c>
      <c r="BR11" s="55">
        <f t="shared" si="12"/>
        <v>1</v>
      </c>
      <c r="BS11" s="55">
        <f>IF(BP11=0,0,(BP11/$BP$17)*BR11*'2023 Arbavg tjeneste'!O11/'2023 Lønnsgr arbavg tjeneste'!O11)</f>
        <v>2.6596002810415065E-2</v>
      </c>
      <c r="BT11" s="5">
        <f>IF(BP11=0,0,'[2]2023 Nto driftsutg landet'!$C$27*'2023 Lønnsand og arbavg landet'!$D$17*('2023 Arbavg tjeneste'!O11/'2023 Lønnsgr arbavg tjeneste'!O11-$BS$17))</f>
        <v>-1.2629067538241324E-2</v>
      </c>
      <c r="BU11" s="5">
        <f t="shared" si="24"/>
        <v>-5.4444289029384487</v>
      </c>
      <c r="BV11" s="55">
        <f>IF('2023 Lønnsgr arbavg tjeneste'!P11&lt;100,0,(C11/$C$17)*'2023 Arbavg tjeneste'!P11/'2023 Lønnsgr arbavg tjeneste'!P11)</f>
        <v>1.1876913098892401E-2</v>
      </c>
      <c r="BW11" s="5">
        <f>IF('2023 Lønnsgr arbavg tjeneste'!P11&lt;100,0,C11)</f>
        <v>431103</v>
      </c>
      <c r="BX11" s="55">
        <f t="shared" si="13"/>
        <v>0.11313326039599778</v>
      </c>
      <c r="BY11" s="55">
        <f t="shared" si="14"/>
        <v>1</v>
      </c>
      <c r="BZ11" s="55">
        <f>IF(BW11=0,0,(BW11/$BW$17)*BY11*'2023 Arbavg tjeneste'!P11/'2023 Lønnsgr arbavg tjeneste'!P11)</f>
        <v>1.7186364147588732E-2</v>
      </c>
      <c r="CA11" s="5">
        <f>IF(BW11=0,0,'[2]2023 Nto driftsutg landet'!$C$28*'2023 Lønnsand og arbavg landet'!$D$18*('2023 Arbavg tjeneste'!P11/'2023 Lønnsgr arbavg tjeneste'!P11-$BZ$17))</f>
        <v>-5.1080699895024818E-2</v>
      </c>
      <c r="CB11" s="5">
        <f t="shared" si="25"/>
        <v>-22.021042966844885</v>
      </c>
      <c r="CC11" s="5"/>
      <c r="CD11" s="5"/>
      <c r="CE11" s="5"/>
    </row>
    <row r="12" spans="1:83" x14ac:dyDescent="0.3">
      <c r="A12" s="41">
        <v>4200</v>
      </c>
      <c r="B12" s="42" t="s">
        <v>406</v>
      </c>
      <c r="C12" s="42">
        <f>+'2023 Nto driftsutg'!W12</f>
        <v>317444</v>
      </c>
      <c r="D12" s="55">
        <f>IF('2023 Lønnsgr arbavg tjeneste'!D12&lt;100,0,(C12/$C$17)*'2023 Revekting utgiftsbehov'!D12*'2023 Arbavg tjeneste'!D12/'2023 Lønnsgr arbavg tjeneste'!D12)</f>
        <v>8.8168202280665166E-3</v>
      </c>
      <c r="E12" s="5">
        <f>IF('2023 Lønnsgr arbavg tjeneste'!D12&lt;100,0,C12)</f>
        <v>317444</v>
      </c>
      <c r="F12" s="55">
        <f>'2023 Revekting utgiftsbehov'!D12*E12/$E$17</f>
        <v>6.2421324801316777E-2</v>
      </c>
      <c r="G12" s="55">
        <f>'2023 Revekting utgiftsbehov'!D12/$F$17</f>
        <v>1.0842689751535692</v>
      </c>
      <c r="H12" s="55">
        <f>IF(E12=0,0,(E12/$E$17)*G12*'2023 Arbavg tjeneste'!D12/'2023 Lønnsgr arbavg tjeneste'!D12)</f>
        <v>8.8168202280665183E-3</v>
      </c>
      <c r="I12" s="5">
        <f>IF(E12=0,0,'[2]2023 Nto driftsutg landet'!$C$5*'2023 Lønnsand og arbavg landet'!$D$6*('2023 Arbavg tjeneste'!D12/'2023 Lønnsgr arbavg tjeneste'!D12-$H$17)*'2023 Revekting utgiftsbehov'!D12)</f>
        <v>52.024544370473087</v>
      </c>
      <c r="J12" s="5">
        <f t="shared" si="15"/>
        <v>16514.879463140456</v>
      </c>
      <c r="K12" s="55">
        <f>IF('2023 Lønnsgr arbavg tjeneste'!E12&lt;100,0,(C12/$C$17)*'2023 Revekting utgiftsbehov'!E12*'2023 Arbavg tjeneste'!E12/'2023 Lønnsgr arbavg tjeneste'!E12)</f>
        <v>1.5191947931831498E-2</v>
      </c>
      <c r="L12" s="5">
        <f>IF('2023 Lønnsgr arbavg tjeneste'!E12&lt;100,0,C12)</f>
        <v>317444</v>
      </c>
      <c r="M12" s="55">
        <f>'2023 Revekting utgiftsbehov'!E12*L12/$L$17</f>
        <v>7.0301995089393332E-2</v>
      </c>
      <c r="N12" s="55">
        <f>'2023 Revekting utgiftsbehov'!E12/$M$17</f>
        <v>1.2211575516772717</v>
      </c>
      <c r="O12" s="55">
        <f>IF(L12=0,0,(L12/$L$17)*N12*'2023 Arbavg tjeneste'!E12/'2023 Lønnsgr arbavg tjeneste'!E12)</f>
        <v>1.5191947931831498E-2</v>
      </c>
      <c r="P12" s="5">
        <f>IF(L12=0,0,'[2]2023 Nto driftsutg landet'!$C$6*'2023 Lønnsand og arbavg landet'!$D$7*('2023 Arbavg tjeneste'!E12/'2023 Lønnsgr arbavg tjeneste'!E12-$O$17)*'2023 Revekting utgiftsbehov'!E12)</f>
        <v>-1.3561692599936066</v>
      </c>
      <c r="Q12" s="5">
        <f t="shared" si="16"/>
        <v>-430.50779456941046</v>
      </c>
      <c r="R12" s="55">
        <f>IF('2023 Lønnsgr arbavg tjeneste'!F12&lt;100,0,(C12/$C$17)*'2023 Revekting utgiftsbehov'!F12*'2023 Arbavg tjeneste'!F12/'2023 Lønnsgr arbavg tjeneste'!F12)</f>
        <v>7.0767712439747136E-3</v>
      </c>
      <c r="S12" s="5">
        <f>IF('2023 Lønnsgr arbavg tjeneste'!F12&lt;100,0,C12)</f>
        <v>317444</v>
      </c>
      <c r="T12" s="55">
        <f>'2023 Revekting utgiftsbehov'!F12*S12/$S$17</f>
        <v>4.4907243544478948E-2</v>
      </c>
      <c r="U12" s="55">
        <f>'2023 Revekting utgiftsbehov'!F12/$T$17</f>
        <v>0.78004641987215195</v>
      </c>
      <c r="V12" s="55">
        <f>IF(S12=0,0,(S12/$S$17)*U12*'2023 Arbavg tjeneste'!F12/'2023 Lønnsgr arbavg tjeneste'!F12)</f>
        <v>7.0767712439747136E-3</v>
      </c>
      <c r="W12" s="5">
        <f>IF(S12=0,0,'[2]2023 Nto driftsutg landet'!$C$7*'2023 Lønnsand og arbavg landet'!$D$8*('2023 Arbavg tjeneste'!F12/'2023 Lønnsgr arbavg tjeneste'!F12-$V$17)*'2023 Revekting utgiftsbehov'!F12)</f>
        <v>0.9651029209221601</v>
      </c>
      <c r="X12" s="5">
        <f t="shared" si="17"/>
        <v>306.36613162921424</v>
      </c>
      <c r="Y12" s="55">
        <f>IF('2023 Lønnsgr arbavg tjeneste'!G12&lt;100,0,(C12/$C$17)*'2023 Revekting utgiftsbehov'!G12*'2023 Arbavg tjeneste'!G12/'2023 Lønnsgr arbavg tjeneste'!G12)</f>
        <v>1.0741541296131162E-3</v>
      </c>
      <c r="Z12" s="5">
        <f>IF('2023 Lønnsgr arbavg tjeneste'!G12&lt;100,0,C12)</f>
        <v>317444</v>
      </c>
      <c r="AA12" s="55">
        <f>'2023 Revekting utgiftsbehov'!G12*Z12/$Z$17</f>
        <v>1.7412147874887724E-2</v>
      </c>
      <c r="AB12" s="55">
        <f>'2023 Revekting utgiftsbehov'!G12/$AA$17</f>
        <v>8.1901862288316626E-2</v>
      </c>
      <c r="AC12" s="55">
        <f>IF(Z12=0,0,(Z12/$Z$17)*AB12*'2023 Arbavg tjeneste'!G12/'2023 Lønnsgr arbavg tjeneste'!G12)</f>
        <v>1.5070153667333499E-3</v>
      </c>
      <c r="AD12" s="5">
        <f>IF(Z12=0,0,'[2]2023 Nto driftsutg landet'!$C$8*'2023 Lønnsand og arbavg landet'!$D$9*('2023 Arbavg tjeneste'!G12/'2023 Lønnsgr arbavg tjeneste'!G12-$AC$17)*'2023 Revekting utgiftsbehov'!G12)</f>
        <v>2.1171670252327215E-2</v>
      </c>
      <c r="AE12" s="5">
        <f t="shared" si="18"/>
        <v>6.7208196915797611</v>
      </c>
      <c r="AF12" s="55">
        <f>IF('2023 Lønnsgr arbavg tjeneste'!H12&lt;100,0,(C12/$C$17)*'2023 Revekting utgiftsbehov'!H12*'2023 Arbavg tjeneste'!H12/'2023 Lønnsgr arbavg tjeneste'!H12)</f>
        <v>8.4045268243743438E-3</v>
      </c>
      <c r="AG12" s="5">
        <f>IF('2023 Lønnsgr arbavg tjeneste'!H12&lt;100,0,C12)</f>
        <v>317444</v>
      </c>
      <c r="AH12" s="55">
        <f>'2023 Revekting utgiftsbehov'!H12*AG12/$AG$17</f>
        <v>5.9803843054344483E-2</v>
      </c>
      <c r="AI12" s="55">
        <f>'2023 Revekting utgiftsbehov'!H12/$AH$17</f>
        <v>1.0388028742608666</v>
      </c>
      <c r="AJ12" s="55">
        <f>IF(AG12=0,0,(AG12/$AG$17)*AI12*'2023 Arbavg tjeneste'!H12/'2023 Lønnsgr arbavg tjeneste'!H12)</f>
        <v>8.4045268243743438E-3</v>
      </c>
      <c r="AK12" s="5">
        <f>IF(AG12=0,0,'[2]2023 Nto driftsutg landet'!$C$9*'2023 Lønnsand og arbavg landet'!$D$10*('2023 Arbavg tjeneste'!H12/'2023 Lønnsgr arbavg tjeneste'!H12-$AJ$17)*'2023 Revekting utgiftsbehov'!H12)</f>
        <v>5.4613298137119735</v>
      </c>
      <c r="AL12" s="5">
        <f t="shared" si="19"/>
        <v>1733.6663813839837</v>
      </c>
      <c r="AM12" s="55">
        <f>IF('2023 Lønnsgr arbavg tjeneste'!K12&lt;100,0,(C12/$C$17)*'2023 Arbavg tjeneste'!K12/'2023 Lønnsgr arbavg tjeneste'!K12)</f>
        <v>6.8423973317406194E-3</v>
      </c>
      <c r="AN12" s="5">
        <f>IF('2023 Lønnsgr arbavg tjeneste'!K12&lt;100,0,C12)</f>
        <v>317444</v>
      </c>
      <c r="AO12" s="55">
        <f t="shared" si="3"/>
        <v>5.7569963018148526E-2</v>
      </c>
      <c r="AP12" s="55">
        <f t="shared" si="4"/>
        <v>1</v>
      </c>
      <c r="AQ12" s="55">
        <f>IF(AN12=0,0,(AN12/$AN$17)*AP12*'2023 Arbavg tjeneste'!K12/'2023 Lønnsgr arbavg tjeneste'!K12)</f>
        <v>6.8423973317406194E-3</v>
      </c>
      <c r="AR12" s="5">
        <f>IF(AN12=0,0,'[2]2023 Nto driftsutg landet'!$C$23*'2023 Lønnsand og arbavg landet'!$D$13*('2023 Arbavg tjeneste'!K12/'2023 Lønnsgr arbavg tjeneste'!K12-$AQ$17))</f>
        <v>-1.7141195757075085</v>
      </c>
      <c r="AS12" s="5">
        <f t="shared" si="20"/>
        <v>-544.13697459089428</v>
      </c>
      <c r="AT12" s="55">
        <f>IF('2023 Lønnsgr arbavg tjeneste'!L12&lt;100,0,(C12/$C$17)*'2023 Arbavg tjeneste'!L12/'2023 Lønnsgr arbavg tjeneste'!L12)</f>
        <v>8.2801554234122228E-3</v>
      </c>
      <c r="AU12" s="5">
        <f>IF('2023 Lønnsgr arbavg tjeneste'!L12&lt;100,0,C12)</f>
        <v>317444</v>
      </c>
      <c r="AV12" s="55">
        <f t="shared" si="5"/>
        <v>6.6104722521510215E-2</v>
      </c>
      <c r="AW12" s="55">
        <f t="shared" si="6"/>
        <v>1</v>
      </c>
      <c r="AX12" s="55">
        <f>IF(AU12=0,0,(AU12/$AU$17)*AW12*'2023 Arbavg tjeneste'!L12/'2023 Lønnsgr arbavg tjeneste'!L12)</f>
        <v>9.507690260754419E-3</v>
      </c>
      <c r="AY12" s="5">
        <f>IF(AU12=0,0,'[2]2023 Nto driftsutg landet'!$C$24*'2023 Lønnsand og arbavg landet'!$D$14*('2023 Arbavg tjeneste'!L12/'2023 Lønnsgr arbavg tjeneste'!L12-$AX$17))</f>
        <v>0.72998108128851136</v>
      </c>
      <c r="AZ12" s="5">
        <f t="shared" si="21"/>
        <v>231.72811436855019</v>
      </c>
      <c r="BA12" s="55">
        <f>IF('2023 Lønnsgr arbavg tjeneste'!M12&lt;100,0,(C12/$C$17)*'2023 Arbavg tjeneste'!M12/'2023 Lønnsgr arbavg tjeneste'!M12)</f>
        <v>8.1418206273687621E-3</v>
      </c>
      <c r="BB12" s="5">
        <f>IF('2023 Lønnsgr arbavg tjeneste'!M12&lt;100,0,C12)</f>
        <v>317444</v>
      </c>
      <c r="BC12" s="55">
        <f t="shared" si="7"/>
        <v>6.6104722521510215E-2</v>
      </c>
      <c r="BD12" s="55">
        <f t="shared" si="8"/>
        <v>1</v>
      </c>
      <c r="BE12" s="55">
        <f>IF(BB12=0,0,(BB12/$BB$17)*BD12*'2023 Arbavg tjeneste'!M12/'2023 Lønnsgr arbavg tjeneste'!M12)</f>
        <v>9.3488473011951127E-3</v>
      </c>
      <c r="BF12" s="5">
        <f>IF(BB12=0,0,'[2]2023 Nto driftsutg landet'!$C$25*'2023 Lønnsand og arbavg landet'!$D$15*('2023 Arbavg tjeneste'!M12/'2023 Lønnsgr arbavg tjeneste'!M12-$BE$17))</f>
        <v>-3.0479588926259953E-2</v>
      </c>
      <c r="BG12" s="5">
        <f t="shared" si="22"/>
        <v>-9.6755626271076629</v>
      </c>
      <c r="BH12" s="55">
        <f>IF('2023 Lønnsgr arbavg tjeneste'!N12&lt;100,0,(C12/$C$17)*'2023 Arbavg tjeneste'!N12/'2023 Lønnsgr arbavg tjeneste'!N12)</f>
        <v>8.2181706165686628E-3</v>
      </c>
      <c r="BI12" s="5">
        <f>IF('2023 Lønnsgr arbavg tjeneste'!N12&lt;100,0,C12)</f>
        <v>317444</v>
      </c>
      <c r="BJ12" s="55">
        <f t="shared" si="9"/>
        <v>5.7569963018148526E-2</v>
      </c>
      <c r="BK12" s="55">
        <f t="shared" si="10"/>
        <v>1</v>
      </c>
      <c r="BL12" s="55">
        <f>IF(BI12=0,0,(BI12/$BI$17)*BK12*'2023 Arbavg tjeneste'!N12/'2023 Lønnsgr arbavg tjeneste'!N12)</f>
        <v>8.2181706165686628E-3</v>
      </c>
      <c r="BM12" s="5">
        <f>IF(BI12=0,0,'[2]2023 Nto driftsutg landet'!$C$26*'2023 Lønnsand og arbavg landet'!$D$16*('2023 Arbavg tjeneste'!N12/'2023 Lønnsgr arbavg tjeneste'!N12-$BL$17))</f>
        <v>0.44087552824775705</v>
      </c>
      <c r="BN12" s="5">
        <f t="shared" si="23"/>
        <v>139.95329118908097</v>
      </c>
      <c r="BO12" s="55">
        <f>IF('2023 Lønnsgr arbavg tjeneste'!O12&lt;100,0,(C12/$C$17)*'2023 Arbavg tjeneste'!O12/'2023 Lønnsgr arbavg tjeneste'!O12)</f>
        <v>0</v>
      </c>
      <c r="BP12" s="5">
        <f>IF('2023 Lønnsgr arbavg tjeneste'!O12&lt;100,0,C12)</f>
        <v>0</v>
      </c>
      <c r="BQ12" s="55">
        <f t="shared" si="11"/>
        <v>0</v>
      </c>
      <c r="BR12" s="55">
        <f t="shared" si="12"/>
        <v>1</v>
      </c>
      <c r="BS12" s="55">
        <f>IF(BP12=0,0,(BP12/$BP$17)*BR12*'2023 Arbavg tjeneste'!O12/'2023 Lønnsgr arbavg tjeneste'!O12)</f>
        <v>0</v>
      </c>
      <c r="BT12" s="5">
        <f>IF(BP12=0,0,'[2]2023 Nto driftsutg landet'!$C$27*'2023 Lønnsand og arbavg landet'!$D$17*('2023 Arbavg tjeneste'!O12/'2023 Lønnsgr arbavg tjeneste'!O12-$BS$17))</f>
        <v>0</v>
      </c>
      <c r="BU12" s="5">
        <f t="shared" si="24"/>
        <v>0</v>
      </c>
      <c r="BV12" s="55">
        <f>IF('2023 Lønnsgr arbavg tjeneste'!P12&lt;100,0,(C12/$C$17)*'2023 Arbavg tjeneste'!P12/'2023 Lønnsgr arbavg tjeneste'!P12)</f>
        <v>8.1385115738286454E-3</v>
      </c>
      <c r="BW12" s="5">
        <f>IF('2023 Lønnsgr arbavg tjeneste'!P12&lt;100,0,C12)</f>
        <v>317444</v>
      </c>
      <c r="BX12" s="55">
        <f t="shared" si="13"/>
        <v>8.3306019009719526E-2</v>
      </c>
      <c r="BY12" s="55">
        <f t="shared" si="14"/>
        <v>1</v>
      </c>
      <c r="BZ12" s="55">
        <f>IF(BW12=0,0,(BW12/$BW$17)*BY12*'2023 Arbavg tjeneste'!P12/'2023 Lønnsgr arbavg tjeneste'!P12)</f>
        <v>1.1776748921420374E-2</v>
      </c>
      <c r="CA12" s="5">
        <f>IF(BW12=0,0,'[2]2023 Nto driftsutg landet'!$C$28*'2023 Lønnsand og arbavg landet'!$D$18*('2023 Arbavg tjeneste'!P12/'2023 Lønnsgr arbavg tjeneste'!P12-$BZ$17))</f>
        <v>-7.1061369004616869E-3</v>
      </c>
      <c r="CB12" s="5">
        <f t="shared" si="25"/>
        <v>-2.2558005222301598</v>
      </c>
      <c r="CC12" s="5"/>
      <c r="CD12" s="5"/>
      <c r="CE12" s="5"/>
    </row>
    <row r="13" spans="1:83" x14ac:dyDescent="0.3">
      <c r="A13" s="41">
        <v>4600</v>
      </c>
      <c r="B13" s="42" t="s">
        <v>407</v>
      </c>
      <c r="C13" s="42">
        <f>+'2023 Nto driftsutg'!W13</f>
        <v>648436</v>
      </c>
      <c r="D13" s="55">
        <f>IF('2023 Lønnsgr arbavg tjeneste'!D13&lt;100,0,(C13/$C$17)*'2023 Revekting utgiftsbehov'!D13*'2023 Arbavg tjeneste'!D13/'2023 Lønnsgr arbavg tjeneste'!D13)</f>
        <v>1.7069047968632081E-2</v>
      </c>
      <c r="E13" s="5">
        <f>IF('2023 Lønnsgr arbavg tjeneste'!D13&lt;100,0,C13)</f>
        <v>648436</v>
      </c>
      <c r="F13" s="55">
        <f>'2023 Revekting utgiftsbehov'!D13*E13/$E$17</f>
        <v>0.12334269265572453</v>
      </c>
      <c r="G13" s="55">
        <f>'2023 Revekting utgiftsbehov'!D13/$F$17</f>
        <v>1.0488598944143352</v>
      </c>
      <c r="H13" s="55">
        <f>IF(E13=0,0,(E13/$E$17)*G13*'2023 Arbavg tjeneste'!D13/'2023 Lønnsgr arbavg tjeneste'!D13)</f>
        <v>1.7069047968632085E-2</v>
      </c>
      <c r="I13" s="5">
        <f>IF(E13=0,0,'[2]2023 Nto driftsutg landet'!$C$5*'2023 Lønnsand og arbavg landet'!$D$6*('2023 Arbavg tjeneste'!D13/'2023 Lønnsgr arbavg tjeneste'!D13-$H$17)*'2023 Revekting utgiftsbehov'!D13)</f>
        <v>37.206060917759743</v>
      </c>
      <c r="J13" s="5">
        <f t="shared" si="15"/>
        <v>24125.749317268459</v>
      </c>
      <c r="K13" s="55">
        <f>IF('2023 Lønnsgr arbavg tjeneste'!E13&lt;100,0,(C13/$C$17)*'2023 Revekting utgiftsbehov'!E13*'2023 Arbavg tjeneste'!E13/'2023 Lønnsgr arbavg tjeneste'!E13)</f>
        <v>6.5300320628656566E-2</v>
      </c>
      <c r="L13" s="5">
        <f>IF('2023 Lønnsgr arbavg tjeneste'!E13&lt;100,0,C13)</f>
        <v>648436</v>
      </c>
      <c r="M13" s="55">
        <f>'2023 Revekting utgiftsbehov'!E13*L13/$L$17</f>
        <v>0.15280927161891228</v>
      </c>
      <c r="N13" s="55">
        <f>'2023 Revekting utgiftsbehov'!E13/$M$17</f>
        <v>1.2994326055707779</v>
      </c>
      <c r="O13" s="55">
        <f>IF(L13=0,0,(L13/$L$17)*N13*'2023 Arbavg tjeneste'!E13/'2023 Lønnsgr arbavg tjeneste'!E13)</f>
        <v>6.5300320628656566E-2</v>
      </c>
      <c r="P13" s="5">
        <f>IF(L13=0,0,'[2]2023 Nto driftsutg landet'!$C$6*'2023 Lønnsand og arbavg landet'!$D$7*('2023 Arbavg tjeneste'!E13/'2023 Lønnsgr arbavg tjeneste'!E13-$O$17)*'2023 Revekting utgiftsbehov'!E13)</f>
        <v>46.770977099260648</v>
      </c>
      <c r="Q13" s="5">
        <f t="shared" si="16"/>
        <v>30327.985306336177</v>
      </c>
      <c r="R13" s="55">
        <f>IF('2023 Lønnsgr arbavg tjeneste'!F13&lt;100,0,(C13/$C$17)*'2023 Revekting utgiftsbehov'!F13*'2023 Arbavg tjeneste'!F13/'2023 Lønnsgr arbavg tjeneste'!F13)</f>
        <v>1.7964169333808351E-2</v>
      </c>
      <c r="S13" s="5">
        <f>IF('2023 Lønnsgr arbavg tjeneste'!F13&lt;100,0,C13)</f>
        <v>648436</v>
      </c>
      <c r="T13" s="55">
        <f>'2023 Revekting utgiftsbehov'!F13*S13/$S$17</f>
        <v>0.12520317880132556</v>
      </c>
      <c r="U13" s="55">
        <f>'2023 Revekting utgiftsbehov'!F13/$T$17</f>
        <v>1.0646807692486568</v>
      </c>
      <c r="V13" s="55">
        <f>IF(S13=0,0,(S13/$S$17)*U13*'2023 Arbavg tjeneste'!F13/'2023 Lønnsgr arbavg tjeneste'!F13)</f>
        <v>1.7964169333808351E-2</v>
      </c>
      <c r="W13" s="5">
        <f>IF(S13=0,0,'[2]2023 Nto driftsutg landet'!$C$7*'2023 Lønnsand og arbavg landet'!$D$8*('2023 Arbavg tjeneste'!F13/'2023 Lønnsgr arbavg tjeneste'!F13-$V$17)*'2023 Revekting utgiftsbehov'!F13)</f>
        <v>0.56336039985109598</v>
      </c>
      <c r="X13" s="5">
        <f t="shared" si="17"/>
        <v>365.30316423784529</v>
      </c>
      <c r="Y13" s="55">
        <f>IF('2023 Lønnsgr arbavg tjeneste'!G13&lt;100,0,(C13/$C$17)*'2023 Revekting utgiftsbehov'!G13*'2023 Arbavg tjeneste'!G13/'2023 Lønnsgr arbavg tjeneste'!G13)</f>
        <v>0</v>
      </c>
      <c r="Z13" s="5">
        <f>IF('2023 Lønnsgr arbavg tjeneste'!G13&lt;100,0,C13)</f>
        <v>0</v>
      </c>
      <c r="AA13" s="55">
        <f>'2023 Revekting utgiftsbehov'!G13*Z13/$Z$17</f>
        <v>0</v>
      </c>
      <c r="AB13" s="55">
        <f>'2023 Revekting utgiftsbehov'!G13/$AA$17</f>
        <v>1.4179947978053247</v>
      </c>
      <c r="AC13" s="55">
        <f>IF(Z13=0,0,(Z13/$Z$17)*AB13*'2023 Arbavg tjeneste'!G13/'2023 Lønnsgr arbavg tjeneste'!G13)</f>
        <v>0</v>
      </c>
      <c r="AD13" s="5">
        <f>IF(Z13=0,0,'[2]2023 Nto driftsutg landet'!$C$8*'2023 Lønnsand og arbavg landet'!$D$9*('2023 Arbavg tjeneste'!G13/'2023 Lønnsgr arbavg tjeneste'!G13-$AC$17)*'2023 Revekting utgiftsbehov'!G13)</f>
        <v>0</v>
      </c>
      <c r="AE13" s="5">
        <f t="shared" si="18"/>
        <v>0</v>
      </c>
      <c r="AF13" s="55">
        <f>IF('2023 Lønnsgr arbavg tjeneste'!H13&lt;100,0,(C13/$C$17)*'2023 Revekting utgiftsbehov'!H13*'2023 Arbavg tjeneste'!H13/'2023 Lønnsgr arbavg tjeneste'!H13)</f>
        <v>1.7021884469418717E-2</v>
      </c>
      <c r="AG13" s="5">
        <f>IF('2023 Lønnsgr arbavg tjeneste'!H13&lt;100,0,C13)</f>
        <v>648436</v>
      </c>
      <c r="AH13" s="55">
        <f>'2023 Revekting utgiftsbehov'!H13*AG13/$AG$17</f>
        <v>0.1238342747786932</v>
      </c>
      <c r="AI13" s="55">
        <f>'2023 Revekting utgiftsbehov'!H13/$AH$17</f>
        <v>1.0530401240046849</v>
      </c>
      <c r="AJ13" s="55">
        <f>IF(AG13=0,0,(AG13/$AG$17)*AI13*'2023 Arbavg tjeneste'!H13/'2023 Lønnsgr arbavg tjeneste'!H13)</f>
        <v>1.7021884469418717E-2</v>
      </c>
      <c r="AK13" s="5">
        <f>IF(AG13=0,0,'[2]2023 Nto driftsutg landet'!$C$9*'2023 Lønnsand og arbavg landet'!$D$10*('2023 Arbavg tjeneste'!H13/'2023 Lønnsgr arbavg tjeneste'!H13-$AJ$17)*'2023 Revekting utgiftsbehov'!H13)</f>
        <v>4.287754345669212</v>
      </c>
      <c r="AL13" s="5">
        <f t="shared" si="19"/>
        <v>2780.3342768883613</v>
      </c>
      <c r="AM13" s="55">
        <f>IF('2023 Lønnsgr arbavg tjeneste'!K13&lt;100,0,(C13/$C$17)*'2023 Arbavg tjeneste'!K13/'2023 Lønnsgr arbavg tjeneste'!K13)</f>
        <v>1.6546260817761459E-2</v>
      </c>
      <c r="AN13" s="5">
        <f>IF('2023 Lønnsgr arbavg tjeneste'!K13&lt;100,0,C13)</f>
        <v>648436</v>
      </c>
      <c r="AO13" s="55">
        <f t="shared" si="3"/>
        <v>0.1175969195815204</v>
      </c>
      <c r="AP13" s="55">
        <f t="shared" si="4"/>
        <v>1</v>
      </c>
      <c r="AQ13" s="55">
        <f>IF(AN13=0,0,(AN13/$AN$17)*AP13*'2023 Arbavg tjeneste'!K13/'2023 Lønnsgr arbavg tjeneste'!K13)</f>
        <v>1.6546260817761459E-2</v>
      </c>
      <c r="AR13" s="5">
        <f>IF(AN13=0,0,'[2]2023 Nto driftsutg landet'!$C$23*'2023 Lønnsand og arbavg landet'!$D$13*('2023 Arbavg tjeneste'!K13/'2023 Lønnsgr arbavg tjeneste'!K13-$AQ$17))</f>
        <v>8.9875534245341022</v>
      </c>
      <c r="AS13" s="5">
        <f t="shared" si="20"/>
        <v>5827.8531923911951</v>
      </c>
      <c r="AT13" s="55">
        <f>IF('2023 Lønnsgr arbavg tjeneste'!L13&lt;100,0,(C13/$C$17)*'2023 Arbavg tjeneste'!L13/'2023 Lønnsgr arbavg tjeneste'!L13)</f>
        <v>1.5583864654055956E-2</v>
      </c>
      <c r="AU13" s="5">
        <f>IF('2023 Lønnsgr arbavg tjeneste'!L13&lt;100,0,C13)</f>
        <v>648436</v>
      </c>
      <c r="AV13" s="55">
        <f t="shared" si="5"/>
        <v>0.13503068841420218</v>
      </c>
      <c r="AW13" s="55">
        <f t="shared" si="6"/>
        <v>1</v>
      </c>
      <c r="AX13" s="55">
        <f>IF(AU13=0,0,(AU13/$AU$17)*AW13*'2023 Arbavg tjeneste'!L13/'2023 Lønnsgr arbavg tjeneste'!L13)</f>
        <v>1.7894175968888267E-2</v>
      </c>
      <c r="AY13" s="5">
        <f>IF(AU13=0,0,'[2]2023 Nto driftsutg landet'!$C$24*'2023 Lønnsand og arbavg landet'!$D$14*('2023 Arbavg tjeneste'!L13/'2023 Lønnsgr arbavg tjeneste'!L13-$AX$17))</f>
        <v>6.9485966525971452E-3</v>
      </c>
      <c r="AZ13" s="5">
        <f t="shared" si="21"/>
        <v>4.5057202190234822</v>
      </c>
      <c r="BA13" s="55">
        <f>IF('2023 Lønnsgr arbavg tjeneste'!M13&lt;100,0,(C13/$C$17)*'2023 Arbavg tjeneste'!M13/'2023 Lønnsgr arbavg tjeneste'!M13)</f>
        <v>1.577581084584008E-2</v>
      </c>
      <c r="BB13" s="5">
        <f>IF('2023 Lønnsgr arbavg tjeneste'!M13&lt;100,0,C13)</f>
        <v>648436</v>
      </c>
      <c r="BC13" s="55">
        <f t="shared" si="7"/>
        <v>0.13503068841420218</v>
      </c>
      <c r="BD13" s="55">
        <f t="shared" si="8"/>
        <v>1</v>
      </c>
      <c r="BE13" s="55">
        <f>IF(BB13=0,0,(BB13/$BB$17)*BD13*'2023 Arbavg tjeneste'!M13/'2023 Lønnsgr arbavg tjeneste'!M13)</f>
        <v>1.8114578225234171E-2</v>
      </c>
      <c r="BF13" s="5">
        <f>IF(BB13=0,0,'[2]2023 Nto driftsutg landet'!$C$25*'2023 Lønnsand og arbavg landet'!$D$15*('2023 Arbavg tjeneste'!M13/'2023 Lønnsgr arbavg tjeneste'!M13-$BE$17))</f>
        <v>5.1821674252998133E-3</v>
      </c>
      <c r="BG13" s="5">
        <f t="shared" si="22"/>
        <v>3.3603039165917097</v>
      </c>
      <c r="BH13" s="55">
        <f>IF('2023 Lønnsgr arbavg tjeneste'!N13&lt;100,0,(C13/$C$17)*'2023 Arbavg tjeneste'!N13/'2023 Lønnsgr arbavg tjeneste'!N13)</f>
        <v>1.5064726901850014E-2</v>
      </c>
      <c r="BI13" s="5">
        <f>IF('2023 Lønnsgr arbavg tjeneste'!N13&lt;100,0,C13)</f>
        <v>648436</v>
      </c>
      <c r="BJ13" s="55">
        <f t="shared" si="9"/>
        <v>0.1175969195815204</v>
      </c>
      <c r="BK13" s="55">
        <f t="shared" si="10"/>
        <v>1</v>
      </c>
      <c r="BL13" s="55">
        <f>IF(BI13=0,0,(BI13/$BI$17)*BK13*'2023 Arbavg tjeneste'!N13/'2023 Lønnsgr arbavg tjeneste'!N13)</f>
        <v>1.5064726901850014E-2</v>
      </c>
      <c r="BM13" s="5">
        <f>IF(BI13=0,0,'[2]2023 Nto driftsutg landet'!$C$26*'2023 Lønnsand og arbavg landet'!$D$16*('2023 Arbavg tjeneste'!N13/'2023 Lønnsgr arbavg tjeneste'!N13-$BL$17))</f>
        <v>-7.5699089824712532E-2</v>
      </c>
      <c r="BN13" s="5">
        <f t="shared" si="23"/>
        <v>-49.086015009577288</v>
      </c>
      <c r="BO13" s="55">
        <f>IF('2023 Lønnsgr arbavg tjeneste'!O13&lt;100,0,(C13/$C$17)*'2023 Arbavg tjeneste'!O13/'2023 Lønnsgr arbavg tjeneste'!O13)</f>
        <v>0</v>
      </c>
      <c r="BP13" s="5">
        <f>IF('2023 Lønnsgr arbavg tjeneste'!O13&lt;100,0,C13)</f>
        <v>0</v>
      </c>
      <c r="BQ13" s="55">
        <f t="shared" si="11"/>
        <v>0</v>
      </c>
      <c r="BR13" s="55">
        <f t="shared" si="12"/>
        <v>1</v>
      </c>
      <c r="BS13" s="55">
        <f>IF(BP13=0,0,(BP13/$BP$17)*BR13*'2023 Arbavg tjeneste'!O13/'2023 Lønnsgr arbavg tjeneste'!O13)</f>
        <v>0</v>
      </c>
      <c r="BT13" s="5">
        <f>IF(BP13=0,0,'[2]2023 Nto driftsutg landet'!$C$27*'2023 Lønnsand og arbavg landet'!$D$17*('2023 Arbavg tjeneste'!O13/'2023 Lønnsgr arbavg tjeneste'!O13-$BS$17))</f>
        <v>0</v>
      </c>
      <c r="BU13" s="5">
        <f t="shared" si="24"/>
        <v>0</v>
      </c>
      <c r="BV13" s="55">
        <f>IF('2023 Lønnsgr arbavg tjeneste'!P13&lt;100,0,(C13/$C$17)*'2023 Arbavg tjeneste'!P13/'2023 Lønnsgr arbavg tjeneste'!P13)</f>
        <v>1.6656218985095891E-2</v>
      </c>
      <c r="BW13" s="5">
        <f>IF('2023 Lønnsgr arbavg tjeneste'!P13&lt;100,0,C13)</f>
        <v>648436</v>
      </c>
      <c r="BX13" s="55">
        <f t="shared" si="13"/>
        <v>0.17016740509376926</v>
      </c>
      <c r="BY13" s="55">
        <f t="shared" si="14"/>
        <v>1</v>
      </c>
      <c r="BZ13" s="55">
        <f>IF(BW13=0,0,(BW13/$BW$17)*BY13*'2023 Arbavg tjeneste'!P13/'2023 Lønnsgr arbavg tjeneste'!P13)</f>
        <v>2.4102209253895647E-2</v>
      </c>
      <c r="CA13" s="5">
        <f>IF(BW13=0,0,'[2]2023 Nto driftsutg landet'!$C$28*'2023 Lønnsand og arbavg landet'!$D$18*('2023 Arbavg tjeneste'!P13/'2023 Lønnsgr arbavg tjeneste'!P13-$BZ$17))</f>
        <v>-8.2358209916030285E-3</v>
      </c>
      <c r="CB13" s="5">
        <f t="shared" si="25"/>
        <v>-5.3404028205111018</v>
      </c>
      <c r="CC13" s="5"/>
      <c r="CD13" s="5"/>
      <c r="CE13" s="5"/>
    </row>
    <row r="14" spans="1:83" x14ac:dyDescent="0.3">
      <c r="A14" s="41">
        <v>5000</v>
      </c>
      <c r="B14" s="42" t="s">
        <v>388</v>
      </c>
      <c r="C14" s="42">
        <f>+'2023 Nto driftsutg'!W14</f>
        <v>480437</v>
      </c>
      <c r="D14" s="55">
        <f>IF('2023 Lønnsgr arbavg tjeneste'!D14&lt;100,0,(C14/$C$17)*'2023 Revekting utgiftsbehov'!D14*'2023 Arbavg tjeneste'!D14/'2023 Lønnsgr arbavg tjeneste'!D14)</f>
        <v>1.1149872632752626E-2</v>
      </c>
      <c r="E14" s="5">
        <f>IF('2023 Lønnsgr arbavg tjeneste'!D14&lt;100,0,C14)</f>
        <v>480437</v>
      </c>
      <c r="F14" s="55">
        <f>'2023 Revekting utgiftsbehov'!D14*E14/$E$17</f>
        <v>8.8828903870707299E-2</v>
      </c>
      <c r="G14" s="55">
        <f>'2023 Revekting utgiftsbehov'!D14/$F$17</f>
        <v>1.0195042229505573</v>
      </c>
      <c r="H14" s="55">
        <f>IF(E14=0,0,(E14/$E$17)*G14*'2023 Arbavg tjeneste'!D14/'2023 Lønnsgr arbavg tjeneste'!D14)</f>
        <v>1.1149872632752628E-2</v>
      </c>
      <c r="I14" s="5">
        <f>IF(E14=0,0,'[2]2023 Nto driftsutg landet'!$C$5*'2023 Lønnsand og arbavg landet'!$D$6*('2023 Arbavg tjeneste'!D14/'2023 Lønnsgr arbavg tjeneste'!D14-$H$17)*'2023 Revekting utgiftsbehov'!D14)</f>
        <v>-21.209909105238214</v>
      </c>
      <c r="J14" s="5">
        <f t="shared" si="15"/>
        <v>-10190.025100793331</v>
      </c>
      <c r="K14" s="55">
        <f>IF('2023 Lønnsgr arbavg tjeneste'!E14&lt;100,0,(C14/$C$17)*'2023 Revekting utgiftsbehov'!E14*'2023 Arbavg tjeneste'!E14/'2023 Lønnsgr arbavg tjeneste'!E14)</f>
        <v>3.2058762575559868E-2</v>
      </c>
      <c r="L14" s="5">
        <f>IF('2023 Lønnsgr arbavg tjeneste'!E14&lt;100,0,C14)</f>
        <v>480437</v>
      </c>
      <c r="M14" s="55">
        <f>'2023 Revekting utgiftsbehov'!E14*L14/$L$17</f>
        <v>0.11036279752885199</v>
      </c>
      <c r="N14" s="55">
        <f>'2023 Revekting utgiftsbehov'!E14/$M$17</f>
        <v>1.2666523308794941</v>
      </c>
      <c r="O14" s="55">
        <f>IF(L14=0,0,(L14/$L$17)*N14*'2023 Arbavg tjeneste'!E14/'2023 Lønnsgr arbavg tjeneste'!E14)</f>
        <v>3.2058762575559868E-2</v>
      </c>
      <c r="P14" s="5">
        <f>IF(L14=0,0,'[2]2023 Nto driftsutg landet'!$C$6*'2023 Lønnsand og arbavg landet'!$D$7*('2023 Arbavg tjeneste'!E14/'2023 Lønnsgr arbavg tjeneste'!E14-$O$17)*'2023 Revekting utgiftsbehov'!E14)</f>
        <v>15.144181400231403</v>
      </c>
      <c r="Q14" s="5">
        <f t="shared" si="16"/>
        <v>7275.8250793829748</v>
      </c>
      <c r="R14" s="55">
        <f>IF('2023 Lønnsgr arbavg tjeneste'!F14&lt;100,0,(C14/$C$17)*'2023 Revekting utgiftsbehov'!F14*'2023 Arbavg tjeneste'!F14/'2023 Lønnsgr arbavg tjeneste'!F14)</f>
        <v>1.3644024630055662E-2</v>
      </c>
      <c r="S14" s="5">
        <f>IF('2023 Lønnsgr arbavg tjeneste'!F14&lt;100,0,C14)</f>
        <v>480437</v>
      </c>
      <c r="T14" s="55">
        <f>'2023 Revekting utgiftsbehov'!F14*S14/$S$17</f>
        <v>9.5122055795008445E-2</v>
      </c>
      <c r="U14" s="55">
        <f>'2023 Revekting utgiftsbehov'!F14/$T$17</f>
        <v>1.0917317827078288</v>
      </c>
      <c r="V14" s="55">
        <f>IF(S14=0,0,(S14/$S$17)*U14*'2023 Arbavg tjeneste'!F14/'2023 Lønnsgr arbavg tjeneste'!F14)</f>
        <v>1.3644024630055662E-2</v>
      </c>
      <c r="W14" s="5">
        <f>IF(S14=0,0,'[2]2023 Nto driftsutg landet'!$C$7*'2023 Lønnsand og arbavg landet'!$D$8*('2023 Arbavg tjeneste'!F14/'2023 Lønnsgr arbavg tjeneste'!F14-$V$17)*'2023 Revekting utgiftsbehov'!F14)</f>
        <v>0.57531133434860171</v>
      </c>
      <c r="X14" s="5">
        <f t="shared" si="17"/>
        <v>276.40085154043919</v>
      </c>
      <c r="Y14" s="55">
        <f>IF('2023 Lønnsgr arbavg tjeneste'!G14&lt;100,0,(C14/$C$17)*'2023 Revekting utgiftsbehov'!G14*'2023 Arbavg tjeneste'!G14/'2023 Lønnsgr arbavg tjeneste'!G14)</f>
        <v>1.1905711102687977E-2</v>
      </c>
      <c r="Z14" s="5">
        <f>IF('2023 Lønnsgr arbavg tjeneste'!G14&lt;100,0,C14)</f>
        <v>480437</v>
      </c>
      <c r="AA14" s="55">
        <f>'2023 Revekting utgiftsbehov'!G14*Z14/$Z$17</f>
        <v>0.20940566647965786</v>
      </c>
      <c r="AB14" s="55">
        <f>'2023 Revekting utgiftsbehov'!G14/$AA$17</f>
        <v>0.6508194686611255</v>
      </c>
      <c r="AC14" s="55">
        <f>IF(Z14=0,0,(Z14/$Z$17)*AB14*'2023 Arbavg tjeneste'!G14/'2023 Lønnsgr arbavg tjeneste'!G14)</f>
        <v>1.6703459111683475E-2</v>
      </c>
      <c r="AD14" s="5">
        <f>IF(Z14=0,0,'[2]2023 Nto driftsutg landet'!$C$8*'2023 Lønnsand og arbavg landet'!$D$9*('2023 Arbavg tjeneste'!G14/'2023 Lønnsgr arbavg tjeneste'!G14-$AC$17)*'2023 Revekting utgiftsbehov'!G14)</f>
        <v>0.1217098144683213</v>
      </c>
      <c r="AE14" s="5">
        <f t="shared" si="18"/>
        <v>58.473898133716879</v>
      </c>
      <c r="AF14" s="55">
        <f>IF('2023 Lønnsgr arbavg tjeneste'!H14&lt;100,0,(C14/$C$17)*'2023 Revekting utgiftsbehov'!H14*'2023 Arbavg tjeneste'!H14/'2023 Lønnsgr arbavg tjeneste'!H14)</f>
        <v>1.1702725388287392E-2</v>
      </c>
      <c r="AG14" s="5">
        <f>IF('2023 Lønnsgr arbavg tjeneste'!H14&lt;100,0,C14)</f>
        <v>480437</v>
      </c>
      <c r="AH14" s="55">
        <f>'2023 Revekting utgiftsbehov'!H14*AG14/$AG$17</f>
        <v>9.0761459556060159E-2</v>
      </c>
      <c r="AI14" s="55">
        <f>'2023 Revekting utgiftsbehov'!H14/$AH$17</f>
        <v>1.0416844885673895</v>
      </c>
      <c r="AJ14" s="55">
        <f>IF(AG14=0,0,(AG14/$AG$17)*AI14*'2023 Arbavg tjeneste'!H14/'2023 Lønnsgr arbavg tjeneste'!H14)</f>
        <v>1.1702725388287392E-2</v>
      </c>
      <c r="AK14" s="5">
        <f>IF(AG14=0,0,'[2]2023 Nto driftsutg landet'!$C$9*'2023 Lønnsand og arbavg landet'!$D$10*('2023 Arbavg tjeneste'!H14/'2023 Lønnsgr arbavg tjeneste'!H14-$AJ$17)*'2023 Revekting utgiftsbehov'!H14)</f>
        <v>0.82397765639783838</v>
      </c>
      <c r="AL14" s="5">
        <f t="shared" si="19"/>
        <v>395.86935330680825</v>
      </c>
      <c r="AM14" s="55">
        <f>IF('2023 Lønnsgr arbavg tjeneste'!K14&lt;100,0,(C14/$C$17)*'2023 Arbavg tjeneste'!K14/'2023 Lønnsgr arbavg tjeneste'!K14)</f>
        <v>1.5449145590320195E-2</v>
      </c>
      <c r="AN14" s="5">
        <f>IF('2023 Lønnsgr arbavg tjeneste'!K14&lt;100,0,C14)</f>
        <v>480437</v>
      </c>
      <c r="AO14" s="55">
        <f t="shared" si="3"/>
        <v>8.7129510472871513E-2</v>
      </c>
      <c r="AP14" s="55">
        <f t="shared" si="4"/>
        <v>1</v>
      </c>
      <c r="AQ14" s="55">
        <f>IF(AN14=0,0,(AN14/$AN$17)*AP14*'2023 Arbavg tjeneste'!K14/'2023 Lønnsgr arbavg tjeneste'!K14)</f>
        <v>1.5449145590320195E-2</v>
      </c>
      <c r="AR14" s="5">
        <f>IF(AN14=0,0,'[2]2023 Nto driftsutg landet'!$C$23*'2023 Lønnsand og arbavg landet'!$D$13*('2023 Arbavg tjeneste'!K14/'2023 Lønnsgr arbavg tjeneste'!K14-$AQ$17))</f>
        <v>26.918341677522413</v>
      </c>
      <c r="AS14" s="5">
        <f t="shared" si="20"/>
        <v>12932.567320523836</v>
      </c>
      <c r="AT14" s="55">
        <f>IF('2023 Lønnsgr arbavg tjeneste'!L14&lt;100,0,(C14/$C$17)*'2023 Arbavg tjeneste'!L14/'2023 Lønnsgr arbavg tjeneste'!L14)</f>
        <v>1.2051839300348111E-2</v>
      </c>
      <c r="AU14" s="5">
        <f>IF('2023 Lønnsgr arbavg tjeneste'!L14&lt;100,0,C14)</f>
        <v>480437</v>
      </c>
      <c r="AV14" s="55">
        <f t="shared" si="5"/>
        <v>0.10004647929734631</v>
      </c>
      <c r="AW14" s="55">
        <f t="shared" si="6"/>
        <v>1</v>
      </c>
      <c r="AX14" s="55">
        <f>IF(AU14=0,0,(AU14/$AU$17)*AW14*'2023 Arbavg tjeneste'!L14/'2023 Lønnsgr arbavg tjeneste'!L14)</f>
        <v>1.3838527090458521E-2</v>
      </c>
      <c r="AY14" s="5">
        <f>IF(AU14=0,0,'[2]2023 Nto driftsutg landet'!$C$24*'2023 Lønnsand og arbavg landet'!$D$14*('2023 Arbavg tjeneste'!L14/'2023 Lønnsgr arbavg tjeneste'!L14-$AX$17))</f>
        <v>0.37789350657616716</v>
      </c>
      <c r="AZ14" s="5">
        <f t="shared" si="21"/>
        <v>181.55402261893403</v>
      </c>
      <c r="BA14" s="55">
        <f>IF('2023 Lønnsgr arbavg tjeneste'!M14&lt;100,0,(C14/$C$17)*'2023 Arbavg tjeneste'!M14/'2023 Lønnsgr arbavg tjeneste'!M14)</f>
        <v>1.1697989863648421E-2</v>
      </c>
      <c r="BB14" s="5">
        <f>IF('2023 Lønnsgr arbavg tjeneste'!M14&lt;100,0,C14)</f>
        <v>480437</v>
      </c>
      <c r="BC14" s="55">
        <f t="shared" si="7"/>
        <v>0.10004647929734631</v>
      </c>
      <c r="BD14" s="55">
        <f t="shared" si="8"/>
        <v>1</v>
      </c>
      <c r="BE14" s="55">
        <f>IF(BB14=0,0,(BB14/$BB$17)*BD14*'2023 Arbavg tjeneste'!M14/'2023 Lønnsgr arbavg tjeneste'!M14)</f>
        <v>1.3432219398024329E-2</v>
      </c>
      <c r="BF14" s="5">
        <f>IF(BB14=0,0,'[2]2023 Nto driftsutg landet'!$C$25*'2023 Lønnsand og arbavg landet'!$D$15*('2023 Arbavg tjeneste'!M14/'2023 Lønnsgr arbavg tjeneste'!M14-$BE$17))</f>
        <v>4.6515213278631815E-3</v>
      </c>
      <c r="BG14" s="5">
        <f t="shared" si="22"/>
        <v>2.2347629521946031</v>
      </c>
      <c r="BH14" s="55">
        <f>IF('2023 Lønnsgr arbavg tjeneste'!N14&lt;100,0,(C14/$C$17)*'2023 Arbavg tjeneste'!N14/'2023 Lønnsgr arbavg tjeneste'!N14)</f>
        <v>1.2187939990640417E-2</v>
      </c>
      <c r="BI14" s="5">
        <f>IF('2023 Lønnsgr arbavg tjeneste'!N14&lt;100,0,C14)</f>
        <v>480437</v>
      </c>
      <c r="BJ14" s="55">
        <f t="shared" si="9"/>
        <v>8.7129510472871513E-2</v>
      </c>
      <c r="BK14" s="55">
        <f t="shared" si="10"/>
        <v>1</v>
      </c>
      <c r="BL14" s="55">
        <f>IF(BI14=0,0,(BI14/$BI$17)*BK14*'2023 Arbavg tjeneste'!N14/'2023 Lønnsgr arbavg tjeneste'!N14)</f>
        <v>1.2187939990640417E-2</v>
      </c>
      <c r="BM14" s="5">
        <f>IF(BI14=0,0,'[2]2023 Nto driftsutg landet'!$C$26*'2023 Lønnsand og arbavg landet'!$D$16*('2023 Arbavg tjeneste'!N14/'2023 Lønnsgr arbavg tjeneste'!N14-$BL$17))</f>
        <v>0.33972140340645646</v>
      </c>
      <c r="BN14" s="5">
        <f t="shared" si="23"/>
        <v>163.21473188838772</v>
      </c>
      <c r="BO14" s="55">
        <f>IF('2023 Lønnsgr arbavg tjeneste'!O14&lt;100,0,(C14/$C$17)*'2023 Arbavg tjeneste'!O14/'2023 Lønnsgr arbavg tjeneste'!O14)</f>
        <v>0</v>
      </c>
      <c r="BP14" s="5">
        <f>IF('2023 Lønnsgr arbavg tjeneste'!O14&lt;100,0,C14)</f>
        <v>0</v>
      </c>
      <c r="BQ14" s="55">
        <f t="shared" si="11"/>
        <v>0</v>
      </c>
      <c r="BR14" s="55">
        <f t="shared" si="12"/>
        <v>1</v>
      </c>
      <c r="BS14" s="55">
        <f>IF(BP14=0,0,(BP14/$BP$17)*BR14*'2023 Arbavg tjeneste'!O14/'2023 Lønnsgr arbavg tjeneste'!O14)</f>
        <v>0</v>
      </c>
      <c r="BT14" s="5">
        <f>IF(BP14=0,0,'[2]2023 Nto driftsutg landet'!$C$27*'2023 Lønnsand og arbavg landet'!$D$17*('2023 Arbavg tjeneste'!O14/'2023 Lønnsgr arbavg tjeneste'!O14-$BS$17))</f>
        <v>0</v>
      </c>
      <c r="BU14" s="5">
        <f t="shared" si="24"/>
        <v>0</v>
      </c>
      <c r="BV14" s="55">
        <f>IF('2023 Lønnsgr arbavg tjeneste'!P14&lt;100,0,(C14/$C$17)*'2023 Arbavg tjeneste'!P14/'2023 Lønnsgr arbavg tjeneste'!P14)</f>
        <v>0</v>
      </c>
      <c r="BW14" s="5">
        <f>IF('2023 Lønnsgr arbavg tjeneste'!P14&lt;100,0,C14)</f>
        <v>0</v>
      </c>
      <c r="BX14" s="55">
        <f t="shared" si="13"/>
        <v>0</v>
      </c>
      <c r="BY14" s="55">
        <f t="shared" si="14"/>
        <v>1</v>
      </c>
      <c r="BZ14" s="55">
        <f>IF(BW14=0,0,(BW14/$BW$17)*BY14*'2023 Arbavg tjeneste'!P14/'2023 Lønnsgr arbavg tjeneste'!P14)</f>
        <v>0</v>
      </c>
      <c r="CA14" s="5">
        <f>IF(BW14=0,0,'[2]2023 Nto driftsutg landet'!$C$28*'2023 Lønnsand og arbavg landet'!$D$18*('2023 Arbavg tjeneste'!P14/'2023 Lønnsgr arbavg tjeneste'!P14-$BZ$17))</f>
        <v>0</v>
      </c>
      <c r="CB14" s="5">
        <f t="shared" si="25"/>
        <v>0</v>
      </c>
      <c r="CC14" s="5"/>
      <c r="CD14" s="5"/>
      <c r="CE14" s="5"/>
    </row>
    <row r="15" spans="1:83" x14ac:dyDescent="0.3">
      <c r="A15" s="41">
        <v>5400</v>
      </c>
      <c r="B15" s="42" t="s">
        <v>408</v>
      </c>
      <c r="C15" s="42">
        <f>+'2023 Nto driftsutg'!W15</f>
        <v>243329</v>
      </c>
      <c r="D15" s="55">
        <f>IF('2023 Lønnsgr arbavg tjeneste'!D15&lt;100,0,(C15/$C$17)*'2023 Revekting utgiftsbehov'!D15*'2023 Arbavg tjeneste'!D15/'2023 Lønnsgr arbavg tjeneste'!D15)</f>
        <v>2.0742839554732458E-3</v>
      </c>
      <c r="E15" s="5">
        <f>IF('2023 Lønnsgr arbavg tjeneste'!D15&lt;100,0,C15)</f>
        <v>243329</v>
      </c>
      <c r="F15" s="55">
        <f>'2023 Revekting utgiftsbehov'!D15*E15/$E$17</f>
        <v>4.8730797010759219E-2</v>
      </c>
      <c r="G15" s="55">
        <f>'2023 Revekting utgiftsbehov'!D15/$F$17</f>
        <v>1.1042840912589911</v>
      </c>
      <c r="H15" s="55">
        <f>IF(E15=0,0,(E15/$E$17)*G15*'2023 Arbavg tjeneste'!D15/'2023 Lønnsgr arbavg tjeneste'!D15)</f>
        <v>2.0742839554732458E-3</v>
      </c>
      <c r="I15" s="5">
        <f>IF(E15=0,0,'[2]2023 Nto driftsutg landet'!$C$5*'2023 Lønnsand og arbavg landet'!$D$6*('2023 Arbavg tjeneste'!D15/'2023 Lønnsgr arbavg tjeneste'!D15-$H$17)*'2023 Revekting utgiftsbehov'!D15)</f>
        <v>-423.65097652583563</v>
      </c>
      <c r="J15" s="5">
        <f t="shared" si="15"/>
        <v>-103086.56846705505</v>
      </c>
      <c r="K15" s="55">
        <f>IF('2023 Lønnsgr arbavg tjeneste'!E15&lt;100,0,(C15/$C$17)*'2023 Revekting utgiftsbehov'!E15*'2023 Arbavg tjeneste'!E15/'2023 Lønnsgr arbavg tjeneste'!E15)</f>
        <v>4.2393838865422652E-3</v>
      </c>
      <c r="L15" s="5">
        <f>IF('2023 Lønnsgr arbavg tjeneste'!E15&lt;100,0,C15)</f>
        <v>243329</v>
      </c>
      <c r="M15" s="55">
        <f>'2023 Revekting utgiftsbehov'!E15*L15/$L$17</f>
        <v>9.1339134842638753E-2</v>
      </c>
      <c r="N15" s="55">
        <f>'2023 Revekting utgiftsbehov'!E15/$M$17</f>
        <v>2.0698277004132728</v>
      </c>
      <c r="O15" s="55">
        <f>IF(L15=0,0,(L15/$L$17)*N15*'2023 Arbavg tjeneste'!E15/'2023 Lønnsgr arbavg tjeneste'!E15)</f>
        <v>4.2393838865422652E-3</v>
      </c>
      <c r="P15" s="5">
        <f>IF(L15=0,0,'[2]2023 Nto driftsutg landet'!$C$6*'2023 Lønnsand og arbavg landet'!$D$7*('2023 Arbavg tjeneste'!E15/'2023 Lønnsgr arbavg tjeneste'!E15-$O$17)*'2023 Revekting utgiftsbehov'!E15)</f>
        <v>-63.989481005903045</v>
      </c>
      <c r="Q15" s="5">
        <f t="shared" si="16"/>
        <v>-15570.496423685381</v>
      </c>
      <c r="R15" s="55">
        <f>IF('2023 Lønnsgr arbavg tjeneste'!F15&lt;100,0,(C15/$C$17)*'2023 Revekting utgiftsbehov'!F15*'2023 Arbavg tjeneste'!F15/'2023 Lønnsgr arbavg tjeneste'!F15)</f>
        <v>4.0839145023259249E-3</v>
      </c>
      <c r="S15" s="5">
        <f>IF('2023 Lønnsgr arbavg tjeneste'!F15&lt;100,0,C15)</f>
        <v>243329</v>
      </c>
      <c r="T15" s="55">
        <f>'2023 Revekting utgiftsbehov'!F15*S15/$S$17</f>
        <v>7.2841558144657106E-2</v>
      </c>
      <c r="U15" s="55">
        <f>'2023 Revekting utgiftsbehov'!F15/$T$17</f>
        <v>1.6506558229265536</v>
      </c>
      <c r="V15" s="55">
        <f>IF(S15=0,0,(S15/$S$17)*U15*'2023 Arbavg tjeneste'!F15/'2023 Lønnsgr arbavg tjeneste'!F15)</f>
        <v>4.0839145023259249E-3</v>
      </c>
      <c r="W15" s="5">
        <f>IF(S15=0,0,'[2]2023 Nto driftsutg landet'!$C$7*'2023 Lønnsand og arbavg landet'!$D$8*('2023 Arbavg tjeneste'!F15/'2023 Lønnsgr arbavg tjeneste'!F15-$V$17)*'2023 Revekting utgiftsbehov'!F15)</f>
        <v>-6.3696607669506973</v>
      </c>
      <c r="X15" s="5">
        <f t="shared" si="17"/>
        <v>-1549.9231847613464</v>
      </c>
      <c r="Y15" s="55">
        <f>IF('2023 Lønnsgr arbavg tjeneste'!G15&lt;100,0,(C15/$C$17)*'2023 Revekting utgiftsbehov'!G15*'2023 Arbavg tjeneste'!G15/'2023 Lønnsgr arbavg tjeneste'!G15)</f>
        <v>7.1220323110661203E-3</v>
      </c>
      <c r="Z15" s="5">
        <f>IF('2023 Lønnsgr arbavg tjeneste'!G15&lt;100,0,C15)</f>
        <v>243329</v>
      </c>
      <c r="AA15" s="55">
        <f>'2023 Revekting utgiftsbehov'!G15*Z15/$Z$17</f>
        <v>0.3231748603202676</v>
      </c>
      <c r="AB15" s="55">
        <f>'2023 Revekting utgiftsbehov'!G15/$AA$17</f>
        <v>1.9831348723351416</v>
      </c>
      <c r="AC15" s="55">
        <f>IF(Z15=0,0,(Z15/$Z$17)*AB15*'2023 Arbavg tjeneste'!G15/'2023 Lønnsgr arbavg tjeneste'!G15)</f>
        <v>9.9920596488455912E-3</v>
      </c>
      <c r="AD15" s="5">
        <f>IF(Z15=0,0,'[2]2023 Nto driftsutg landet'!$C$8*'2023 Lønnsand og arbavg landet'!$D$9*('2023 Arbavg tjeneste'!G15/'2023 Lønnsgr arbavg tjeneste'!G15-$AC$17)*'2023 Revekting utgiftsbehov'!G15)</f>
        <v>-0.6500296230830529</v>
      </c>
      <c r="AE15" s="5">
        <f t="shared" si="18"/>
        <v>-158.17105815517618</v>
      </c>
      <c r="AF15" s="55">
        <f>IF('2023 Lønnsgr arbavg tjeneste'!H15&lt;100,0,(C15/$C$17)*'2023 Revekting utgiftsbehov'!H15*'2023 Arbavg tjeneste'!H15/'2023 Lønnsgr arbavg tjeneste'!H15)</f>
        <v>2.0428325857081197E-3</v>
      </c>
      <c r="AG15" s="5">
        <f>IF('2023 Lønnsgr arbavg tjeneste'!H15&lt;100,0,C15)</f>
        <v>243329</v>
      </c>
      <c r="AH15" s="55">
        <f>'2023 Revekting utgiftsbehov'!H15*AG15/$AG$17</f>
        <v>5.3831940356040629E-2</v>
      </c>
      <c r="AI15" s="55">
        <f>'2023 Revekting utgiftsbehov'!H15/$AH$17</f>
        <v>1.2198806295668334</v>
      </c>
      <c r="AJ15" s="55">
        <f>IF(AG15=0,0,(AG15/$AG$17)*AI15*'2023 Arbavg tjeneste'!H15/'2023 Lønnsgr arbavg tjeneste'!H15)</f>
        <v>2.0428325857081197E-3</v>
      </c>
      <c r="AK15" s="5">
        <f>IF(AG15=0,0,'[2]2023 Nto driftsutg landet'!$C$9*'2023 Lønnsand og arbavg landet'!$D$10*('2023 Arbavg tjeneste'!H15/'2023 Lønnsgr arbavg tjeneste'!H15-$AJ$17)*'2023 Revekting utgiftsbehov'!H15)</f>
        <v>-41.788978414994467</v>
      </c>
      <c r="AL15" s="5">
        <f t="shared" si="19"/>
        <v>-10168.470328742189</v>
      </c>
      <c r="AM15" s="55">
        <f>IF('2023 Lønnsgr arbavg tjeneste'!K15&lt;100,0,(C15/$C$17)*'2023 Arbavg tjeneste'!K15/'2023 Lønnsgr arbavg tjeneste'!K15)</f>
        <v>2.3920024656447414E-3</v>
      </c>
      <c r="AN15" s="5">
        <f>IF('2023 Lønnsgr arbavg tjeneste'!K15&lt;100,0,C15)</f>
        <v>243329</v>
      </c>
      <c r="AO15" s="55">
        <f t="shared" si="3"/>
        <v>4.4128859046770656E-2</v>
      </c>
      <c r="AP15" s="55">
        <f t="shared" si="4"/>
        <v>1</v>
      </c>
      <c r="AQ15" s="55">
        <f>IF(AN15=0,0,(AN15/$AN$17)*AP15*'2023 Arbavg tjeneste'!K15/'2023 Lønnsgr arbavg tjeneste'!K15)</f>
        <v>2.3920024656447414E-3</v>
      </c>
      <c r="AR15" s="5">
        <f>IF(AN15=0,0,'[2]2023 Nto driftsutg landet'!$C$23*'2023 Lønnsand og arbavg landet'!$D$13*('2023 Arbavg tjeneste'!K15/'2023 Lønnsgr arbavg tjeneste'!K15-$AQ$17))</f>
        <v>-33.378282098744229</v>
      </c>
      <c r="AS15" s="5">
        <f t="shared" si="20"/>
        <v>-8121.9040048053348</v>
      </c>
      <c r="AT15" s="55">
        <f>IF('2023 Lønnsgr arbavg tjeneste'!L15&lt;100,0,(C15/$C$17)*'2023 Arbavg tjeneste'!L15/'2023 Lønnsgr arbavg tjeneste'!L15)</f>
        <v>2.2905768354059657E-3</v>
      </c>
      <c r="AU15" s="5">
        <f>IF('2023 Lønnsgr arbavg tjeneste'!L15&lt;100,0,C15)</f>
        <v>243329</v>
      </c>
      <c r="AV15" s="55">
        <f t="shared" si="5"/>
        <v>5.0670971971234477E-2</v>
      </c>
      <c r="AW15" s="55">
        <f t="shared" si="6"/>
        <v>1</v>
      </c>
      <c r="AX15" s="55">
        <f>IF(AU15=0,0,(AU15/$AU$17)*AW15*'2023 Arbavg tjeneste'!L15/'2023 Lønnsgr arbavg tjeneste'!L15)</f>
        <v>2.6301553480410759E-3</v>
      </c>
      <c r="AY15" s="5">
        <f>IF(AU15=0,0,'[2]2023 Nto driftsutg landet'!$C$24*'2023 Lønnsand og arbavg landet'!$D$14*('2023 Arbavg tjeneste'!L15/'2023 Lønnsgr arbavg tjeneste'!L15-$AX$17))</f>
        <v>-5.1472545980822568</v>
      </c>
      <c r="AZ15" s="5">
        <f t="shared" si="21"/>
        <v>-1252.4763140967575</v>
      </c>
      <c r="BA15" s="55">
        <f>IF('2023 Lønnsgr arbavg tjeneste'!M15&lt;100,0,(C15/$C$17)*'2023 Arbavg tjeneste'!M15/'2023 Lønnsgr arbavg tjeneste'!M15)</f>
        <v>2.0200889903385939E-3</v>
      </c>
      <c r="BB15" s="5">
        <f>IF('2023 Lønnsgr arbavg tjeneste'!M15&lt;100,0,C15)</f>
        <v>243329</v>
      </c>
      <c r="BC15" s="55">
        <f t="shared" si="7"/>
        <v>5.0670971971234477E-2</v>
      </c>
      <c r="BD15" s="55">
        <f t="shared" si="8"/>
        <v>1</v>
      </c>
      <c r="BE15" s="55">
        <f>IF(BB15=0,0,(BB15/$BB$17)*BD15*'2023 Arbavg tjeneste'!M15/'2023 Lønnsgr arbavg tjeneste'!M15)</f>
        <v>2.3195676212783688E-3</v>
      </c>
      <c r="BF15" s="5">
        <f>IF(BB15=0,0,'[2]2023 Nto driftsutg landet'!$C$25*'2023 Lønnsand og arbavg landet'!$D$15*('2023 Arbavg tjeneste'!M15/'2023 Lønnsgr arbavg tjeneste'!M15-$BE$17))</f>
        <v>0.43849549814501904</v>
      </c>
      <c r="BG15" s="5">
        <f t="shared" si="22"/>
        <v>106.69867106812933</v>
      </c>
      <c r="BH15" s="55">
        <f>IF('2023 Lønnsgr arbavg tjeneste'!N15&lt;100,0,(C15/$C$17)*'2023 Arbavg tjeneste'!N15/'2023 Lønnsgr arbavg tjeneste'!N15)</f>
        <v>1.5171687134214464E-3</v>
      </c>
      <c r="BI15" s="5">
        <f>IF('2023 Lønnsgr arbavg tjeneste'!N15&lt;100,0,C15)</f>
        <v>243329</v>
      </c>
      <c r="BJ15" s="55">
        <f t="shared" si="9"/>
        <v>4.4128859046770656E-2</v>
      </c>
      <c r="BK15" s="55">
        <f t="shared" si="10"/>
        <v>1</v>
      </c>
      <c r="BL15" s="55">
        <f>IF(BI15=0,0,(BI15/$BI$17)*BK15*'2023 Arbavg tjeneste'!N15/'2023 Lønnsgr arbavg tjeneste'!N15)</f>
        <v>1.5171687134214464E-3</v>
      </c>
      <c r="BM15" s="5">
        <f>IF(BI15=0,0,'[2]2023 Nto driftsutg landet'!$C$26*'2023 Lønnsand og arbavg landet'!$D$16*('2023 Arbavg tjeneste'!N15/'2023 Lønnsgr arbavg tjeneste'!N15-$BL$17))</f>
        <v>-3.3813682777130758</v>
      </c>
      <c r="BN15" s="5">
        <f t="shared" si="23"/>
        <v>-822.78496164764499</v>
      </c>
      <c r="BO15" s="55">
        <f>IF('2023 Lønnsgr arbavg tjeneste'!O15&lt;100,0,(C15/$C$17)*'2023 Arbavg tjeneste'!O15/'2023 Lønnsgr arbavg tjeneste'!O15)</f>
        <v>0</v>
      </c>
      <c r="BP15" s="5">
        <f>IF('2023 Lønnsgr arbavg tjeneste'!O15&lt;100,0,C15)</f>
        <v>0</v>
      </c>
      <c r="BQ15" s="55">
        <f t="shared" si="11"/>
        <v>0</v>
      </c>
      <c r="BR15" s="55">
        <f t="shared" si="12"/>
        <v>1</v>
      </c>
      <c r="BS15" s="55">
        <f>IF(BP15=0,0,(BP15/$BP$17)*BR15*'2023 Arbavg tjeneste'!O15/'2023 Lønnsgr arbavg tjeneste'!O15)</f>
        <v>0</v>
      </c>
      <c r="BT15" s="5">
        <f>IF(BP15=0,0,'[2]2023 Nto driftsutg landet'!$C$27*'2023 Lønnsand og arbavg landet'!$D$17*('2023 Arbavg tjeneste'!O15/'2023 Lønnsgr arbavg tjeneste'!O15-$BS$17))</f>
        <v>0</v>
      </c>
      <c r="BU15" s="5">
        <f t="shared" si="24"/>
        <v>0</v>
      </c>
      <c r="BV15" s="55">
        <f>IF('2023 Lønnsgr arbavg tjeneste'!P15&lt;100,0,(C15/$C$17)*'2023 Arbavg tjeneste'!P15/'2023 Lønnsgr arbavg tjeneste'!P15)</f>
        <v>3.5590621223071817E-3</v>
      </c>
      <c r="BW15" s="5">
        <f>IF('2023 Lønnsgr arbavg tjeneste'!P15&lt;100,0,C15)</f>
        <v>243329</v>
      </c>
      <c r="BX15" s="55">
        <f t="shared" si="13"/>
        <v>6.3856208652915289E-2</v>
      </c>
      <c r="BY15" s="55">
        <f t="shared" si="14"/>
        <v>1</v>
      </c>
      <c r="BZ15" s="55">
        <f>IF(BW15=0,0,(BW15/$BW$17)*BY15*'2023 Arbavg tjeneste'!P15/'2023 Lønnsgr arbavg tjeneste'!P15)</f>
        <v>5.1501039999665788E-3</v>
      </c>
      <c r="CA15" s="5">
        <f>IF(BW15=0,0,'[2]2023 Nto driftsutg landet'!$C$28*'2023 Lønnsand og arbavg landet'!$D$18*('2023 Arbavg tjeneste'!P15/'2023 Lønnsgr arbavg tjeneste'!P15-$BZ$17))</f>
        <v>0.24608365218323514</v>
      </c>
      <c r="CB15" s="5">
        <f t="shared" si="25"/>
        <v>59.879289002094424</v>
      </c>
      <c r="CC15" s="5"/>
      <c r="CD15" s="5"/>
      <c r="CE15" s="5"/>
    </row>
    <row r="16" spans="1:83" x14ac:dyDescent="0.3">
      <c r="B16" s="43"/>
      <c r="C16" s="43"/>
      <c r="D16" s="43"/>
      <c r="E16" s="43"/>
      <c r="F16" s="43"/>
      <c r="G16" s="43"/>
    </row>
    <row r="17" spans="2:83" x14ac:dyDescent="0.3">
      <c r="B17" s="42" t="s">
        <v>3</v>
      </c>
      <c r="C17" s="5">
        <f>SUM(C5:C16)</f>
        <v>5514056</v>
      </c>
      <c r="D17" s="55">
        <f>SUM(D5:D16)</f>
        <v>0.13027714965941661</v>
      </c>
      <c r="E17" s="5">
        <f>SUM(E5:E16)</f>
        <v>5514056</v>
      </c>
      <c r="F17" s="55">
        <f>SUM(F5:F16)</f>
        <v>0.99999999999999989</v>
      </c>
      <c r="G17" s="5"/>
      <c r="H17" s="55">
        <f>SUM(H5:H16)</f>
        <v>0.13027714965941661</v>
      </c>
      <c r="I17" s="5"/>
      <c r="J17" s="5">
        <f>SUM(J5:J16)</f>
        <v>0</v>
      </c>
      <c r="K17" s="55">
        <f>SUM(K5:K16)</f>
        <v>0.22241808174222802</v>
      </c>
      <c r="L17" s="5">
        <f>SUM(L5:L16)</f>
        <v>5514056</v>
      </c>
      <c r="M17" s="55">
        <f>SUM(M5:M16)</f>
        <v>1</v>
      </c>
      <c r="N17" s="5"/>
      <c r="O17" s="55">
        <f>SUM(O5:O16)</f>
        <v>0.22241808174222802</v>
      </c>
      <c r="P17" s="5"/>
      <c r="Q17" s="5">
        <f>SUM(Q5:Q16)</f>
        <v>2.5465851649641991E-11</v>
      </c>
      <c r="R17" s="55">
        <f>SUM(R5:R16)</f>
        <v>0.13293910568016384</v>
      </c>
      <c r="S17" s="5">
        <f>SUM(S5:S16)</f>
        <v>5514056</v>
      </c>
      <c r="T17" s="55">
        <f>SUM(T5:T16)</f>
        <v>1</v>
      </c>
      <c r="U17" s="5"/>
      <c r="V17" s="55">
        <f>SUM(V5:V16)</f>
        <v>0.13293910568016384</v>
      </c>
      <c r="W17" s="5"/>
      <c r="X17" s="5">
        <f>SUM(X5:X16)</f>
        <v>2.9558577807620168E-12</v>
      </c>
      <c r="Y17" s="55">
        <f>SUM(Y5:Y16)</f>
        <v>7.1720414959771342E-2</v>
      </c>
      <c r="Z17" s="5">
        <f>SUM(Z5:Z16)</f>
        <v>2422503</v>
      </c>
      <c r="AA17" s="55">
        <f>SUM(AA5:AA16)</f>
        <v>1.6223919044163007</v>
      </c>
      <c r="AB17" s="5"/>
      <c r="AC17" s="55">
        <f>SUM(AC5:AC16)</f>
        <v>0.10062221470190402</v>
      </c>
      <c r="AD17" s="5"/>
      <c r="AE17" s="5">
        <f>SUM(AE5:AE16)</f>
        <v>2.2737367544323206E-13</v>
      </c>
      <c r="AF17" s="55">
        <f>SUM(AF5:AF16)</f>
        <v>0.12688575327246912</v>
      </c>
      <c r="AG17" s="5">
        <f>SUM(AG5:AG16)</f>
        <v>5514056</v>
      </c>
      <c r="AH17" s="55">
        <f>SUM(AH5:AH16)</f>
        <v>1</v>
      </c>
      <c r="AI17" s="5"/>
      <c r="AJ17" s="55">
        <f>SUM(AJ5:AJ16)</f>
        <v>0.12688575327246912</v>
      </c>
      <c r="AK17" s="5"/>
      <c r="AL17" s="5">
        <f>SUM(AL5:AL16)</f>
        <v>4.0017766878008842E-11</v>
      </c>
      <c r="AM17" s="55">
        <f>SUM(AM5:AM16)</f>
        <v>0.12235331382246115</v>
      </c>
      <c r="AN17" s="5">
        <f>SUM(AN5:AN16)</f>
        <v>5514056</v>
      </c>
      <c r="AO17" s="55">
        <f>SUM(AO5:AO16)</f>
        <v>1</v>
      </c>
      <c r="AP17" s="5"/>
      <c r="AQ17" s="55">
        <f>SUM(AQ5:AQ16)</f>
        <v>0.12235331382246115</v>
      </c>
      <c r="AR17" s="5"/>
      <c r="AS17" s="5">
        <f>SUM(AS5:AS16)</f>
        <v>2.0008883439004421E-11</v>
      </c>
      <c r="AT17" s="55">
        <f>SUM(AT5:AT16)</f>
        <v>0.11531515319440926</v>
      </c>
      <c r="AU17" s="5">
        <f>SUM(AU5:AU16)</f>
        <v>4802138</v>
      </c>
      <c r="AV17" s="55">
        <f>SUM(AV5:AV16)</f>
        <v>1</v>
      </c>
      <c r="AW17" s="5"/>
      <c r="AX17" s="55">
        <f>SUM(AX5:AX16)</f>
        <v>0.13241064966532648</v>
      </c>
      <c r="AY17" s="5"/>
      <c r="AZ17" s="5">
        <f>SUM(AZ5:AZ16)</f>
        <v>0</v>
      </c>
      <c r="BA17" s="55">
        <f>SUM(BA5:BA16)</f>
        <v>0.11775174919791094</v>
      </c>
      <c r="BB17" s="5">
        <f>SUM(BB5:BB16)</f>
        <v>4802138</v>
      </c>
      <c r="BC17" s="55">
        <f>SUM(BC5:BC16)</f>
        <v>1</v>
      </c>
      <c r="BD17" s="5"/>
      <c r="BE17" s="55">
        <f>SUM(BE5:BE16)</f>
        <v>0.13520847155480245</v>
      </c>
      <c r="BF17" s="5"/>
      <c r="BG17" s="5">
        <f>SUM(BG5:BG16)</f>
        <v>-4.8316906031686813E-13</v>
      </c>
      <c r="BH17" s="55">
        <f>SUM(BH5:BH16)</f>
        <v>0.13025104170964327</v>
      </c>
      <c r="BI17" s="5">
        <f>SUM(BI5:BI16)</f>
        <v>5514056</v>
      </c>
      <c r="BJ17" s="55">
        <f>SUM(BJ5:BJ16)</f>
        <v>1</v>
      </c>
      <c r="BK17" s="5"/>
      <c r="BL17" s="55">
        <f>SUM(BL5:BL16)</f>
        <v>0.13025104170964327</v>
      </c>
      <c r="BM17" s="5"/>
      <c r="BN17" s="5">
        <f>SUM(BN5:BN16)</f>
        <v>-2.0463630789890885E-12</v>
      </c>
      <c r="BO17" s="55">
        <f>SUM(BO5:BO16)</f>
        <v>4.2587588380198549E-2</v>
      </c>
      <c r="BP17" s="5">
        <f>SUM(BP5:BP16)</f>
        <v>1731199</v>
      </c>
      <c r="BQ17" s="55">
        <f>SUM(BQ5:BQ16)</f>
        <v>1</v>
      </c>
      <c r="BR17" s="5"/>
      <c r="BS17" s="55">
        <f>SUM(BS5:BS16)</f>
        <v>0.13564607375198581</v>
      </c>
      <c r="BT17" s="5"/>
      <c r="BU17" s="5">
        <f>SUM(BU5:BU16)</f>
        <v>1.0658141036401503E-14</v>
      </c>
      <c r="BV17" s="55">
        <f>SUM(BV5:BV16)</f>
        <v>9.6516531854310958E-2</v>
      </c>
      <c r="BW17" s="5">
        <f>SUM(BW5:BW16)</f>
        <v>3810577</v>
      </c>
      <c r="BX17" s="55">
        <f>SUM(BX5:BX16)</f>
        <v>1</v>
      </c>
      <c r="BY17" s="5"/>
      <c r="BZ17" s="55">
        <f>SUM(BZ5:BZ16)</f>
        <v>0.13966324826147178</v>
      </c>
      <c r="CA17" s="55"/>
      <c r="CB17" s="5">
        <f>SUM(CB5:CB16)</f>
        <v>-2.2737367544323206E-13</v>
      </c>
      <c r="CC17" s="5"/>
      <c r="CD17" s="5"/>
      <c r="CE17" s="5"/>
    </row>
    <row r="18" spans="2:83" x14ac:dyDescent="0.3">
      <c r="CD18" s="5"/>
    </row>
  </sheetData>
  <sheetProtection algorithmName="SHA-512" hashValue="3VFM0m8YaGR+Ypf9SQAgDP++Ro090W8rPjR9hO5nxD4FY0GHrGmpF8ks+HUX4SrMZklpLYITRBsTsFA3WwfJnQ==" saltValue="xS7snYxvO27S9PcHZZAp2Q==" spinCount="100000" sheet="1" selectLockedCells="1" selectUnlockedCells="1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F189-54D9-4718-9DF3-FBC8BAB4286E}">
  <dimension ref="A1:K18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3" width="12" customWidth="1"/>
    <col min="4" max="6" width="17" customWidth="1"/>
    <col min="7" max="9" width="16.5546875" customWidth="1"/>
    <col min="10" max="10" width="15.44140625" customWidth="1"/>
    <col min="11" max="11" width="16.88671875" customWidth="1"/>
  </cols>
  <sheetData>
    <row r="1" spans="1:11" x14ac:dyDescent="0.3">
      <c r="G1" s="95"/>
      <c r="H1" s="54"/>
      <c r="I1" s="54"/>
    </row>
    <row r="2" spans="1:11" ht="40.200000000000003" x14ac:dyDescent="0.3">
      <c r="A2" s="22" t="s">
        <v>2</v>
      </c>
      <c r="B2" s="22" t="s">
        <v>1</v>
      </c>
      <c r="C2" s="22" t="s">
        <v>411</v>
      </c>
      <c r="D2" s="22" t="s">
        <v>119</v>
      </c>
      <c r="E2" s="22" t="s">
        <v>116</v>
      </c>
      <c r="F2" s="22" t="s">
        <v>117</v>
      </c>
      <c r="G2" s="22" t="s">
        <v>382</v>
      </c>
      <c r="H2" s="22" t="s">
        <v>383</v>
      </c>
      <c r="I2" s="22" t="s">
        <v>384</v>
      </c>
      <c r="J2" s="22" t="s">
        <v>118</v>
      </c>
      <c r="K2" s="22" t="s">
        <v>385</v>
      </c>
    </row>
    <row r="3" spans="1:11" x14ac:dyDescent="0.3">
      <c r="A3" s="107">
        <v>1</v>
      </c>
      <c r="B3" s="107">
        <f>+A3+1</f>
        <v>2</v>
      </c>
      <c r="C3" s="107">
        <f t="shared" ref="C3:K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</row>
    <row r="5" spans="1:11" x14ac:dyDescent="0.3">
      <c r="A5" s="41">
        <v>300</v>
      </c>
      <c r="B5" s="42" t="s">
        <v>0</v>
      </c>
      <c r="C5" s="42">
        <f>+'2023 Nto driftsutg'!W5</f>
        <v>711918</v>
      </c>
      <c r="D5" s="5">
        <f>+'2023 Nto driftsutg eks avskriv'!R5</f>
        <v>-656025.221676777</v>
      </c>
      <c r="E5" s="5">
        <f>+'2023 Lønnsgr pensjon tjeneste'!C5</f>
        <v>2392173</v>
      </c>
      <c r="F5" s="55">
        <f>+D5/E5</f>
        <v>-0.27423820170061991</v>
      </c>
      <c r="G5" s="5">
        <f>'2023 Lønnsand og pensjon landet'!$C$6*'2023 Lønnsand og arbavg landet'!$D$6*'2023 Revekting utgiftsbehov'!D5+'2023 Lønnsand og pensjon landet'!$C$7*'2023 Lønnsand og arbavg landet'!$D$7*'2023 Revekting utgiftsbehov'!E5+'2023 Lønnsand og pensjon landet'!$C$8*'2023 Lønnsand og arbavg landet'!$D$8*'2023 Revekting utgiftsbehov'!F5+'2023 Lønnsand og pensjon landet'!$C$9*'2023 Lønnsand og arbavg landet'!$D$9*'2023 Revekting utgiftsbehov'!G5+'2023 Lønnsand og pensjon landet'!$C$10*'2023 Lønnsand og arbavg landet'!$D$10*'2023 Revekting utgiftsbehov'!H5+'2023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3955.5383342117384</v>
      </c>
      <c r="H5" s="55">
        <f t="shared" ref="H5:H15" si="1">G5/G$17</f>
        <v>0.73091222207041329</v>
      </c>
      <c r="I5" s="55">
        <f t="shared" ref="I5:I15" si="2">F5*(G5*C5)/(G$17*C$17)</f>
        <v>-2.5879267384175616E-2</v>
      </c>
      <c r="J5" s="5">
        <f t="shared" ref="J5:J15" si="3">(F5-$I$17)*$G$17*H5</f>
        <v>-662.89771612027437</v>
      </c>
      <c r="K5" s="5">
        <f>J5*C5</f>
        <v>-471928816.2649135</v>
      </c>
    </row>
    <row r="6" spans="1:11" x14ac:dyDescent="0.3">
      <c r="A6" s="41">
        <v>1100</v>
      </c>
      <c r="B6" s="42" t="s">
        <v>139</v>
      </c>
      <c r="C6" s="42">
        <f>+'2023 Nto driftsutg'!W6</f>
        <v>495545</v>
      </c>
      <c r="D6" s="5">
        <f>+'2023 Nto driftsutg eks avskriv'!R6</f>
        <v>-272716</v>
      </c>
      <c r="E6" s="5">
        <f>+'2023 Lønnsgr pensjon tjeneste'!C6</f>
        <v>2833636</v>
      </c>
      <c r="F6" s="55">
        <f t="shared" ref="F6:F15" si="4">+D6/E6</f>
        <v>-9.6242424926843109E-2</v>
      </c>
      <c r="G6" s="5">
        <f>'2023 Lønnsand og pensjon landet'!$C$6*'2023 Lønnsand og arbavg landet'!$D$6*'2023 Revekting utgiftsbehov'!D6+'2023 Lønnsand og pensjon landet'!$C$7*'2023 Lønnsand og arbavg landet'!$D$7*'2023 Revekting utgiftsbehov'!E6+'2023 Lønnsand og pensjon landet'!$C$8*'2023 Lønnsand og arbavg landet'!$D$8*'2023 Revekting utgiftsbehov'!F6+'2023 Lønnsand og pensjon landet'!$C$9*'2023 Lønnsand og arbavg landet'!$D$9*'2023 Revekting utgiftsbehov'!G6+'2023 Lønnsand og pensjon landet'!$C$10*'2023 Lønnsand og arbavg landet'!$D$10*'2023 Revekting utgiftsbehov'!H6+'2023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5717.8626942476149</v>
      </c>
      <c r="H6" s="55">
        <f t="shared" si="1"/>
        <v>1.0565580141644333</v>
      </c>
      <c r="I6" s="55">
        <f t="shared" si="2"/>
        <v>-9.1384350942686782E-3</v>
      </c>
      <c r="J6" s="5">
        <f t="shared" si="3"/>
        <v>59.51463619505445</v>
      </c>
      <c r="K6" s="5">
        <f t="shared" ref="K6:K15" si="5">J6*C6</f>
        <v>29492180.393278256</v>
      </c>
    </row>
    <row r="7" spans="1:11" x14ac:dyDescent="0.3">
      <c r="A7" s="41">
        <v>1500</v>
      </c>
      <c r="B7" s="42" t="s">
        <v>140</v>
      </c>
      <c r="C7" s="42">
        <f>+'2023 Nto driftsutg'!W7</f>
        <v>269164</v>
      </c>
      <c r="D7" s="5">
        <f>+'2023 Nto driftsutg eks avskriv'!R7</f>
        <v>-182410</v>
      </c>
      <c r="E7" s="5">
        <f>+'2023 Lønnsgr pensjon tjeneste'!C7</f>
        <v>1621048</v>
      </c>
      <c r="F7" s="55">
        <f t="shared" si="4"/>
        <v>-0.11252597085342322</v>
      </c>
      <c r="G7" s="5">
        <f>'2023 Lønnsand og pensjon landet'!$C$6*'2023 Lønnsand og arbavg landet'!$D$6*'2023 Revekting utgiftsbehov'!D7+'2023 Lønnsand og pensjon landet'!$C$7*'2023 Lønnsand og arbavg landet'!$D$7*'2023 Revekting utgiftsbehov'!E7+'2023 Lønnsand og pensjon landet'!$C$8*'2023 Lønnsand og arbavg landet'!$D$8*'2023 Revekting utgiftsbehov'!F7+'2023 Lønnsand og pensjon landet'!$C$9*'2023 Lønnsand og arbavg landet'!$D$9*'2023 Revekting utgiftsbehov'!G7+'2023 Lønnsand og pensjon landet'!$C$10*'2023 Lønnsand og arbavg landet'!$D$10*'2023 Revekting utgiftsbehov'!H7+'2023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5987.3159678807933</v>
      </c>
      <c r="H7" s="55">
        <f t="shared" si="1"/>
        <v>1.1063481247220701</v>
      </c>
      <c r="I7" s="55">
        <f t="shared" si="2"/>
        <v>-6.0770159178693516E-3</v>
      </c>
      <c r="J7" s="5">
        <f t="shared" si="3"/>
        <v>-35.175481583448402</v>
      </c>
      <c r="K7" s="5">
        <f t="shared" si="5"/>
        <v>-9467973.3249273058</v>
      </c>
    </row>
    <row r="8" spans="1:11" x14ac:dyDescent="0.3">
      <c r="A8" s="41">
        <v>1800</v>
      </c>
      <c r="B8" s="42" t="s">
        <v>141</v>
      </c>
      <c r="C8" s="42">
        <f>+'2023 Nto driftsutg'!W8</f>
        <v>241960</v>
      </c>
      <c r="D8" s="5">
        <f>+'2023 Nto driftsutg eks avskriv'!R8</f>
        <v>-200862</v>
      </c>
      <c r="E8" s="5">
        <f>+'2023 Lønnsgr pensjon tjeneste'!C8</f>
        <v>1892941</v>
      </c>
      <c r="F8" s="55">
        <f t="shared" si="4"/>
        <v>-0.10611107266417706</v>
      </c>
      <c r="G8" s="5">
        <f>'2023 Lønnsand og pensjon landet'!$C$6*'2023 Lønnsand og arbavg landet'!$D$6*'2023 Revekting utgiftsbehov'!D8+'2023 Lønnsand og pensjon landet'!$C$7*'2023 Lønnsand og arbavg landet'!$D$7*'2023 Revekting utgiftsbehov'!E8+'2023 Lønnsand og pensjon landet'!$C$8*'2023 Lønnsand og arbavg landet'!$D$8*'2023 Revekting utgiftsbehov'!F8+'2023 Lønnsand og pensjon landet'!$C$9*'2023 Lønnsand og arbavg landet'!$D$9*'2023 Revekting utgiftsbehov'!G8+'2023 Lønnsand og pensjon landet'!$C$10*'2023 Lønnsand og arbavg landet'!$D$10*'2023 Revekting utgiftsbehov'!H8+'2023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6046.5260721285931</v>
      </c>
      <c r="H8" s="55">
        <f t="shared" si="1"/>
        <v>1.1172890852710986</v>
      </c>
      <c r="I8" s="55">
        <f t="shared" si="2"/>
        <v>-5.2023391877554477E-3</v>
      </c>
      <c r="J8" s="5">
        <f t="shared" si="3"/>
        <v>3.2645082027318431</v>
      </c>
      <c r="K8" s="5">
        <f t="shared" si="5"/>
        <v>789880.40473299671</v>
      </c>
    </row>
    <row r="9" spans="1:11" x14ac:dyDescent="0.3">
      <c r="A9" s="41">
        <v>3000</v>
      </c>
      <c r="B9" s="42" t="s">
        <v>403</v>
      </c>
      <c r="C9" s="42">
        <f>+'2023 Nto driftsutg'!W9</f>
        <v>1300096</v>
      </c>
      <c r="D9" s="5">
        <f>+'2023 Nto driftsutg eks avskriv'!R9</f>
        <v>-609560</v>
      </c>
      <c r="E9" s="5">
        <f>+'2023 Lønnsgr pensjon tjeneste'!C9</f>
        <v>6885107</v>
      </c>
      <c r="F9" s="55">
        <f t="shared" si="4"/>
        <v>-8.8533119383620323E-2</v>
      </c>
      <c r="G9" s="5">
        <f>'2023 Lønnsand og pensjon landet'!$C$6*'2023 Lønnsand og arbavg landet'!$D$6*'2023 Revekting utgiftsbehov'!D9+'2023 Lønnsand og pensjon landet'!$C$7*'2023 Lønnsand og arbavg landet'!$D$7*'2023 Revekting utgiftsbehov'!E9+'2023 Lønnsand og pensjon landet'!$C$8*'2023 Lønnsand og arbavg landet'!$D$8*'2023 Revekting utgiftsbehov'!F9+'2023 Lønnsand og pensjon landet'!$C$9*'2023 Lønnsand og arbavg landet'!$D$9*'2023 Revekting utgiftsbehov'!G9+'2023 Lønnsand og pensjon landet'!$C$10*'2023 Lønnsand og arbavg landet'!$D$10*'2023 Revekting utgiftsbehov'!H9+'2023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5355.5798641960891</v>
      </c>
      <c r="H9" s="55">
        <f t="shared" si="1"/>
        <v>0.98961467397716452</v>
      </c>
      <c r="I9" s="55">
        <f t="shared" si="2"/>
        <v>-2.0657422995017619E-2</v>
      </c>
      <c r="J9" s="5">
        <f t="shared" si="3"/>
        <v>97.031600270738252</v>
      </c>
      <c r="K9" s="5">
        <f t="shared" si="5"/>
        <v>126150395.38558573</v>
      </c>
    </row>
    <row r="10" spans="1:11" x14ac:dyDescent="0.3">
      <c r="A10" s="41">
        <v>3400</v>
      </c>
      <c r="B10" s="42" t="s">
        <v>404</v>
      </c>
      <c r="C10" s="42">
        <f>+'2023 Nto driftsutg'!W10</f>
        <v>374624</v>
      </c>
      <c r="D10" s="5">
        <f>+'2023 Nto driftsutg eks avskriv'!R10</f>
        <v>-276193</v>
      </c>
      <c r="E10" s="5">
        <f>+'2023 Lønnsgr pensjon tjeneste'!C10</f>
        <v>2395477</v>
      </c>
      <c r="F10" s="55">
        <f t="shared" si="4"/>
        <v>-0.11529770479950339</v>
      </c>
      <c r="G10" s="5">
        <f>'2023 Lønnsand og pensjon landet'!$C$6*'2023 Lønnsand og arbavg landet'!$D$6*'2023 Revekting utgiftsbehov'!D10+'2023 Lønnsand og pensjon landet'!$C$7*'2023 Lønnsand og arbavg landet'!$D$7*'2023 Revekting utgiftsbehov'!E10+'2023 Lønnsand og pensjon landet'!$C$8*'2023 Lønnsand og arbavg landet'!$D$8*'2023 Revekting utgiftsbehov'!F10+'2023 Lønnsand og pensjon landet'!$C$9*'2023 Lønnsand og arbavg landet'!$D$9*'2023 Revekting utgiftsbehov'!G10+'2023 Lønnsand og pensjon landet'!$C$10*'2023 Lønnsand og arbavg landet'!$D$10*'2023 Revekting utgiftsbehov'!H10+'2023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5531.6816698595749</v>
      </c>
      <c r="H10" s="55">
        <f t="shared" si="1"/>
        <v>1.0221551150531225</v>
      </c>
      <c r="I10" s="55">
        <f t="shared" si="2"/>
        <v>-8.0068536869873624E-3</v>
      </c>
      <c r="J10" s="5">
        <f t="shared" si="3"/>
        <v>-47.830979925122477</v>
      </c>
      <c r="K10" s="5">
        <f t="shared" si="5"/>
        <v>-17918633.023469083</v>
      </c>
    </row>
    <row r="11" spans="1:11" x14ac:dyDescent="0.3">
      <c r="A11" s="41">
        <v>3800</v>
      </c>
      <c r="B11" s="42" t="s">
        <v>405</v>
      </c>
      <c r="C11" s="42">
        <f>+'2023 Nto driftsutg'!W11</f>
        <v>431103</v>
      </c>
      <c r="D11" s="5">
        <f>+'2023 Nto driftsutg eks avskriv'!R11</f>
        <v>-302629</v>
      </c>
      <c r="E11" s="5">
        <f>+'2023 Lønnsgr pensjon tjeneste'!C11</f>
        <v>2610180</v>
      </c>
      <c r="F11" s="55">
        <f t="shared" si="4"/>
        <v>-0.1159418124420538</v>
      </c>
      <c r="G11" s="5">
        <f>'2023 Lønnsand og pensjon landet'!$C$6*'2023 Lønnsand og arbavg landet'!$D$6*'2023 Revekting utgiftsbehov'!D11+'2023 Lønnsand og pensjon landet'!$C$7*'2023 Lønnsand og arbavg landet'!$D$7*'2023 Revekting utgiftsbehov'!E11+'2023 Lønnsand og pensjon landet'!$C$8*'2023 Lønnsand og arbavg landet'!$D$8*'2023 Revekting utgiftsbehov'!F11+'2023 Lønnsand og pensjon landet'!$C$9*'2023 Lønnsand og arbavg landet'!$D$9*'2023 Revekting utgiftsbehov'!G11+'2023 Lønnsand og pensjon landet'!$C$10*'2023 Lønnsand og arbavg landet'!$D$10*'2023 Revekting utgiftsbehov'!H11+'2023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5464.8248310241925</v>
      </c>
      <c r="H11" s="55">
        <f t="shared" si="1"/>
        <v>1.0098011757141652</v>
      </c>
      <c r="I11" s="55">
        <f t="shared" si="2"/>
        <v>-9.1534714181040581E-3</v>
      </c>
      <c r="J11" s="5">
        <f t="shared" si="3"/>
        <v>-50.772822063059962</v>
      </c>
      <c r="K11" s="5">
        <f t="shared" si="5"/>
        <v>-21888315.909851339</v>
      </c>
    </row>
    <row r="12" spans="1:11" x14ac:dyDescent="0.3">
      <c r="A12" s="41">
        <v>4200</v>
      </c>
      <c r="B12" s="42" t="s">
        <v>406</v>
      </c>
      <c r="C12" s="42">
        <f>+'2023 Nto driftsutg'!W12</f>
        <v>317444</v>
      </c>
      <c r="D12" s="5">
        <f>+'2023 Nto driftsutg eks avskriv'!R12</f>
        <v>-248648</v>
      </c>
      <c r="E12" s="5">
        <f>+'2023 Lønnsgr pensjon tjeneste'!C12</f>
        <v>2020318</v>
      </c>
      <c r="F12" s="55">
        <f t="shared" si="4"/>
        <v>-0.12307369433920799</v>
      </c>
      <c r="G12" s="5">
        <f>'2023 Lønnsand og pensjon landet'!$C$6*'2023 Lønnsand og arbavg landet'!$D$6*'2023 Revekting utgiftsbehov'!D12+'2023 Lønnsand og pensjon landet'!$C$7*'2023 Lønnsand og arbavg landet'!$D$7*'2023 Revekting utgiftsbehov'!E12+'2023 Lønnsand og pensjon landet'!$C$8*'2023 Lønnsand og arbavg landet'!$D$8*'2023 Revekting utgiftsbehov'!F12+'2023 Lønnsand og pensjon landet'!$C$9*'2023 Lønnsand og arbavg landet'!$D$9*'2023 Revekting utgiftsbehov'!G12+'2023 Lønnsand og pensjon landet'!$C$10*'2023 Lønnsand og arbavg landet'!$D$10*'2023 Revekting utgiftsbehov'!H12+'2023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5819.6505612700666</v>
      </c>
      <c r="H12" s="55">
        <f t="shared" si="1"/>
        <v>1.0753665782027879</v>
      </c>
      <c r="I12" s="55">
        <f t="shared" si="2"/>
        <v>-7.6193464681338094E-3</v>
      </c>
      <c r="J12" s="5">
        <f t="shared" si="3"/>
        <v>-95.574512216158084</v>
      </c>
      <c r="K12" s="5">
        <f t="shared" si="5"/>
        <v>-30339555.455946088</v>
      </c>
    </row>
    <row r="13" spans="1:11" x14ac:dyDescent="0.3">
      <c r="A13" s="41">
        <v>4600</v>
      </c>
      <c r="B13" s="42" t="s">
        <v>407</v>
      </c>
      <c r="C13" s="42">
        <f>+'2023 Nto driftsutg'!W13</f>
        <v>648436</v>
      </c>
      <c r="D13" s="5">
        <f>+'2023 Nto driftsutg eks avskriv'!R13</f>
        <v>-129001</v>
      </c>
      <c r="E13" s="5">
        <f>+'2023 Lønnsgr pensjon tjeneste'!C13</f>
        <v>3616790</v>
      </c>
      <c r="F13" s="55">
        <f t="shared" si="4"/>
        <v>-3.5667262959696307E-2</v>
      </c>
      <c r="G13" s="5">
        <f>'2023 Lønnsand og pensjon landet'!$C$6*'2023 Lønnsand og arbavg landet'!$D$6*'2023 Revekting utgiftsbehov'!D13+'2023 Lønnsand og pensjon landet'!$C$7*'2023 Lønnsand og arbavg landet'!$D$7*'2023 Revekting utgiftsbehov'!E13+'2023 Lønnsand og pensjon landet'!$C$8*'2023 Lønnsand og arbavg landet'!$D$8*'2023 Revekting utgiftsbehov'!F13+'2023 Lønnsand og pensjon landet'!$C$9*'2023 Lønnsand og arbavg landet'!$D$9*'2023 Revekting utgiftsbehov'!G13+'2023 Lønnsand og pensjon landet'!$C$10*'2023 Lønnsand og arbavg landet'!$D$10*'2023 Revekting utgiftsbehov'!H13+'2023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5706.9730124154758</v>
      </c>
      <c r="H13" s="55">
        <f t="shared" si="1"/>
        <v>1.0545457971479206</v>
      </c>
      <c r="I13" s="55">
        <f t="shared" si="2"/>
        <v>-4.4231449775423877E-3</v>
      </c>
      <c r="J13" s="5">
        <f t="shared" si="3"/>
        <v>405.10210501127693</v>
      </c>
      <c r="K13" s="5">
        <f t="shared" si="5"/>
        <v>262682788.56509236</v>
      </c>
    </row>
    <row r="14" spans="1:11" x14ac:dyDescent="0.3">
      <c r="A14" s="41">
        <v>5000</v>
      </c>
      <c r="B14" s="42" t="s">
        <v>388</v>
      </c>
      <c r="C14" s="42">
        <f>+'2023 Nto driftsutg'!W14</f>
        <v>480437</v>
      </c>
      <c r="D14" s="5">
        <f>+'2023 Nto driftsutg eks avskriv'!R14</f>
        <v>-131740</v>
      </c>
      <c r="E14" s="5">
        <f>+'2023 Lønnsgr pensjon tjeneste'!C14</f>
        <v>2844292</v>
      </c>
      <c r="F14" s="55">
        <f t="shared" si="4"/>
        <v>-4.6317326069194018E-2</v>
      </c>
      <c r="G14" s="5">
        <f>'2023 Lønnsand og pensjon landet'!$C$6*'2023 Lønnsand og arbavg landet'!$D$6*'2023 Revekting utgiftsbehov'!D14+'2023 Lønnsand og pensjon landet'!$C$7*'2023 Lønnsand og arbavg landet'!$D$7*'2023 Revekting utgiftsbehov'!E14+'2023 Lønnsand og pensjon landet'!$C$8*'2023 Lønnsand og arbavg landet'!$D$8*'2023 Revekting utgiftsbehov'!F14+'2023 Lønnsand og pensjon landet'!$C$9*'2023 Lønnsand og arbavg landet'!$D$9*'2023 Revekting utgiftsbehov'!G14+'2023 Lønnsand og pensjon landet'!$C$10*'2023 Lønnsand og arbavg landet'!$D$10*'2023 Revekting utgiftsbehov'!H14+'2023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5564.8155618815072</v>
      </c>
      <c r="H14" s="55">
        <f t="shared" si="1"/>
        <v>1.0282776613660047</v>
      </c>
      <c r="I14" s="55">
        <f t="shared" si="2"/>
        <v>-4.1497234451920908E-3</v>
      </c>
      <c r="J14" s="5">
        <f t="shared" si="3"/>
        <v>335.74560514736544</v>
      </c>
      <c r="K14" s="5">
        <f t="shared" si="5"/>
        <v>161304611.30018482</v>
      </c>
    </row>
    <row r="15" spans="1:11" x14ac:dyDescent="0.3">
      <c r="A15" s="41">
        <v>5400</v>
      </c>
      <c r="B15" s="42" t="s">
        <v>408</v>
      </c>
      <c r="C15" s="42">
        <f>+'2023 Nto driftsutg'!W15</f>
        <v>243329</v>
      </c>
      <c r="D15" s="5">
        <f>+'2023 Nto driftsutg eks avskriv'!R15</f>
        <v>-266720</v>
      </c>
      <c r="E15" s="5">
        <f>+'2023 Lønnsgr pensjon tjeneste'!C15</f>
        <v>2119394</v>
      </c>
      <c r="F15" s="55">
        <f t="shared" si="4"/>
        <v>-0.12584729408500731</v>
      </c>
      <c r="G15" s="5">
        <f>'2023 Lønnsand og pensjon landet'!$C$6*'2023 Lønnsand og arbavg landet'!$D$6*'2023 Revekting utgiftsbehov'!D15+'2023 Lønnsand og pensjon landet'!$C$7*'2023 Lønnsand og arbavg landet'!$D$7*'2023 Revekting utgiftsbehov'!E15+'2023 Lønnsand og pensjon landet'!$C$8*'2023 Lønnsand og arbavg landet'!$D$8*'2023 Revekting utgiftsbehov'!F15+'2023 Lønnsand og pensjon landet'!$C$9*'2023 Lønnsand og arbavg landet'!$D$9*'2023 Revekting utgiftsbehov'!G15+'2023 Lønnsand og pensjon landet'!$C$10*'2023 Lønnsand og arbavg landet'!$D$10*'2023 Revekting utgiftsbehov'!H15+'2023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6182.0649020686324</v>
      </c>
      <c r="H15" s="55">
        <f t="shared" si="1"/>
        <v>1.1423342192068413</v>
      </c>
      <c r="I15" s="55">
        <f t="shared" si="2"/>
        <v>-6.3439502329225867E-3</v>
      </c>
      <c r="J15" s="5">
        <f t="shared" si="3"/>
        <v>-118.67291637974155</v>
      </c>
      <c r="K15" s="5">
        <f t="shared" si="5"/>
        <v>-28876562.06976613</v>
      </c>
    </row>
    <row r="16" spans="1:11" x14ac:dyDescent="0.3">
      <c r="B16" s="43"/>
      <c r="C16" s="43"/>
      <c r="F16" s="55"/>
      <c r="H16" s="5"/>
    </row>
    <row r="17" spans="2:11" x14ac:dyDescent="0.3">
      <c r="B17" s="42" t="s">
        <v>3</v>
      </c>
      <c r="C17" s="5">
        <f>SUM(C5:C16)</f>
        <v>5514056</v>
      </c>
      <c r="D17" s="5">
        <f>SUM(D5:D16)</f>
        <v>-3276504.2216767771</v>
      </c>
      <c r="E17" s="5">
        <f>SUM(E5:E16)</f>
        <v>31231356</v>
      </c>
      <c r="F17" s="55">
        <f t="shared" ref="F17" si="6">+D17/E17</f>
        <v>-0.10491072567187852</v>
      </c>
      <c r="G17" s="5">
        <f>'2023 Lønnsand og pensjon landet'!$C$6*'2023 Lønnsand og arbavg landet'!$D$6*'2023 Revekting utgiftsbehov'!D17+'2023 Lønnsand og pensjon landet'!$C$7*'2023 Lønnsand og arbavg landet'!$D$7*'2023 Revekting utgiftsbehov'!E17+'2023 Lønnsand og pensjon landet'!$C$8*'2023 Lønnsand og arbavg landet'!$D$8*'2023 Revekting utgiftsbehov'!F17+'2023 Lønnsand og pensjon landet'!$C$9*'2023 Lønnsand og arbavg landet'!$D$9*'2023 Revekting utgiftsbehov'!G17+'2023 Lønnsand og pensjon landet'!$C$10*'2023 Lønnsand og arbavg landet'!$D$10*'2023 Revekting utgiftsbehov'!H17+'2023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5411.7829949636234</v>
      </c>
      <c r="H17" s="55">
        <f>G17/G$17</f>
        <v>1</v>
      </c>
      <c r="I17" s="55">
        <f>SUM(I5:I15)</f>
        <v>-0.10665097080796901</v>
      </c>
      <c r="J17" s="5"/>
      <c r="K17" s="5">
        <f>SUM(K5:K16)</f>
        <v>6.891787052154541E-7</v>
      </c>
    </row>
    <row r="18" spans="2:11" x14ac:dyDescent="0.3">
      <c r="C18" s="5"/>
      <c r="I18" s="5"/>
    </row>
  </sheetData>
  <sheetProtection algorithmName="SHA-512" hashValue="+CgpF9zGFlkOipJWQBF++h53wz87FB76HFOAMOrBtDUmW8UQhI9Q0ymFBThoVB4prfBIODMnu/9PehNJcepsTA==" saltValue="64KoroxBV+H66g0XNHhLAA==" spinCount="100000" sheet="1" selectLockedCells="1" selectUnlockedCells="1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72DB-5B0A-482F-B538-3CF88C74F0C7}">
  <dimension ref="A1:M17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5.5546875" customWidth="1"/>
    <col min="2" max="2" width="17.88671875" bestFit="1" customWidth="1"/>
    <col min="3" max="8" width="12" customWidth="1"/>
    <col min="9" max="10" width="14.5546875" customWidth="1"/>
    <col min="11" max="11" width="14.88671875" customWidth="1"/>
    <col min="12" max="12" width="14.5546875" customWidth="1"/>
    <col min="13" max="13" width="16.109375" customWidth="1"/>
  </cols>
  <sheetData>
    <row r="1" spans="1:13" x14ac:dyDescent="0.3">
      <c r="D1" s="123"/>
      <c r="E1" s="123"/>
      <c r="F1" s="123"/>
      <c r="G1" s="123"/>
      <c r="H1" s="123"/>
    </row>
    <row r="2" spans="1:13" ht="40.200000000000003" x14ac:dyDescent="0.3">
      <c r="A2" s="22" t="s">
        <v>2</v>
      </c>
      <c r="B2" s="22" t="s">
        <v>1</v>
      </c>
      <c r="C2" s="22" t="s">
        <v>411</v>
      </c>
      <c r="D2" s="22" t="s">
        <v>171</v>
      </c>
      <c r="E2" s="22" t="s">
        <v>172</v>
      </c>
      <c r="F2" s="22" t="s">
        <v>456</v>
      </c>
      <c r="G2" s="22" t="s">
        <v>457</v>
      </c>
      <c r="H2" s="22" t="s">
        <v>173</v>
      </c>
      <c r="I2" s="22" t="s">
        <v>122</v>
      </c>
      <c r="J2" s="22" t="s">
        <v>123</v>
      </c>
      <c r="K2" s="22" t="s">
        <v>124</v>
      </c>
      <c r="L2" s="22" t="s">
        <v>121</v>
      </c>
      <c r="M2" s="22" t="s">
        <v>125</v>
      </c>
    </row>
    <row r="3" spans="1:13" x14ac:dyDescent="0.3">
      <c r="A3" s="107">
        <v>1</v>
      </c>
      <c r="B3" s="107">
        <f>+A3+1</f>
        <v>2</v>
      </c>
      <c r="C3" s="107">
        <f t="shared" ref="C3:M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</row>
    <row r="5" spans="1:13" x14ac:dyDescent="0.3">
      <c r="A5" s="41">
        <v>300</v>
      </c>
      <c r="B5" s="42" t="s">
        <v>0</v>
      </c>
      <c r="C5" s="42">
        <f>+'2023 Nto driftsutg'!W5</f>
        <v>711918</v>
      </c>
      <c r="D5" s="3">
        <f>+'2023 Revekting utgiftsbehov'!D5</f>
        <v>0.71053058348772868</v>
      </c>
      <c r="E5" s="3">
        <f>+'2023 Revekting utgiftsbehov'!E5</f>
        <v>0.21462039411895759</v>
      </c>
      <c r="F5" s="3">
        <f>+'2023 Revekting utgiftsbehov'!F5</f>
        <v>1.5114284535122655</v>
      </c>
      <c r="G5" s="3">
        <f>+'2023 Revekting utgiftsbehov'!G5</f>
        <v>0</v>
      </c>
      <c r="H5" s="3">
        <f>+'2023 Revekting utgiftsbehov'!H5</f>
        <v>0.80830409059491792</v>
      </c>
      <c r="I5" s="5">
        <f>+'[2]2023 Nto driftsutg landet'!$C$35*(D5-1)*C5</f>
        <v>0</v>
      </c>
      <c r="J5" s="5">
        <f t="shared" ref="J5:J15" si="1">+I5-$I$17*C5/$C$17</f>
        <v>0</v>
      </c>
      <c r="K5" s="5">
        <f t="shared" ref="K5:K15" si="2">J5/C5</f>
        <v>0</v>
      </c>
      <c r="L5" s="5">
        <f>+K5</f>
        <v>0</v>
      </c>
      <c r="M5" s="5">
        <f t="shared" ref="M5:M15" si="3">+L5*C5/1000</f>
        <v>0</v>
      </c>
    </row>
    <row r="6" spans="1:13" x14ac:dyDescent="0.3">
      <c r="A6" s="41">
        <v>1100</v>
      </c>
      <c r="B6" s="42" t="s">
        <v>139</v>
      </c>
      <c r="C6" s="42">
        <f>+'2023 Nto driftsutg'!W6</f>
        <v>495545</v>
      </c>
      <c r="D6" s="3">
        <f>+'2023 Revekting utgiftsbehov'!D6</f>
        <v>1.0774887931615929</v>
      </c>
      <c r="E6" s="3">
        <f>+'2023 Revekting utgiftsbehov'!E6</f>
        <v>0.79939004925414059</v>
      </c>
      <c r="F6" s="3">
        <f>+'2023 Revekting utgiftsbehov'!F6</f>
        <v>0.9424851409192746</v>
      </c>
      <c r="G6" s="3">
        <f>+'2023 Revekting utgiftsbehov'!G6</f>
        <v>0.64870346692722514</v>
      </c>
      <c r="H6" s="3">
        <f>+'2023 Revekting utgiftsbehov'!H6</f>
        <v>1.0173396804533479</v>
      </c>
      <c r="I6" s="5">
        <f>+'[2]2023 Nto driftsutg landet'!$C$35*(D6-1)*C6</f>
        <v>0</v>
      </c>
      <c r="J6" s="5">
        <f t="shared" si="1"/>
        <v>0</v>
      </c>
      <c r="K6" s="5">
        <f t="shared" si="2"/>
        <v>0</v>
      </c>
      <c r="L6" s="5">
        <f t="shared" ref="L6:L15" si="4">+K6</f>
        <v>0</v>
      </c>
      <c r="M6" s="5">
        <f t="shared" si="3"/>
        <v>0</v>
      </c>
    </row>
    <row r="7" spans="1:13" x14ac:dyDescent="0.3">
      <c r="A7" s="41">
        <v>1500</v>
      </c>
      <c r="B7" s="42" t="s">
        <v>140</v>
      </c>
      <c r="C7" s="42">
        <f>+'2023 Nto driftsutg'!W7</f>
        <v>269164</v>
      </c>
      <c r="D7" s="3">
        <f>+'2023 Revekting utgiftsbehov'!D7</f>
        <v>1.0989358133062832</v>
      </c>
      <c r="E7" s="3">
        <f>+'2023 Revekting utgiftsbehov'!E7</f>
        <v>1.5552146008066416</v>
      </c>
      <c r="F7" s="3">
        <f>+'2023 Revekting utgiftsbehov'!F7</f>
        <v>1.0728168111973642</v>
      </c>
      <c r="G7" s="3">
        <f>+'2023 Revekting utgiftsbehov'!G7</f>
        <v>3.6508681383265915</v>
      </c>
      <c r="H7" s="3">
        <f>+'2023 Revekting utgiftsbehov'!H7</f>
        <v>1.0804828658338601</v>
      </c>
      <c r="I7" s="5">
        <f>+'[2]2023 Nto driftsutg landet'!$C$35*(D7-1)*C7</f>
        <v>0</v>
      </c>
      <c r="J7" s="5">
        <f t="shared" si="1"/>
        <v>0</v>
      </c>
      <c r="K7" s="5">
        <f t="shared" si="2"/>
        <v>0</v>
      </c>
      <c r="L7" s="5">
        <f t="shared" si="4"/>
        <v>0</v>
      </c>
      <c r="M7" s="5">
        <f t="shared" si="3"/>
        <v>0</v>
      </c>
    </row>
    <row r="8" spans="1:13" x14ac:dyDescent="0.3">
      <c r="A8" s="41">
        <v>1800</v>
      </c>
      <c r="B8" s="42" t="s">
        <v>141</v>
      </c>
      <c r="C8" s="42">
        <f>+'2023 Nto driftsutg'!W8</f>
        <v>241960</v>
      </c>
      <c r="D8" s="3">
        <f>+'2023 Revekting utgiftsbehov'!D8</f>
        <v>1.0853378047755211</v>
      </c>
      <c r="E8" s="3">
        <f>+'2023 Revekting utgiftsbehov'!E8</f>
        <v>1.9381931214813777</v>
      </c>
      <c r="F8" s="3">
        <f>+'2023 Revekting utgiftsbehov'!F8</f>
        <v>1.3547771165025086</v>
      </c>
      <c r="G8" s="3">
        <f>+'2023 Revekting utgiftsbehov'!G8</f>
        <v>5.2548770101082702</v>
      </c>
      <c r="H8" s="3">
        <f>+'2023 Revekting utgiftsbehov'!H8</f>
        <v>1.1605514881983592</v>
      </c>
      <c r="I8" s="5">
        <f>+'[2]2023 Nto driftsutg landet'!$C$35*(D8-1)*C8</f>
        <v>0</v>
      </c>
      <c r="J8" s="5">
        <f t="shared" si="1"/>
        <v>0</v>
      </c>
      <c r="K8" s="5">
        <f t="shared" si="2"/>
        <v>0</v>
      </c>
      <c r="L8" s="5">
        <f t="shared" si="4"/>
        <v>0</v>
      </c>
      <c r="M8" s="5">
        <f t="shared" si="3"/>
        <v>0</v>
      </c>
    </row>
    <row r="9" spans="1:13" x14ac:dyDescent="0.3">
      <c r="A9" s="41">
        <v>3000</v>
      </c>
      <c r="B9" s="42" t="s">
        <v>403</v>
      </c>
      <c r="C9" s="42">
        <f>+'2023 Nto driftsutg'!W9</f>
        <v>1300096</v>
      </c>
      <c r="D9" s="3">
        <f>+'2023 Revekting utgiftsbehov'!D9</f>
        <v>1.0109508011160717</v>
      </c>
      <c r="E9" s="3">
        <f>+'2023 Revekting utgiftsbehov'!E9</f>
        <v>0.60627924197881555</v>
      </c>
      <c r="F9" s="3">
        <f>+'2023 Revekting utgiftsbehov'!F9</f>
        <v>0.65317532338165341</v>
      </c>
      <c r="G9" s="3">
        <f>+'2023 Revekting utgiftsbehov'!G9</f>
        <v>2.6179811137927375E-2</v>
      </c>
      <c r="H9" s="3">
        <f>+'2023 Revekting utgiftsbehov'!H9</f>
        <v>0.96460045526742033</v>
      </c>
      <c r="I9" s="5">
        <f>+'[2]2023 Nto driftsutg landet'!$C$35*(D9-1)*C9</f>
        <v>0</v>
      </c>
      <c r="J9" s="5">
        <f t="shared" si="1"/>
        <v>0</v>
      </c>
      <c r="K9" s="5">
        <f t="shared" si="2"/>
        <v>0</v>
      </c>
      <c r="L9" s="5">
        <f t="shared" si="4"/>
        <v>0</v>
      </c>
      <c r="M9" s="5">
        <f t="shared" si="3"/>
        <v>0</v>
      </c>
    </row>
    <row r="10" spans="1:13" x14ac:dyDescent="0.3">
      <c r="A10" s="41">
        <v>3400</v>
      </c>
      <c r="B10" s="42" t="s">
        <v>404</v>
      </c>
      <c r="C10" s="42">
        <f>+'2023 Nto driftsutg'!W10</f>
        <v>374624</v>
      </c>
      <c r="D10" s="3">
        <f>+'2023 Revekting utgiftsbehov'!D10</f>
        <v>1.0062398373243804</v>
      </c>
      <c r="E10" s="3">
        <f>+'2023 Revekting utgiftsbehov'!E10</f>
        <v>1.5174599383336682</v>
      </c>
      <c r="F10" s="3">
        <f>+'2023 Revekting utgiftsbehov'!F10</f>
        <v>0.94309915694030932</v>
      </c>
      <c r="G10" s="3">
        <f>+'2023 Revekting utgiftsbehov'!G10</f>
        <v>5.9463031673505369E-2</v>
      </c>
      <c r="H10" s="3">
        <f>+'2023 Revekting utgiftsbehov'!H10</f>
        <v>1.0216409626046192</v>
      </c>
      <c r="I10" s="5">
        <f>+'[2]2023 Nto driftsutg landet'!$C$35*(D10-1)*C10</f>
        <v>0</v>
      </c>
      <c r="J10" s="5">
        <f t="shared" si="1"/>
        <v>0</v>
      </c>
      <c r="K10" s="5">
        <f t="shared" si="2"/>
        <v>0</v>
      </c>
      <c r="L10" s="5">
        <f t="shared" si="4"/>
        <v>0</v>
      </c>
      <c r="M10" s="5">
        <f t="shared" si="3"/>
        <v>0</v>
      </c>
    </row>
    <row r="11" spans="1:13" x14ac:dyDescent="0.3">
      <c r="A11" s="41">
        <v>3800</v>
      </c>
      <c r="B11" s="42" t="s">
        <v>405</v>
      </c>
      <c r="C11" s="42">
        <f>+'2023 Nto driftsutg'!W11</f>
        <v>431103</v>
      </c>
      <c r="D11" s="3">
        <f>+'2023 Revekting utgiftsbehov'!D11</f>
        <v>1.0246976591874704</v>
      </c>
      <c r="E11" s="3">
        <f>+'2023 Revekting utgiftsbehov'!E11</f>
        <v>0.87778384106275287</v>
      </c>
      <c r="F11" s="3">
        <f>+'2023 Revekting utgiftsbehov'!F11</f>
        <v>0.66753460722060465</v>
      </c>
      <c r="G11" s="3">
        <f>+'2023 Revekting utgiftsbehov'!G11</f>
        <v>0.13457432220097482</v>
      </c>
      <c r="H11" s="3">
        <f>+'2023 Revekting utgiftsbehov'!H11</f>
        <v>0.96530680839609195</v>
      </c>
      <c r="I11" s="5">
        <f>+'[2]2023 Nto driftsutg landet'!$C$35*(D11-1)*C11</f>
        <v>0</v>
      </c>
      <c r="J11" s="5">
        <f t="shared" si="1"/>
        <v>0</v>
      </c>
      <c r="K11" s="5">
        <f t="shared" si="2"/>
        <v>0</v>
      </c>
      <c r="L11" s="5">
        <f t="shared" si="4"/>
        <v>0</v>
      </c>
      <c r="M11" s="5">
        <f t="shared" si="3"/>
        <v>0</v>
      </c>
    </row>
    <row r="12" spans="1:13" x14ac:dyDescent="0.3">
      <c r="A12" s="41">
        <v>4200</v>
      </c>
      <c r="B12" s="42" t="s">
        <v>406</v>
      </c>
      <c r="C12" s="42">
        <f>+'2023 Nto driftsutg'!W12</f>
        <v>317444</v>
      </c>
      <c r="D12" s="3">
        <f>+'2023 Revekting utgiftsbehov'!D12</f>
        <v>1.084268975153569</v>
      </c>
      <c r="E12" s="3">
        <f>+'2023 Revekting utgiftsbehov'!E12</f>
        <v>1.2211575516772717</v>
      </c>
      <c r="F12" s="3">
        <f>+'2023 Revekting utgiftsbehov'!F12</f>
        <v>0.78004641987215195</v>
      </c>
      <c r="G12" s="3">
        <f>+'2023 Revekting utgiftsbehov'!G12</f>
        <v>0.1328769183331836</v>
      </c>
      <c r="H12" s="3">
        <f>+'2023 Revekting utgiftsbehov'!H12</f>
        <v>1.0388028742608666</v>
      </c>
      <c r="I12" s="5">
        <f>+'[2]2023 Nto driftsutg landet'!$C$35*(D12-1)*C12</f>
        <v>0</v>
      </c>
      <c r="J12" s="5">
        <f t="shared" si="1"/>
        <v>0</v>
      </c>
      <c r="K12" s="5">
        <f t="shared" si="2"/>
        <v>0</v>
      </c>
      <c r="L12" s="5">
        <f t="shared" si="4"/>
        <v>0</v>
      </c>
      <c r="M12" s="5">
        <f t="shared" si="3"/>
        <v>0</v>
      </c>
    </row>
    <row r="13" spans="1:13" x14ac:dyDescent="0.3">
      <c r="A13" s="41">
        <v>4600</v>
      </c>
      <c r="B13" s="42" t="s">
        <v>407</v>
      </c>
      <c r="C13" s="42">
        <f>+'2023 Nto driftsutg'!W13</f>
        <v>648436</v>
      </c>
      <c r="D13" s="3">
        <f>+'2023 Revekting utgiftsbehov'!D13</f>
        <v>1.048859894414335</v>
      </c>
      <c r="E13" s="3">
        <f>+'2023 Revekting utgiftsbehov'!E13</f>
        <v>1.2994326055707779</v>
      </c>
      <c r="F13" s="3">
        <f>+'2023 Revekting utgiftsbehov'!F13</f>
        <v>1.0646807692486568</v>
      </c>
      <c r="G13" s="3">
        <f>+'2023 Revekting utgiftsbehov'!G13</f>
        <v>2.300543280463788</v>
      </c>
      <c r="H13" s="3">
        <f>+'2023 Revekting utgiftsbehov'!H13</f>
        <v>1.0530401240046849</v>
      </c>
      <c r="I13" s="5">
        <f>+'[2]2023 Nto driftsutg landet'!$C$35*(D13-1)*C13</f>
        <v>0</v>
      </c>
      <c r="J13" s="5">
        <f t="shared" si="1"/>
        <v>0</v>
      </c>
      <c r="K13" s="5">
        <f t="shared" si="2"/>
        <v>0</v>
      </c>
      <c r="L13" s="5">
        <f t="shared" si="4"/>
        <v>0</v>
      </c>
      <c r="M13" s="5">
        <f t="shared" si="3"/>
        <v>0</v>
      </c>
    </row>
    <row r="14" spans="1:13" x14ac:dyDescent="0.3">
      <c r="A14" s="41">
        <v>5000</v>
      </c>
      <c r="B14" s="42" t="s">
        <v>388</v>
      </c>
      <c r="C14" s="42">
        <f>+'2023 Nto driftsutg'!W14</f>
        <v>480437</v>
      </c>
      <c r="D14" s="3">
        <f>+'2023 Revekting utgiftsbehov'!D14</f>
        <v>1.0195042229505571</v>
      </c>
      <c r="E14" s="3">
        <f>+'2023 Revekting utgiftsbehov'!E14</f>
        <v>1.2666523308794941</v>
      </c>
      <c r="F14" s="3">
        <f>+'2023 Revekting utgiftsbehov'!F14</f>
        <v>1.0917317827078288</v>
      </c>
      <c r="G14" s="3">
        <f>+'2023 Revekting utgiftsbehov'!G14</f>
        <v>1.0558842371923283</v>
      </c>
      <c r="H14" s="3">
        <f>+'2023 Revekting utgiftsbehov'!H14</f>
        <v>1.0416844885673895</v>
      </c>
      <c r="I14" s="5">
        <f>+'[2]2023 Nto driftsutg landet'!$C$35*(D14-1)*C14</f>
        <v>0</v>
      </c>
      <c r="J14" s="5">
        <f t="shared" si="1"/>
        <v>0</v>
      </c>
      <c r="K14" s="5">
        <f t="shared" si="2"/>
        <v>0</v>
      </c>
      <c r="L14" s="5">
        <f t="shared" si="4"/>
        <v>0</v>
      </c>
      <c r="M14" s="5">
        <f t="shared" si="3"/>
        <v>0</v>
      </c>
    </row>
    <row r="15" spans="1:13" x14ac:dyDescent="0.3">
      <c r="A15" s="41">
        <v>5400</v>
      </c>
      <c r="B15" s="42" t="s">
        <v>408</v>
      </c>
      <c r="C15" s="42">
        <f>+'2023 Nto driftsutg'!W15</f>
        <v>243329</v>
      </c>
      <c r="D15" s="3">
        <f>+'2023 Revekting utgiftsbehov'!D15</f>
        <v>1.1042840912589909</v>
      </c>
      <c r="E15" s="3">
        <f>+'2023 Revekting utgiftsbehov'!E15</f>
        <v>2.0698277004132728</v>
      </c>
      <c r="F15" s="3">
        <f>+'2023 Revekting utgiftsbehov'!F15</f>
        <v>1.6506558229265536</v>
      </c>
      <c r="G15" s="3">
        <f>+'2023 Revekting utgiftsbehov'!G15</f>
        <v>3.2174219622421876</v>
      </c>
      <c r="H15" s="3">
        <f>+'2023 Revekting utgiftsbehov'!H15</f>
        <v>1.2198806295668334</v>
      </c>
      <c r="I15" s="5">
        <f>+'[2]2023 Nto driftsutg landet'!$C$35*(D15-1)*C15</f>
        <v>0</v>
      </c>
      <c r="J15" s="5">
        <f t="shared" si="1"/>
        <v>0</v>
      </c>
      <c r="K15" s="5">
        <f t="shared" si="2"/>
        <v>0</v>
      </c>
      <c r="L15" s="5">
        <f t="shared" si="4"/>
        <v>0</v>
      </c>
      <c r="M15" s="5">
        <f t="shared" si="3"/>
        <v>0</v>
      </c>
    </row>
    <row r="16" spans="1:13" x14ac:dyDescent="0.3">
      <c r="B16" s="43"/>
      <c r="C16" s="43"/>
      <c r="D16" s="4"/>
      <c r="E16" s="4"/>
      <c r="F16" s="4"/>
      <c r="G16" s="4"/>
      <c r="H16" s="4"/>
    </row>
    <row r="17" spans="2:13" x14ac:dyDescent="0.3">
      <c r="B17" s="42" t="s">
        <v>3</v>
      </c>
      <c r="C17" s="5">
        <f>SUM(C5:C16)</f>
        <v>5514056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5">
        <f>SUM(I5:I15)</f>
        <v>0</v>
      </c>
      <c r="J17" s="5">
        <f>SUM(J5:J15)</f>
        <v>0</v>
      </c>
      <c r="K17" s="5">
        <f t="shared" ref="K17:L17" si="5">SUM(K5:K15)</f>
        <v>0</v>
      </c>
      <c r="L17" s="5">
        <f t="shared" si="5"/>
        <v>0</v>
      </c>
      <c r="M17" s="5">
        <f>SUM(M5:M15)</f>
        <v>0</v>
      </c>
    </row>
  </sheetData>
  <sheetProtection algorithmName="SHA-512" hashValue="NM13G3IYi4H8mMfsmNunvlztdbIeQpsiTzlKh6MosYExsAyLD6fS2ETdXifAG/p5M+jSVHYYzNuOj4nDhtgPXQ==" saltValue="8iOJEYsRvoicZ+9RqXNF6w==" spinCount="100000" sheet="1" selectLockedCells="1" selectUnlockedCells="1"/>
  <mergeCells count="1">
    <mergeCell ref="D1:H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EDDC-A308-4A4E-AD1C-DB772C1C2D1D}">
  <dimension ref="A1:AM21"/>
  <sheetViews>
    <sheetView workbookViewId="0">
      <selection activeCell="B27" sqref="B27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4.88671875" customWidth="1"/>
    <col min="8" max="8" width="11.5546875" customWidth="1"/>
    <col min="9" max="9" width="4.5546875" customWidth="1"/>
    <col min="25" max="25" width="4.44140625" customWidth="1"/>
  </cols>
  <sheetData>
    <row r="1" spans="1:39" ht="15" customHeight="1" x14ac:dyDescent="0.3">
      <c r="D1" s="124" t="s">
        <v>81</v>
      </c>
      <c r="E1" s="123"/>
      <c r="F1" s="123"/>
      <c r="G1" s="123"/>
      <c r="H1" s="123"/>
      <c r="J1" s="125" t="s">
        <v>246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Z1" s="126" t="s">
        <v>98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ht="79.8" x14ac:dyDescent="0.3">
      <c r="A2" s="22" t="s">
        <v>2</v>
      </c>
      <c r="B2" s="22" t="s">
        <v>1</v>
      </c>
      <c r="C2" s="22" t="s">
        <v>9</v>
      </c>
      <c r="D2" s="22" t="s">
        <v>171</v>
      </c>
      <c r="E2" s="22" t="s">
        <v>172</v>
      </c>
      <c r="F2" s="22" t="s">
        <v>456</v>
      </c>
      <c r="G2" s="22" t="s">
        <v>417</v>
      </c>
      <c r="H2" s="22" t="s">
        <v>237</v>
      </c>
      <c r="I2" s="22"/>
      <c r="J2" s="22" t="s">
        <v>238</v>
      </c>
      <c r="K2" s="22" t="s">
        <v>239</v>
      </c>
      <c r="L2" s="22" t="s">
        <v>458</v>
      </c>
      <c r="M2" s="22" t="s">
        <v>459</v>
      </c>
      <c r="N2" s="22" t="s">
        <v>240</v>
      </c>
      <c r="O2" s="11" t="s">
        <v>76</v>
      </c>
      <c r="P2" s="22" t="s">
        <v>77</v>
      </c>
      <c r="Q2" s="22" t="s">
        <v>241</v>
      </c>
      <c r="R2" s="22" t="s">
        <v>242</v>
      </c>
      <c r="S2" s="22" t="s">
        <v>78</v>
      </c>
      <c r="T2" s="22" t="s">
        <v>243</v>
      </c>
      <c r="U2" s="22" t="s">
        <v>79</v>
      </c>
      <c r="V2" s="22" t="s">
        <v>244</v>
      </c>
      <c r="W2" s="22" t="s">
        <v>245</v>
      </c>
      <c r="X2" s="22" t="s">
        <v>80</v>
      </c>
      <c r="Z2" s="22" t="s">
        <v>238</v>
      </c>
      <c r="AA2" s="22" t="s">
        <v>239</v>
      </c>
      <c r="AB2" s="22" t="s">
        <v>458</v>
      </c>
      <c r="AC2" s="22" t="s">
        <v>459</v>
      </c>
      <c r="AD2" s="22" t="s">
        <v>240</v>
      </c>
      <c r="AE2" s="11" t="s">
        <v>76</v>
      </c>
      <c r="AF2" s="22" t="s">
        <v>77</v>
      </c>
      <c r="AG2" s="22" t="s">
        <v>241</v>
      </c>
      <c r="AH2" s="22" t="s">
        <v>242</v>
      </c>
      <c r="AI2" s="22" t="s">
        <v>78</v>
      </c>
      <c r="AJ2" s="22" t="s">
        <v>243</v>
      </c>
      <c r="AK2" s="22" t="s">
        <v>79</v>
      </c>
      <c r="AL2" s="22" t="s">
        <v>244</v>
      </c>
      <c r="AM2" s="22" t="s">
        <v>245</v>
      </c>
    </row>
    <row r="3" spans="1:39" x14ac:dyDescent="0.3">
      <c r="A3" s="107">
        <v>1</v>
      </c>
      <c r="B3" s="107">
        <f>+A3+1</f>
        <v>2</v>
      </c>
      <c r="C3" s="107">
        <f>+B3+1</f>
        <v>3</v>
      </c>
      <c r="D3" s="107">
        <f>+C3+1</f>
        <v>4</v>
      </c>
      <c r="E3" s="107">
        <f t="shared" ref="E3:J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ref="K3:X3" si="1">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14">
        <f>+X3+1</f>
        <v>25</v>
      </c>
      <c r="Z3" s="114">
        <f>+Y3+1</f>
        <v>26</v>
      </c>
      <c r="AA3" s="107">
        <f t="shared" ref="AA3:AM3" si="2">Z3+1</f>
        <v>27</v>
      </c>
      <c r="AB3" s="107">
        <f t="shared" si="2"/>
        <v>28</v>
      </c>
      <c r="AC3" s="107">
        <f t="shared" si="2"/>
        <v>29</v>
      </c>
      <c r="AD3" s="107">
        <f t="shared" si="2"/>
        <v>30</v>
      </c>
      <c r="AE3" s="107">
        <f t="shared" si="2"/>
        <v>31</v>
      </c>
      <c r="AF3" s="107">
        <f t="shared" si="2"/>
        <v>32</v>
      </c>
      <c r="AG3" s="107">
        <f t="shared" si="2"/>
        <v>33</v>
      </c>
      <c r="AH3" s="107">
        <f t="shared" si="2"/>
        <v>34</v>
      </c>
      <c r="AI3" s="107">
        <f t="shared" si="2"/>
        <v>35</v>
      </c>
      <c r="AJ3" s="107">
        <f t="shared" si="2"/>
        <v>36</v>
      </c>
      <c r="AK3" s="107">
        <f t="shared" si="2"/>
        <v>37</v>
      </c>
      <c r="AL3" s="107">
        <f t="shared" si="2"/>
        <v>38</v>
      </c>
      <c r="AM3" s="107">
        <f t="shared" si="2"/>
        <v>39</v>
      </c>
    </row>
    <row r="5" spans="1:39" x14ac:dyDescent="0.3">
      <c r="A5" s="41">
        <v>300</v>
      </c>
      <c r="B5" s="42" t="s">
        <v>0</v>
      </c>
      <c r="C5" s="1">
        <v>-70410.561243150005</v>
      </c>
      <c r="D5" s="3">
        <v>0.71053058348772868</v>
      </c>
      <c r="E5" s="3">
        <v>0.21462039411895759</v>
      </c>
      <c r="F5" s="3">
        <v>1.5114284535122655</v>
      </c>
      <c r="G5" s="3">
        <v>0</v>
      </c>
      <c r="H5" s="3">
        <v>0.80830409059491792</v>
      </c>
      <c r="I5" s="3"/>
      <c r="J5" s="44">
        <f>IF('2023 Lønnsgr arbavg tjeneste'!D5=0,0,'2023 Arbavg tjeneste'!D5/'2023 Lønnsgr arbavg tjeneste'!D5)</f>
        <v>0.14148405634029215</v>
      </c>
      <c r="K5" s="44">
        <f>IF('2023 Lønnsgr arbavg tjeneste'!E5=0,0,'2023 Arbavg tjeneste'!E5/'2023 Lønnsgr arbavg tjeneste'!E5)</f>
        <v>0.14653465346534653</v>
      </c>
      <c r="L5" s="44">
        <f>IF('2023 Lønnsgr arbavg tjeneste'!F5=0,0,'2023 Arbavg tjeneste'!F5/'2023 Lønnsgr arbavg tjeneste'!F5)</f>
        <v>0.14107416879795395</v>
      </c>
      <c r="M5" s="44">
        <f>IF('2023 Lønnsgr arbavg tjeneste'!G5=0,0,'2023 Arbavg tjeneste'!G5/'2023 Lønnsgr arbavg tjeneste'!G5)</f>
        <v>0</v>
      </c>
      <c r="N5" s="44">
        <f>IF('2023 Lønnsgr arbavg tjeneste'!H5=0,0,'2023 Arbavg tjeneste'!H5/'2023 Lønnsgr arbavg tjeneste'!H5)</f>
        <v>0.12769818327601123</v>
      </c>
      <c r="O5" s="44">
        <f>IF('2023 Lønnsgr arbavg tjeneste'!I5=0,0,'2023 Arbavg tjeneste'!I5/'2023 Lønnsgr arbavg tjeneste'!I5)</f>
        <v>0.17792167745914278</v>
      </c>
      <c r="P5" s="44">
        <f>IF('2023 Lønnsgr arbavg tjeneste'!J5=0,0,'2023 Arbavg tjeneste'!J5/'2023 Lønnsgr arbavg tjeneste'!J5)</f>
        <v>0</v>
      </c>
      <c r="Q5" s="44">
        <f>IF('2023 Lønnsgr arbavg tjeneste'!K5=0,0,'2023 Arbavg tjeneste'!K5/'2023 Lønnsgr arbavg tjeneste'!K5)</f>
        <v>0.17989715710377782</v>
      </c>
      <c r="R5" s="44">
        <f>IF('2023 Lønnsgr arbavg tjeneste'!L5=0,0,'2023 Arbavg tjeneste'!L5/'2023 Lønnsgr arbavg tjeneste'!L5)</f>
        <v>0</v>
      </c>
      <c r="S5" s="44">
        <f>IF('2023 Lønnsgr arbavg tjeneste'!M5=0,0,'2023 Arbavg tjeneste'!M5/'2023 Lønnsgr arbavg tjeneste'!M5)</f>
        <v>0</v>
      </c>
      <c r="T5" s="44">
        <f>IF('2023 Lønnsgr arbavg tjeneste'!N5=0,0,'2023 Arbavg tjeneste'!N5/'2023 Lønnsgr arbavg tjeneste'!N5)</f>
        <v>0.12701252236135957</v>
      </c>
      <c r="U5" s="44">
        <f>IF('2023 Lønnsgr arbavg tjeneste'!O5=0,0,'2023 Arbavg tjeneste'!O5/'2023 Lønnsgr arbavg tjeneste'!O5)</f>
        <v>0</v>
      </c>
      <c r="V5" s="44">
        <f>IF('2023 Lønnsgr arbavg tjeneste'!P5=0,0,'2023 Arbavg tjeneste'!P5/'2023 Lønnsgr arbavg tjeneste'!P5)</f>
        <v>0</v>
      </c>
      <c r="W5" s="44">
        <f>IF('2023 Lønnsgr arbavg tjeneste'!Q5=0,0,'2023 Arbavg tjeneste'!Q5/'2023 Lønnsgr arbavg tjeneste'!Q5)</f>
        <v>0</v>
      </c>
      <c r="X5" s="44">
        <f>IF('2023 Lønnsgr arbavg tjeneste'!R5=0,0,'2023 Arbavg tjeneste'!R5/'2023 Lønnsgr arbavg tjeneste'!R5)</f>
        <v>0.14099999999999999</v>
      </c>
      <c r="Z5" s="44">
        <f>IF('2023 Lønnsgr pensjon tjeneste'!D5=0,0,'2023 Pensjon tjeneste'!D5/'2023 Lønnsgr pensjon tjeneste'!D5)</f>
        <v>0.15197165403029211</v>
      </c>
      <c r="AA5" s="44">
        <f>IF('2023 Lønnsgr pensjon tjeneste'!E5=0,0,'2023 Pensjon tjeneste'!E5/'2023 Lønnsgr pensjon tjeneste'!E5)</f>
        <v>0.16628175519630484</v>
      </c>
      <c r="AB5" s="44">
        <f>IF('2023 Lønnsgr pensjon tjeneste'!F5=0,0,'2023 Pensjon tjeneste'!F5/'2023 Lønnsgr pensjon tjeneste'!F5)</f>
        <v>0.26542677138172088</v>
      </c>
      <c r="AC5" s="44">
        <f>IF('2023 Lønnsgr pensjon tjeneste'!G5=0,0,'2023 Pensjon tjeneste'!G5/'2023 Lønnsgr pensjon tjeneste'!G5)</f>
        <v>0</v>
      </c>
      <c r="AD5" s="44">
        <f>IF('2023 Lønnsgr pensjon tjeneste'!H5=0,0,'2023 Pensjon tjeneste'!H5/'2023 Lønnsgr pensjon tjeneste'!H5)</f>
        <v>0.44039631945658037</v>
      </c>
      <c r="AE5" s="44">
        <f>IF('2023 Lønnsgr pensjon tjeneste'!I5=0,0,'2023 Pensjon tjeneste'!I5/'2023 Lønnsgr pensjon tjeneste'!I5)</f>
        <v>0.56260662334448941</v>
      </c>
      <c r="AF5" s="44">
        <f>IF('2023 Lønnsgr pensjon tjeneste'!J5=0,0,'2023 Pensjon tjeneste'!J5/'2023 Lønnsgr pensjon tjeneste'!J5)</f>
        <v>0</v>
      </c>
      <c r="AG5" s="44">
        <f>IF('2023 Lønnsgr pensjon tjeneste'!K5=0,0,'2023 Pensjon tjeneste'!K5/'2023 Lønnsgr pensjon tjeneste'!K5)</f>
        <v>0.5700441726129799</v>
      </c>
      <c r="AH5" s="44">
        <f>IF('2023 Lønnsgr pensjon tjeneste'!L5=0,0,'2023 Pensjon tjeneste'!L5/'2023 Lønnsgr pensjon tjeneste'!L5)</f>
        <v>0</v>
      </c>
      <c r="AI5" s="44">
        <f>IF('2023 Lønnsgr pensjon tjeneste'!M5=0,0,'2023 Pensjon tjeneste'!M5/'2023 Lønnsgr pensjon tjeneste'!M5)</f>
        <v>0</v>
      </c>
      <c r="AJ5" s="44">
        <f>IF('2023 Lønnsgr pensjon tjeneste'!N5=0,0,'2023 Pensjon tjeneste'!N5/'2023 Lønnsgr pensjon tjeneste'!N5)</f>
        <v>0.39271255060728744</v>
      </c>
      <c r="AK5" s="44">
        <f>IF('2023 Lønnsgr pensjon tjeneste'!O5=0,0,'2023 Pensjon tjeneste'!O5/'2023 Lønnsgr pensjon tjeneste'!O5)</f>
        <v>0</v>
      </c>
      <c r="AL5" s="44">
        <f>IF('2023 Lønnsgr pensjon tjeneste'!P5=0,0,'2023 Pensjon tjeneste'!P5/'2023 Lønnsgr pensjon tjeneste'!P5)</f>
        <v>0</v>
      </c>
      <c r="AM5" s="44">
        <f>IF('2023 Lønnsgr pensjon tjeneste'!Q5=0,0,'2023 Pensjon tjeneste'!Q5/'2023 Lønnsgr pensjon tjeneste'!Q5)</f>
        <v>0</v>
      </c>
    </row>
    <row r="6" spans="1:39" x14ac:dyDescent="0.3">
      <c r="A6" s="41">
        <v>1100</v>
      </c>
      <c r="B6" s="42" t="s">
        <v>139</v>
      </c>
      <c r="C6" s="1">
        <v>-53508.58078176</v>
      </c>
      <c r="D6" s="3">
        <v>1.0774887931615929</v>
      </c>
      <c r="E6" s="3">
        <v>0.79939004925414059</v>
      </c>
      <c r="F6" s="3">
        <v>0.9424851409192746</v>
      </c>
      <c r="G6" s="3">
        <v>0.64870346692722514</v>
      </c>
      <c r="H6" s="3">
        <v>1.0173396804533479</v>
      </c>
      <c r="I6" s="3"/>
      <c r="J6" s="44">
        <f>IF('2023 Lønnsgr arbavg tjeneste'!D6=0,0,'2023 Arbavg tjeneste'!D6/'2023 Lønnsgr arbavg tjeneste'!D6)</f>
        <v>0.14145696641149763</v>
      </c>
      <c r="K6" s="44">
        <f>IF('2023 Lønnsgr arbavg tjeneste'!E6=0,0,'2023 Arbavg tjeneste'!E6/'2023 Lønnsgr arbavg tjeneste'!E6)</f>
        <v>0.14394677412212725</v>
      </c>
      <c r="L6" s="44">
        <f>IF('2023 Lønnsgr arbavg tjeneste'!F6=0,0,'2023 Arbavg tjeneste'!F6/'2023 Lønnsgr arbavg tjeneste'!F6)</f>
        <v>0.14486145212206245</v>
      </c>
      <c r="M6" s="44">
        <f>IF('2023 Lønnsgr arbavg tjeneste'!G6=0,0,'2023 Arbavg tjeneste'!G6/'2023 Lønnsgr arbavg tjeneste'!G6)</f>
        <v>0.14000000000000001</v>
      </c>
      <c r="N6" s="44">
        <f>IF('2023 Lønnsgr arbavg tjeneste'!H6=0,0,'2023 Arbavg tjeneste'!H6/'2023 Lønnsgr arbavg tjeneste'!H6)</f>
        <v>0.14356911489742713</v>
      </c>
      <c r="O6" s="44">
        <f>IF('2023 Lønnsgr arbavg tjeneste'!I6=0,0,'2023 Arbavg tjeneste'!I6/'2023 Lønnsgr arbavg tjeneste'!I6)</f>
        <v>0.14496495908493853</v>
      </c>
      <c r="P6" s="44">
        <f>IF('2023 Lønnsgr arbavg tjeneste'!J6=0,0,'2023 Arbavg tjeneste'!J6/'2023 Lønnsgr arbavg tjeneste'!J6)</f>
        <v>0</v>
      </c>
      <c r="Q6" s="44">
        <f>IF('2023 Lønnsgr arbavg tjeneste'!K6=0,0,'2023 Arbavg tjeneste'!K6/'2023 Lønnsgr arbavg tjeneste'!K6)</f>
        <v>0.14600276037795945</v>
      </c>
      <c r="R6" s="44">
        <f>IF('2023 Lønnsgr arbavg tjeneste'!L6=0,0,'2023 Arbavg tjeneste'!L6/'2023 Lønnsgr arbavg tjeneste'!L6)</f>
        <v>0.14329216999226085</v>
      </c>
      <c r="S6" s="44">
        <f>IF('2023 Lønnsgr arbavg tjeneste'!M6=0,0,'2023 Arbavg tjeneste'!M6/'2023 Lønnsgr arbavg tjeneste'!M6)</f>
        <v>0.1437946342404941</v>
      </c>
      <c r="T6" s="44">
        <f>IF('2023 Lønnsgr arbavg tjeneste'!N6=0,0,'2023 Arbavg tjeneste'!N6/'2023 Lønnsgr arbavg tjeneste'!N6)</f>
        <v>0.14349877764511912</v>
      </c>
      <c r="U6" s="44">
        <f>IF('2023 Lønnsgr arbavg tjeneste'!O6=0,0,'2023 Arbavg tjeneste'!O6/'2023 Lønnsgr arbavg tjeneste'!O6)</f>
        <v>0</v>
      </c>
      <c r="V6" s="44">
        <f>IF('2023 Lønnsgr arbavg tjeneste'!P6=0,0,'2023 Arbavg tjeneste'!P6/'2023 Lønnsgr arbavg tjeneste'!P6)</f>
        <v>0.14543072387815265</v>
      </c>
      <c r="W6" s="44">
        <f>IF('2023 Lønnsgr arbavg tjeneste'!Q6=0,0,'2023 Arbavg tjeneste'!Q6/'2023 Lønnsgr arbavg tjeneste'!Q6)</f>
        <v>0</v>
      </c>
      <c r="X6" s="44">
        <f>IF('2023 Lønnsgr arbavg tjeneste'!R6=0,0,'2023 Arbavg tjeneste'!R6/'2023 Lønnsgr arbavg tjeneste'!R6)</f>
        <v>0.14100783818374979</v>
      </c>
      <c r="Z6" s="44">
        <f>IF('2023 Lønnsgr pensjon tjeneste'!D6=0,0,'2023 Pensjon tjeneste'!D6/'2023 Lønnsgr pensjon tjeneste'!D6)</f>
        <v>0.16120425040699554</v>
      </c>
      <c r="AA6" s="44">
        <f>IF('2023 Lønnsgr pensjon tjeneste'!E6=0,0,'2023 Pensjon tjeneste'!E6/'2023 Lønnsgr pensjon tjeneste'!E6)</f>
        <v>0.25483767902537957</v>
      </c>
      <c r="AB6" s="44">
        <f>IF('2023 Lønnsgr pensjon tjeneste'!F6=0,0,'2023 Pensjon tjeneste'!F6/'2023 Lønnsgr pensjon tjeneste'!F6)</f>
        <v>0.29209154769997736</v>
      </c>
      <c r="AC6" s="44">
        <f>IF('2023 Lønnsgr pensjon tjeneste'!G6=0,0,'2023 Pensjon tjeneste'!G6/'2023 Lønnsgr pensjon tjeneste'!G6)</f>
        <v>0.2</v>
      </c>
      <c r="AD6" s="44">
        <f>IF('2023 Lønnsgr pensjon tjeneste'!H6=0,0,'2023 Pensjon tjeneste'!H6/'2023 Lønnsgr pensjon tjeneste'!H6)</f>
        <v>0.25595452196382429</v>
      </c>
      <c r="AE6" s="44">
        <f>IF('2023 Lønnsgr pensjon tjeneste'!I6=0,0,'2023 Pensjon tjeneste'!I6/'2023 Lønnsgr pensjon tjeneste'!I6)</f>
        <v>0.27195180797907942</v>
      </c>
      <c r="AF6" s="44">
        <f>IF('2023 Lønnsgr pensjon tjeneste'!J6=0,0,'2023 Pensjon tjeneste'!J6/'2023 Lønnsgr pensjon tjeneste'!J6)</f>
        <v>0</v>
      </c>
      <c r="AG6" s="44">
        <f>IF('2023 Lønnsgr pensjon tjeneste'!K6=0,0,'2023 Pensjon tjeneste'!K6/'2023 Lønnsgr pensjon tjeneste'!K6)</f>
        <v>0.22801003856277163</v>
      </c>
      <c r="AH6" s="44">
        <f>IF('2023 Lønnsgr pensjon tjeneste'!L6=0,0,'2023 Pensjon tjeneste'!L6/'2023 Lønnsgr pensjon tjeneste'!L6)</f>
        <v>0.47969543147208121</v>
      </c>
      <c r="AI6" s="44">
        <f>IF('2023 Lønnsgr pensjon tjeneste'!M6=0,0,'2023 Pensjon tjeneste'!M6/'2023 Lønnsgr pensjon tjeneste'!M6)</f>
        <v>0.27258213079521032</v>
      </c>
      <c r="AJ6" s="44">
        <f>IF('2023 Lønnsgr pensjon tjeneste'!N6=0,0,'2023 Pensjon tjeneste'!N6/'2023 Lønnsgr pensjon tjeneste'!N6)</f>
        <v>0.28031736788469935</v>
      </c>
      <c r="AK6" s="44">
        <f>IF('2023 Lønnsgr pensjon tjeneste'!O6=0,0,'2023 Pensjon tjeneste'!O6/'2023 Lønnsgr pensjon tjeneste'!O6)</f>
        <v>0</v>
      </c>
      <c r="AL6" s="44">
        <f>IF('2023 Lønnsgr pensjon tjeneste'!P6=0,0,'2023 Pensjon tjeneste'!P6/'2023 Lønnsgr pensjon tjeneste'!P6)</f>
        <v>0.26575456053067992</v>
      </c>
      <c r="AM6" s="44">
        <f>IF('2023 Lønnsgr pensjon tjeneste'!Q6=0,0,'2023 Pensjon tjeneste'!Q6/'2023 Lønnsgr pensjon tjeneste'!Q6)</f>
        <v>0</v>
      </c>
    </row>
    <row r="7" spans="1:39" x14ac:dyDescent="0.3">
      <c r="A7" s="41">
        <v>1500</v>
      </c>
      <c r="B7" s="42" t="s">
        <v>140</v>
      </c>
      <c r="C7" s="1">
        <v>72521.188922729998</v>
      </c>
      <c r="D7" s="3">
        <v>1.0989358133062832</v>
      </c>
      <c r="E7" s="3">
        <v>1.5552146008066416</v>
      </c>
      <c r="F7" s="3">
        <v>1.0728168111973642</v>
      </c>
      <c r="G7" s="3">
        <v>3.6508681383265915</v>
      </c>
      <c r="H7" s="3">
        <v>1.0804828658338601</v>
      </c>
      <c r="I7" s="3"/>
      <c r="J7" s="44">
        <f>IF('2023 Lønnsgr arbavg tjeneste'!D7=0,0,'2023 Arbavg tjeneste'!D7/'2023 Lønnsgr arbavg tjeneste'!D7)</f>
        <v>0.13631827303791288</v>
      </c>
      <c r="K7" s="44">
        <f>IF('2023 Lønnsgr arbavg tjeneste'!E7=0,0,'2023 Arbavg tjeneste'!E7/'2023 Lønnsgr arbavg tjeneste'!E7)</f>
        <v>0.30469374011370221</v>
      </c>
      <c r="L7" s="44">
        <f>IF('2023 Lønnsgr arbavg tjeneste'!F7=0,0,'2023 Arbavg tjeneste'!F7/'2023 Lønnsgr arbavg tjeneste'!F7)</f>
        <v>0.15738587281546948</v>
      </c>
      <c r="M7" s="44">
        <f>IF('2023 Lønnsgr arbavg tjeneste'!G7=0,0,'2023 Arbavg tjeneste'!G7/'2023 Lønnsgr arbavg tjeneste'!G7)</f>
        <v>0.14550966275104207</v>
      </c>
      <c r="N7" s="44">
        <f>IF('2023 Lønnsgr arbavg tjeneste'!H7=0,0,'2023 Arbavg tjeneste'!H7/'2023 Lønnsgr arbavg tjeneste'!H7)</f>
        <v>0.12775504637206764</v>
      </c>
      <c r="O7" s="44">
        <f>IF('2023 Lønnsgr arbavg tjeneste'!I7=0,0,'2023 Arbavg tjeneste'!I7/'2023 Lønnsgr arbavg tjeneste'!I7)</f>
        <v>0.14103029517265223</v>
      </c>
      <c r="P7" s="44">
        <f>IF('2023 Lønnsgr arbavg tjeneste'!J7=0,0,'2023 Arbavg tjeneste'!J7/'2023 Lønnsgr arbavg tjeneste'!J7)</f>
        <v>0</v>
      </c>
      <c r="Q7" s="44">
        <f>IF('2023 Lønnsgr arbavg tjeneste'!K7=0,0,'2023 Arbavg tjeneste'!K7/'2023 Lønnsgr arbavg tjeneste'!K7)</f>
        <v>0.1433016659782459</v>
      </c>
      <c r="R7" s="44">
        <f>IF('2023 Lønnsgr arbavg tjeneste'!L7=0,0,'2023 Arbavg tjeneste'!L7/'2023 Lønnsgr arbavg tjeneste'!L7)</f>
        <v>0.13695225113258228</v>
      </c>
      <c r="S7" s="44">
        <f>IF('2023 Lønnsgr arbavg tjeneste'!M7=0,0,'2023 Arbavg tjeneste'!M7/'2023 Lønnsgr arbavg tjeneste'!M7)</f>
        <v>0.13941526800216567</v>
      </c>
      <c r="T7" s="44">
        <f>IF('2023 Lønnsgr arbavg tjeneste'!N7=0,0,'2023 Arbavg tjeneste'!N7/'2023 Lønnsgr arbavg tjeneste'!N7)</f>
        <v>0.13559131315404524</v>
      </c>
      <c r="U7" s="44">
        <f>IF('2023 Lønnsgr arbavg tjeneste'!O7=0,0,'2023 Arbavg tjeneste'!O7/'2023 Lønnsgr arbavg tjeneste'!O7)</f>
        <v>0</v>
      </c>
      <c r="V7" s="44">
        <f>IF('2023 Lønnsgr arbavg tjeneste'!P7=0,0,'2023 Arbavg tjeneste'!P7/'2023 Lønnsgr arbavg tjeneste'!P7)</f>
        <v>0</v>
      </c>
      <c r="W7" s="44">
        <f>IF('2023 Lønnsgr arbavg tjeneste'!Q7=0,0,'2023 Arbavg tjeneste'!Q7/'2023 Lønnsgr arbavg tjeneste'!Q7)</f>
        <v>0</v>
      </c>
      <c r="X7" s="44">
        <f>IF('2023 Lønnsgr arbavg tjeneste'!R7=0,0,'2023 Arbavg tjeneste'!R7/'2023 Lønnsgr arbavg tjeneste'!R7)</f>
        <v>0.10354882814863213</v>
      </c>
      <c r="Z7" s="44">
        <f>IF('2023 Lønnsgr pensjon tjeneste'!D7=0,0,'2023 Pensjon tjeneste'!D7/'2023 Lønnsgr pensjon tjeneste'!D7)</f>
        <v>0.17217165190882402</v>
      </c>
      <c r="AA7" s="44">
        <f>IF('2023 Lønnsgr pensjon tjeneste'!E7=0,0,'2023 Pensjon tjeneste'!E7/'2023 Lønnsgr pensjon tjeneste'!E7)</f>
        <v>0.74170758319694485</v>
      </c>
      <c r="AB7" s="44">
        <f>IF('2023 Lønnsgr pensjon tjeneste'!F7=0,0,'2023 Pensjon tjeneste'!F7/'2023 Lønnsgr pensjon tjeneste'!F7)</f>
        <v>0.33312663329937547</v>
      </c>
      <c r="AC7" s="44">
        <f>IF('2023 Lønnsgr pensjon tjeneste'!G7=0,0,'2023 Pensjon tjeneste'!G7/'2023 Lønnsgr pensjon tjeneste'!G7)</f>
        <v>0.28293631502187649</v>
      </c>
      <c r="AD7" s="44">
        <f>IF('2023 Lønnsgr pensjon tjeneste'!H7=0,0,'2023 Pensjon tjeneste'!H7/'2023 Lønnsgr pensjon tjeneste'!H7)</f>
        <v>0.29222146828928702</v>
      </c>
      <c r="AE7" s="44">
        <f>IF('2023 Lønnsgr pensjon tjeneste'!I7=0,0,'2023 Pensjon tjeneste'!I7/'2023 Lønnsgr pensjon tjeneste'!I7)</f>
        <v>0.272842290555036</v>
      </c>
      <c r="AF7" s="44">
        <f>IF('2023 Lønnsgr pensjon tjeneste'!J7=0,0,'2023 Pensjon tjeneste'!J7/'2023 Lønnsgr pensjon tjeneste'!J7)</f>
        <v>0</v>
      </c>
      <c r="AG7" s="44">
        <f>IF('2023 Lønnsgr pensjon tjeneste'!K7=0,0,'2023 Pensjon tjeneste'!K7/'2023 Lønnsgr pensjon tjeneste'!K7)</f>
        <v>0.24769652930336608</v>
      </c>
      <c r="AH7" s="44">
        <f>IF('2023 Lønnsgr pensjon tjeneste'!L7=0,0,'2023 Pensjon tjeneste'!L7/'2023 Lønnsgr pensjon tjeneste'!L7)</f>
        <v>0.36841746015494353</v>
      </c>
      <c r="AI7" s="44">
        <f>IF('2023 Lønnsgr pensjon tjeneste'!M7=0,0,'2023 Pensjon tjeneste'!M7/'2023 Lønnsgr pensjon tjeneste'!M7)</f>
        <v>0.26793437221116223</v>
      </c>
      <c r="AJ7" s="44">
        <f>IF('2023 Lønnsgr pensjon tjeneste'!N7=0,0,'2023 Pensjon tjeneste'!N7/'2023 Lønnsgr pensjon tjeneste'!N7)</f>
        <v>0.30183842378964332</v>
      </c>
      <c r="AK7" s="44">
        <f>IF('2023 Lønnsgr pensjon tjeneste'!O7=0,0,'2023 Pensjon tjeneste'!O7/'2023 Lønnsgr pensjon tjeneste'!O7)</f>
        <v>0</v>
      </c>
      <c r="AL7" s="44">
        <f>IF('2023 Lønnsgr pensjon tjeneste'!P7=0,0,'2023 Pensjon tjeneste'!P7/'2023 Lønnsgr pensjon tjeneste'!P7)</f>
        <v>0</v>
      </c>
      <c r="AM7" s="44">
        <f>IF('2023 Lønnsgr pensjon tjeneste'!Q7=0,0,'2023 Pensjon tjeneste'!Q7/'2023 Lønnsgr pensjon tjeneste'!Q7)</f>
        <v>0</v>
      </c>
    </row>
    <row r="8" spans="1:39" x14ac:dyDescent="0.3">
      <c r="A8" s="41">
        <v>1800</v>
      </c>
      <c r="B8" s="42" t="s">
        <v>141</v>
      </c>
      <c r="C8" s="1">
        <v>103130.96280951001</v>
      </c>
      <c r="D8" s="3">
        <v>1.0853378047755211</v>
      </c>
      <c r="E8" s="3">
        <v>1.9381931214813777</v>
      </c>
      <c r="F8" s="3">
        <v>1.3547771165025086</v>
      </c>
      <c r="G8" s="3">
        <v>5.2548770101082702</v>
      </c>
      <c r="H8" s="3">
        <v>1.1605514881983592</v>
      </c>
      <c r="I8" s="3"/>
      <c r="J8" s="44">
        <f>IF('2023 Lønnsgr arbavg tjeneste'!D8=0,0,'2023 Arbavg tjeneste'!D8/'2023 Lønnsgr arbavg tjeneste'!D8)</f>
        <v>5.8629999201032096E-2</v>
      </c>
      <c r="K8" s="44">
        <f>IF('2023 Lønnsgr arbavg tjeneste'!E8=0,0,'2023 Arbavg tjeneste'!E8/'2023 Lønnsgr arbavg tjeneste'!E8)</f>
        <v>9.7225572979493372E-2</v>
      </c>
      <c r="L8" s="44">
        <f>IF('2023 Lønnsgr arbavg tjeneste'!F8=0,0,'2023 Arbavg tjeneste'!F8/'2023 Lønnsgr arbavg tjeneste'!F8)</f>
        <v>7.3152960606207795E-2</v>
      </c>
      <c r="M8" s="44">
        <f>IF('2023 Lønnsgr arbavg tjeneste'!G8=0,0,'2023 Arbavg tjeneste'!G8/'2023 Lønnsgr arbavg tjeneste'!G8)</f>
        <v>7.3465859982713919E-2</v>
      </c>
      <c r="N8" s="44">
        <f>IF('2023 Lønnsgr arbavg tjeneste'!H8=0,0,'2023 Arbavg tjeneste'!H8/'2023 Lønnsgr arbavg tjeneste'!H8)</f>
        <v>5.5983618094559193E-2</v>
      </c>
      <c r="O8" s="44">
        <f>IF('2023 Lønnsgr arbavg tjeneste'!I8=0,0,'2023 Arbavg tjeneste'!I8/'2023 Lønnsgr arbavg tjeneste'!I8)</f>
        <v>7.0915480151046734E-2</v>
      </c>
      <c r="P8" s="44">
        <f>IF('2023 Lønnsgr arbavg tjeneste'!J8=0,0,'2023 Arbavg tjeneste'!J8/'2023 Lønnsgr arbavg tjeneste'!J8)</f>
        <v>0</v>
      </c>
      <c r="Q8" s="44">
        <f>IF('2023 Lønnsgr arbavg tjeneste'!K8=0,0,'2023 Arbavg tjeneste'!K8/'2023 Lønnsgr arbavg tjeneste'!K8)</f>
        <v>7.2699882359910969E-2</v>
      </c>
      <c r="R8" s="44">
        <f>IF('2023 Lønnsgr arbavg tjeneste'!L8=0,0,'2023 Arbavg tjeneste'!L8/'2023 Lønnsgr arbavg tjeneste'!L8)</f>
        <v>6.9446362004694187E-2</v>
      </c>
      <c r="S8" s="44">
        <f>IF('2023 Lønnsgr arbavg tjeneste'!M8=0,0,'2023 Arbavg tjeneste'!M8/'2023 Lønnsgr arbavg tjeneste'!M8)</f>
        <v>7.4302504102917041E-2</v>
      </c>
      <c r="T8" s="44">
        <f>IF('2023 Lønnsgr arbavg tjeneste'!N8=0,0,'2023 Arbavg tjeneste'!N8/'2023 Lønnsgr arbavg tjeneste'!N8)</f>
        <v>5.9826203208556153E-2</v>
      </c>
      <c r="U8" s="44">
        <f>IF('2023 Lønnsgr arbavg tjeneste'!O8=0,0,'2023 Arbavg tjeneste'!O8/'2023 Lønnsgr arbavg tjeneste'!O8)</f>
        <v>0</v>
      </c>
      <c r="V8" s="44">
        <f>IF('2023 Lønnsgr arbavg tjeneste'!P8=0,0,'2023 Arbavg tjeneste'!P8/'2023 Lønnsgr arbavg tjeneste'!P8)</f>
        <v>0</v>
      </c>
      <c r="W8" s="44">
        <f>IF('2023 Lønnsgr arbavg tjeneste'!Q8=0,0,'2023 Arbavg tjeneste'!Q8/'2023 Lønnsgr arbavg tjeneste'!Q8)</f>
        <v>0</v>
      </c>
      <c r="X8" s="44">
        <f>IF('2023 Lønnsgr arbavg tjeneste'!R8=0,0,'2023 Arbavg tjeneste'!R8/'2023 Lønnsgr arbavg tjeneste'!R8)</f>
        <v>2.9728856830870027E-2</v>
      </c>
      <c r="Z8" s="44">
        <f>IF('2023 Lønnsgr pensjon tjeneste'!D8=0,0,'2023 Pensjon tjeneste'!D8/'2023 Lønnsgr pensjon tjeneste'!D8)</f>
        <v>0.1705806056836035</v>
      </c>
      <c r="AA8" s="44">
        <f>IF('2023 Lønnsgr pensjon tjeneste'!E8=0,0,'2023 Pensjon tjeneste'!E8/'2023 Lønnsgr pensjon tjeneste'!E8)</f>
        <v>0.5704606744077203</v>
      </c>
      <c r="AB8" s="44">
        <f>IF('2023 Lønnsgr pensjon tjeneste'!F8=0,0,'2023 Pensjon tjeneste'!F8/'2023 Lønnsgr pensjon tjeneste'!F8)</f>
        <v>0.34837568771286348</v>
      </c>
      <c r="AC8" s="44">
        <f>IF('2023 Lønnsgr pensjon tjeneste'!G8=0,0,'2023 Pensjon tjeneste'!G8/'2023 Lønnsgr pensjon tjeneste'!G8)</f>
        <v>0.32759609868043604</v>
      </c>
      <c r="AD8" s="44">
        <f>IF('2023 Lønnsgr pensjon tjeneste'!H8=0,0,'2023 Pensjon tjeneste'!H8/'2023 Lønnsgr pensjon tjeneste'!H8)</f>
        <v>0.3228920149441995</v>
      </c>
      <c r="AE8" s="44">
        <f>IF('2023 Lønnsgr pensjon tjeneste'!I8=0,0,'2023 Pensjon tjeneste'!I8/'2023 Lønnsgr pensjon tjeneste'!I8)</f>
        <v>0.31075387171631486</v>
      </c>
      <c r="AF8" s="44">
        <f>IF('2023 Lønnsgr pensjon tjeneste'!J8=0,0,'2023 Pensjon tjeneste'!J8/'2023 Lønnsgr pensjon tjeneste'!J8)</f>
        <v>0</v>
      </c>
      <c r="AG8" s="44">
        <f>IF('2023 Lønnsgr pensjon tjeneste'!K8=0,0,'2023 Pensjon tjeneste'!K8/'2023 Lønnsgr pensjon tjeneste'!K8)</f>
        <v>0.30017517111622927</v>
      </c>
      <c r="AH8" s="44">
        <f>IF('2023 Lønnsgr pensjon tjeneste'!L8=0,0,'2023 Pensjon tjeneste'!L8/'2023 Lønnsgr pensjon tjeneste'!L8)</f>
        <v>0.35709779179810724</v>
      </c>
      <c r="AI8" s="44">
        <f>IF('2023 Lønnsgr pensjon tjeneste'!M8=0,0,'2023 Pensjon tjeneste'!M8/'2023 Lønnsgr pensjon tjeneste'!M8)</f>
        <v>0.30530025568378133</v>
      </c>
      <c r="AJ8" s="44">
        <f>IF('2023 Lønnsgr pensjon tjeneste'!N8=0,0,'2023 Pensjon tjeneste'!N8/'2023 Lønnsgr pensjon tjeneste'!N8)</f>
        <v>0.31951488423373758</v>
      </c>
      <c r="AK8" s="44">
        <f>IF('2023 Lønnsgr pensjon tjeneste'!O8=0,0,'2023 Pensjon tjeneste'!O8/'2023 Lønnsgr pensjon tjeneste'!O8)</f>
        <v>0</v>
      </c>
      <c r="AL8" s="44">
        <f>IF('2023 Lønnsgr pensjon tjeneste'!P8=0,0,'2023 Pensjon tjeneste'!P8/'2023 Lønnsgr pensjon tjeneste'!P8)</f>
        <v>0</v>
      </c>
      <c r="AM8" s="44">
        <f>IF('2023 Lønnsgr pensjon tjeneste'!Q8=0,0,'2023 Pensjon tjeneste'!Q8/'2023 Lønnsgr pensjon tjeneste'!Q8)</f>
        <v>0</v>
      </c>
    </row>
    <row r="9" spans="1:39" x14ac:dyDescent="0.3">
      <c r="A9" s="41">
        <v>3000</v>
      </c>
      <c r="B9" s="42" t="s">
        <v>403</v>
      </c>
      <c r="C9" s="1">
        <v>-188618.90494386002</v>
      </c>
      <c r="D9" s="3">
        <v>1.0109508011160717</v>
      </c>
      <c r="E9" s="3">
        <v>0.60627924197881555</v>
      </c>
      <c r="F9" s="3">
        <v>0.65317532338165341</v>
      </c>
      <c r="G9" s="3">
        <v>2.6179811137927375E-2</v>
      </c>
      <c r="H9" s="3">
        <v>0.96460045526742033</v>
      </c>
      <c r="I9" s="3"/>
      <c r="J9" s="44">
        <f>IF('2023 Lønnsgr arbavg tjeneste'!D9=0,0,'2023 Arbavg tjeneste'!D9/'2023 Lønnsgr arbavg tjeneste'!D9)</f>
        <v>0.14465981779414616</v>
      </c>
      <c r="K9" s="44">
        <f>IF('2023 Lønnsgr arbavg tjeneste'!E9=0,0,'2023 Arbavg tjeneste'!E9/'2023 Lønnsgr arbavg tjeneste'!E9)</f>
        <v>0.25772183982307484</v>
      </c>
      <c r="L9" s="44">
        <f>IF('2023 Lønnsgr arbavg tjeneste'!F9=0,0,'2023 Arbavg tjeneste'!F9/'2023 Lønnsgr arbavg tjeneste'!F9)</f>
        <v>0.13769717578161897</v>
      </c>
      <c r="M9" s="44">
        <f>IF('2023 Lønnsgr arbavg tjeneste'!G9=0,0,'2023 Arbavg tjeneste'!G9/'2023 Lønnsgr arbavg tjeneste'!G9)</f>
        <v>0</v>
      </c>
      <c r="N9" s="44">
        <f>IF('2023 Lønnsgr arbavg tjeneste'!H9=0,0,'2023 Arbavg tjeneste'!H9/'2023 Lønnsgr arbavg tjeneste'!H9)</f>
        <v>0.14300499224442445</v>
      </c>
      <c r="O9" s="44">
        <f>IF('2023 Lønnsgr arbavg tjeneste'!I9=0,0,'2023 Arbavg tjeneste'!I9/'2023 Lønnsgr arbavg tjeneste'!I9)</f>
        <v>7.5997951529341398E-2</v>
      </c>
      <c r="P9" s="44">
        <f>IF('2023 Lønnsgr arbavg tjeneste'!J9=0,0,'2023 Arbavg tjeneste'!J9/'2023 Lønnsgr arbavg tjeneste'!J9)</f>
        <v>0</v>
      </c>
      <c r="Q9" s="44">
        <f>IF('2023 Lønnsgr arbavg tjeneste'!K9=0,0,'2023 Arbavg tjeneste'!K9/'2023 Lønnsgr arbavg tjeneste'!K9)</f>
        <v>5.6818743756861273E-2</v>
      </c>
      <c r="R9" s="44">
        <f>IF('2023 Lønnsgr arbavg tjeneste'!L9=0,0,'2023 Arbavg tjeneste'!L9/'2023 Lønnsgr arbavg tjeneste'!L9)</f>
        <v>0.14460163233579479</v>
      </c>
      <c r="S9" s="44">
        <f>IF('2023 Lønnsgr arbavg tjeneste'!M9=0,0,'2023 Arbavg tjeneste'!M9/'2023 Lønnsgr arbavg tjeneste'!M9)</f>
        <v>0.15088737876888567</v>
      </c>
      <c r="T9" s="44">
        <f>IF('2023 Lønnsgr arbavg tjeneste'!N9=0,0,'2023 Arbavg tjeneste'!N9/'2023 Lønnsgr arbavg tjeneste'!N9)</f>
        <v>0.14460122216685461</v>
      </c>
      <c r="U9" s="44">
        <f>IF('2023 Lønnsgr arbavg tjeneste'!O9=0,0,'2023 Arbavg tjeneste'!O9/'2023 Lønnsgr arbavg tjeneste'!O9)</f>
        <v>0.14521033351689133</v>
      </c>
      <c r="V9" s="44">
        <f>IF('2023 Lønnsgr arbavg tjeneste'!P9=0,0,'2023 Arbavg tjeneste'!P9/'2023 Lønnsgr arbavg tjeneste'!P9)</f>
        <v>0.14236641221374047</v>
      </c>
      <c r="W9" s="44">
        <f>IF('2023 Lønnsgr arbavg tjeneste'!Q9=0,0,'2023 Arbavg tjeneste'!Q9/'2023 Lønnsgr arbavg tjeneste'!Q9)</f>
        <v>0</v>
      </c>
      <c r="X9" s="44">
        <f>IF('2023 Lønnsgr arbavg tjeneste'!R9=0,0,'2023 Arbavg tjeneste'!R9/'2023 Lønnsgr arbavg tjeneste'!R9)</f>
        <v>0.10383677724466582</v>
      </c>
      <c r="Z9" s="44">
        <f>IF('2023 Lønnsgr pensjon tjeneste'!D9=0,0,'2023 Pensjon tjeneste'!D9/'2023 Lønnsgr pensjon tjeneste'!D9)</f>
        <v>0.11806653103212933</v>
      </c>
      <c r="AA9" s="44">
        <f>IF('2023 Lønnsgr pensjon tjeneste'!E9=0,0,'2023 Pensjon tjeneste'!E9/'2023 Lønnsgr pensjon tjeneste'!E9)</f>
        <v>0.20316914567605951</v>
      </c>
      <c r="AB9" s="44">
        <f>IF('2023 Lønnsgr pensjon tjeneste'!F9=0,0,'2023 Pensjon tjeneste'!F9/'2023 Lønnsgr pensjon tjeneste'!F9)</f>
        <v>0.19338548594359403</v>
      </c>
      <c r="AC9" s="44">
        <f>IF('2023 Lønnsgr pensjon tjeneste'!G9=0,0,'2023 Pensjon tjeneste'!G9/'2023 Lønnsgr pensjon tjeneste'!G9)</f>
        <v>0</v>
      </c>
      <c r="AD9" s="44">
        <f>IF('2023 Lønnsgr pensjon tjeneste'!H9=0,0,'2023 Pensjon tjeneste'!H9/'2023 Lønnsgr pensjon tjeneste'!H9)</f>
        <v>0.11468049864876645</v>
      </c>
      <c r="AE9" s="44">
        <f>IF('2023 Lønnsgr pensjon tjeneste'!I9=0,0,'2023 Pensjon tjeneste'!I9/'2023 Lønnsgr pensjon tjeneste'!I9)</f>
        <v>0.75970262594974414</v>
      </c>
      <c r="AF9" s="44">
        <f>IF('2023 Lønnsgr pensjon tjeneste'!J9=0,0,'2023 Pensjon tjeneste'!J9/'2023 Lønnsgr pensjon tjeneste'!J9)</f>
        <v>0</v>
      </c>
      <c r="AG9" s="44">
        <f>IF('2023 Lønnsgr pensjon tjeneste'!K9=0,0,'2023 Pensjon tjeneste'!K9/'2023 Lønnsgr pensjon tjeneste'!K9)</f>
        <v>1.0344523209717422</v>
      </c>
      <c r="AH9" s="44">
        <f>IF('2023 Lønnsgr pensjon tjeneste'!L9=0,0,'2023 Pensjon tjeneste'!L9/'2023 Lønnsgr pensjon tjeneste'!L9)</f>
        <v>0.14736398341803875</v>
      </c>
      <c r="AI9" s="44">
        <f>IF('2023 Lønnsgr pensjon tjeneste'!M9=0,0,'2023 Pensjon tjeneste'!M9/'2023 Lønnsgr pensjon tjeneste'!M9)</f>
        <v>0.11448529411764706</v>
      </c>
      <c r="AJ9" s="44">
        <f>IF('2023 Lønnsgr pensjon tjeneste'!N9=0,0,'2023 Pensjon tjeneste'!N9/'2023 Lønnsgr pensjon tjeneste'!N9)</f>
        <v>0.10741929393996602</v>
      </c>
      <c r="AK9" s="44">
        <f>IF('2023 Lønnsgr pensjon tjeneste'!O9=0,0,'2023 Pensjon tjeneste'!O9/'2023 Lønnsgr pensjon tjeneste'!O9)</f>
        <v>0.11061770415082299</v>
      </c>
      <c r="AL9" s="44">
        <f>IF('2023 Lønnsgr pensjon tjeneste'!P9=0,0,'2023 Pensjon tjeneste'!P9/'2023 Lønnsgr pensjon tjeneste'!P9)</f>
        <v>0.11252653927813164</v>
      </c>
      <c r="AM9" s="44">
        <f>IF('2023 Lønnsgr pensjon tjeneste'!Q9=0,0,'2023 Pensjon tjeneste'!Q9/'2023 Lønnsgr pensjon tjeneste'!Q9)</f>
        <v>0</v>
      </c>
    </row>
    <row r="10" spans="1:39" x14ac:dyDescent="0.3">
      <c r="A10" s="41">
        <v>3400</v>
      </c>
      <c r="B10" s="42" t="s">
        <v>404</v>
      </c>
      <c r="C10" s="1">
        <v>73398.087973260001</v>
      </c>
      <c r="D10" s="3">
        <v>1.0062398373243804</v>
      </c>
      <c r="E10" s="3">
        <v>1.5174599383336682</v>
      </c>
      <c r="F10" s="3">
        <v>0.94309915694030932</v>
      </c>
      <c r="G10" s="3">
        <v>5.9463031673505369E-2</v>
      </c>
      <c r="H10" s="3">
        <v>1.0216409626046192</v>
      </c>
      <c r="I10" s="3"/>
      <c r="J10" s="44">
        <f>IF('2023 Lønnsgr arbavg tjeneste'!D10=0,0,'2023 Arbavg tjeneste'!D10/'2023 Lønnsgr arbavg tjeneste'!D10)</f>
        <v>0.12645689202930449</v>
      </c>
      <c r="K10" s="44">
        <f>IF('2023 Lønnsgr arbavg tjeneste'!E10=0,0,'2023 Arbavg tjeneste'!E10/'2023 Lønnsgr arbavg tjeneste'!E10)</f>
        <v>0.12639965212529702</v>
      </c>
      <c r="L10" s="44">
        <f>IF('2023 Lønnsgr arbavg tjeneste'!F10=0,0,'2023 Arbavg tjeneste'!F10/'2023 Lønnsgr arbavg tjeneste'!F10)</f>
        <v>0.14219125420470927</v>
      </c>
      <c r="M10" s="44">
        <f>IF('2023 Lønnsgr arbavg tjeneste'!G10=0,0,'2023 Arbavg tjeneste'!G10/'2023 Lønnsgr arbavg tjeneste'!G10)</f>
        <v>0.14469846645968576</v>
      </c>
      <c r="N10" s="44">
        <f>IF('2023 Lønnsgr arbavg tjeneste'!H10=0,0,'2023 Arbavg tjeneste'!H10/'2023 Lønnsgr arbavg tjeneste'!H10)</f>
        <v>0.12339661877768113</v>
      </c>
      <c r="O10" s="44">
        <f>IF('2023 Lønnsgr arbavg tjeneste'!I10=0,0,'2023 Arbavg tjeneste'!I10/'2023 Lønnsgr arbavg tjeneste'!I10)</f>
        <v>0.14372107611967402</v>
      </c>
      <c r="P10" s="44">
        <f>IF('2023 Lønnsgr arbavg tjeneste'!J10=0,0,'2023 Arbavg tjeneste'!J10/'2023 Lønnsgr arbavg tjeneste'!J10)</f>
        <v>0</v>
      </c>
      <c r="Q10" s="44">
        <f>IF('2023 Lønnsgr arbavg tjeneste'!K10=0,0,'2023 Arbavg tjeneste'!K10/'2023 Lønnsgr arbavg tjeneste'!K10)</f>
        <v>0.1445926522690445</v>
      </c>
      <c r="R10" s="44">
        <f>IF('2023 Lønnsgr arbavg tjeneste'!L10=0,0,'2023 Arbavg tjeneste'!L10/'2023 Lønnsgr arbavg tjeneste'!L10)</f>
        <v>0.14251819044606137</v>
      </c>
      <c r="S10" s="44">
        <f>IF('2023 Lønnsgr arbavg tjeneste'!M10=0,0,'2023 Arbavg tjeneste'!M10/'2023 Lønnsgr arbavg tjeneste'!M10)</f>
        <v>0.14303512718463401</v>
      </c>
      <c r="T10" s="44">
        <f>IF('2023 Lønnsgr arbavg tjeneste'!N10=0,0,'2023 Arbavg tjeneste'!N10/'2023 Lønnsgr arbavg tjeneste'!N10)</f>
        <v>0.14178240740740741</v>
      </c>
      <c r="U10" s="44">
        <f>IF('2023 Lønnsgr arbavg tjeneste'!O10=0,0,'2023 Arbavg tjeneste'!O10/'2023 Lønnsgr arbavg tjeneste'!O10)</f>
        <v>0</v>
      </c>
      <c r="V10" s="44">
        <f>IF('2023 Lønnsgr arbavg tjeneste'!P10=0,0,'2023 Arbavg tjeneste'!P10/'2023 Lønnsgr arbavg tjeneste'!P10)</f>
        <v>0.14202433870145012</v>
      </c>
      <c r="W10" s="44">
        <f>IF('2023 Lønnsgr arbavg tjeneste'!Q10=0,0,'2023 Arbavg tjeneste'!Q10/'2023 Lønnsgr arbavg tjeneste'!Q10)</f>
        <v>0</v>
      </c>
      <c r="X10" s="44">
        <f>IF('2023 Lønnsgr arbavg tjeneste'!R10=0,0,'2023 Arbavg tjeneste'!R10/'2023 Lønnsgr arbavg tjeneste'!R10)</f>
        <v>0.14099652298874307</v>
      </c>
      <c r="Z10" s="44">
        <f>IF('2023 Lønnsgr pensjon tjeneste'!D10=0,0,'2023 Pensjon tjeneste'!D10/'2023 Lønnsgr pensjon tjeneste'!D10)</f>
        <v>0.16605723001063258</v>
      </c>
      <c r="AA10" s="44">
        <f>IF('2023 Lønnsgr pensjon tjeneste'!E10=0,0,'2023 Pensjon tjeneste'!E10/'2023 Lønnsgr pensjon tjeneste'!E10)</f>
        <v>0.36830361886142926</v>
      </c>
      <c r="AB10" s="44">
        <f>IF('2023 Lønnsgr pensjon tjeneste'!F10=0,0,'2023 Pensjon tjeneste'!F10/'2023 Lønnsgr pensjon tjeneste'!F10)</f>
        <v>0.36736973519942179</v>
      </c>
      <c r="AC10" s="44">
        <f>IF('2023 Lønnsgr pensjon tjeneste'!G10=0,0,'2023 Pensjon tjeneste'!G10/'2023 Lønnsgr pensjon tjeneste'!G10)</f>
        <v>8.8144963144963145E-2</v>
      </c>
      <c r="AD10" s="44">
        <f>IF('2023 Lønnsgr pensjon tjeneste'!H10=0,0,'2023 Pensjon tjeneste'!H10/'2023 Lønnsgr pensjon tjeneste'!H10)</f>
        <v>0.32706659679056405</v>
      </c>
      <c r="AE10" s="44">
        <f>IF('2023 Lønnsgr pensjon tjeneste'!I10=0,0,'2023 Pensjon tjeneste'!I10/'2023 Lønnsgr pensjon tjeneste'!I10)</f>
        <v>0.29285549132947974</v>
      </c>
      <c r="AF10" s="44">
        <f>IF('2023 Lønnsgr pensjon tjeneste'!J10=0,0,'2023 Pensjon tjeneste'!J10/'2023 Lønnsgr pensjon tjeneste'!J10)</f>
        <v>0</v>
      </c>
      <c r="AG10" s="44">
        <f>IF('2023 Lønnsgr pensjon tjeneste'!K10=0,0,'2023 Pensjon tjeneste'!K10/'2023 Lønnsgr pensjon tjeneste'!K10)</f>
        <v>0.2512844685364129</v>
      </c>
      <c r="AH10" s="44">
        <f>IF('2023 Lønnsgr pensjon tjeneste'!L10=0,0,'2023 Pensjon tjeneste'!L10/'2023 Lønnsgr pensjon tjeneste'!L10)</f>
        <v>0.63988642057791878</v>
      </c>
      <c r="AI10" s="44">
        <f>IF('2023 Lønnsgr pensjon tjeneste'!M10=0,0,'2023 Pensjon tjeneste'!M10/'2023 Lønnsgr pensjon tjeneste'!M10)</f>
        <v>0.32728525493798805</v>
      </c>
      <c r="AJ10" s="44">
        <f>IF('2023 Lønnsgr pensjon tjeneste'!N10=0,0,'2023 Pensjon tjeneste'!N10/'2023 Lønnsgr pensjon tjeneste'!N10)</f>
        <v>0.10541732601595906</v>
      </c>
      <c r="AK10" s="44">
        <f>IF('2023 Lønnsgr pensjon tjeneste'!O10=0,0,'2023 Pensjon tjeneste'!O10/'2023 Lønnsgr pensjon tjeneste'!O10)</f>
        <v>0</v>
      </c>
      <c r="AL10" s="44">
        <f>IF('2023 Lønnsgr pensjon tjeneste'!P10=0,0,'2023 Pensjon tjeneste'!P10/'2023 Lønnsgr pensjon tjeneste'!P10)</f>
        <v>0.56227231329690341</v>
      </c>
      <c r="AM10" s="44">
        <f>IF('2023 Lønnsgr pensjon tjeneste'!Q10=0,0,'2023 Pensjon tjeneste'!Q10/'2023 Lønnsgr pensjon tjeneste'!Q10)</f>
        <v>0</v>
      </c>
    </row>
    <row r="11" spans="1:39" x14ac:dyDescent="0.3">
      <c r="A11" s="41">
        <v>3800</v>
      </c>
      <c r="B11" s="42" t="s">
        <v>405</v>
      </c>
      <c r="C11" s="1">
        <v>31419.130703170002</v>
      </c>
      <c r="D11" s="3">
        <v>1.0246976591874704</v>
      </c>
      <c r="E11" s="3">
        <v>0.87778384106275287</v>
      </c>
      <c r="F11" s="3">
        <v>0.66753460722060465</v>
      </c>
      <c r="G11" s="3">
        <v>0.13457432220097482</v>
      </c>
      <c r="H11" s="3">
        <v>0.96530680839609195</v>
      </c>
      <c r="I11" s="3"/>
      <c r="J11" s="44">
        <f>IF('2023 Lønnsgr arbavg tjeneste'!D11=0,0,'2023 Arbavg tjeneste'!D11/'2023 Lønnsgr arbavg tjeneste'!D11)</f>
        <v>0.14053836568966374</v>
      </c>
      <c r="K11" s="44">
        <f>IF('2023 Lønnsgr arbavg tjeneste'!E11=0,0,'2023 Arbavg tjeneste'!E11/'2023 Lønnsgr arbavg tjeneste'!E11)</f>
        <v>0.14504084258087457</v>
      </c>
      <c r="L11" s="44">
        <f>IF('2023 Lønnsgr arbavg tjeneste'!F11=0,0,'2023 Arbavg tjeneste'!F11/'2023 Lønnsgr arbavg tjeneste'!F11)</f>
        <v>0.1430069013715384</v>
      </c>
      <c r="M11" s="44">
        <f>IF('2023 Lønnsgr arbavg tjeneste'!G11=0,0,'2023 Arbavg tjeneste'!G11/'2023 Lønnsgr arbavg tjeneste'!G11)</f>
        <v>0</v>
      </c>
      <c r="N11" s="44">
        <f>IF('2023 Lønnsgr arbavg tjeneste'!H11=0,0,'2023 Arbavg tjeneste'!H11/'2023 Lønnsgr arbavg tjeneste'!H11)</f>
        <v>0.14022701038861102</v>
      </c>
      <c r="O11" s="44">
        <f>IF('2023 Lønnsgr arbavg tjeneste'!I11=0,0,'2023 Arbavg tjeneste'!I11/'2023 Lønnsgr arbavg tjeneste'!I11)</f>
        <v>0.14363787304589037</v>
      </c>
      <c r="P11" s="44">
        <f>IF('2023 Lønnsgr arbavg tjeneste'!J11=0,0,'2023 Arbavg tjeneste'!J11/'2023 Lønnsgr arbavg tjeneste'!J11)</f>
        <v>0</v>
      </c>
      <c r="Q11" s="44">
        <f>IF('2023 Lønnsgr arbavg tjeneste'!K11=0,0,'2023 Arbavg tjeneste'!K11/'2023 Lønnsgr arbavg tjeneste'!K11)</f>
        <v>0.14543343314682924</v>
      </c>
      <c r="R11" s="44">
        <f>IF('2023 Lønnsgr arbavg tjeneste'!L11=0,0,'2023 Arbavg tjeneste'!L11/'2023 Lønnsgr arbavg tjeneste'!L11)</f>
        <v>0.13714000899597611</v>
      </c>
      <c r="S11" s="44">
        <f>IF('2023 Lønnsgr arbavg tjeneste'!M11=0,0,'2023 Arbavg tjeneste'!M11/'2023 Lønnsgr arbavg tjeneste'!M11)</f>
        <v>0.15135904561784044</v>
      </c>
      <c r="T11" s="44">
        <f>IF('2023 Lønnsgr arbavg tjeneste'!N11=0,0,'2023 Arbavg tjeneste'!N11/'2023 Lønnsgr arbavg tjeneste'!N11)</f>
        <v>0.14066843950199445</v>
      </c>
      <c r="U11" s="44">
        <f>IF('2023 Lønnsgr arbavg tjeneste'!O11=0,0,'2023 Arbavg tjeneste'!O11/'2023 Lønnsgr arbavg tjeneste'!O11)</f>
        <v>0.10680272108843537</v>
      </c>
      <c r="V11" s="44">
        <f>IF('2023 Lønnsgr arbavg tjeneste'!P11=0,0,'2023 Arbavg tjeneste'!P11/'2023 Lønnsgr arbavg tjeneste'!P11)</f>
        <v>0.15191256830601094</v>
      </c>
      <c r="W11" s="44">
        <f>IF('2023 Lønnsgr arbavg tjeneste'!Q11=0,0,'2023 Arbavg tjeneste'!Q11/'2023 Lønnsgr arbavg tjeneste'!Q11)</f>
        <v>0</v>
      </c>
      <c r="X11" s="44">
        <f>IF('2023 Lønnsgr arbavg tjeneste'!R11=0,0,'2023 Arbavg tjeneste'!R11/'2023 Lønnsgr arbavg tjeneste'!R11)</f>
        <v>0.13833675518353902</v>
      </c>
      <c r="Z11" s="44">
        <f>IF('2023 Lønnsgr pensjon tjeneste'!D11=0,0,'2023 Pensjon tjeneste'!D11/'2023 Lønnsgr pensjon tjeneste'!D11)</f>
        <v>0.18522739334215979</v>
      </c>
      <c r="AA11" s="44">
        <f>IF('2023 Lønnsgr pensjon tjeneste'!E11=0,0,'2023 Pensjon tjeneste'!E11/'2023 Lønnsgr pensjon tjeneste'!E11)</f>
        <v>0.28931381605118905</v>
      </c>
      <c r="AB11" s="44">
        <f>IF('2023 Lønnsgr pensjon tjeneste'!F11=0,0,'2023 Pensjon tjeneste'!F11/'2023 Lønnsgr pensjon tjeneste'!F11)</f>
        <v>0.2923267978775449</v>
      </c>
      <c r="AC11" s="44">
        <f>IF('2023 Lønnsgr pensjon tjeneste'!G11=0,0,'2023 Pensjon tjeneste'!G11/'2023 Lønnsgr pensjon tjeneste'!G11)</f>
        <v>0</v>
      </c>
      <c r="AD11" s="44">
        <f>IF('2023 Lønnsgr pensjon tjeneste'!H11=0,0,'2023 Pensjon tjeneste'!H11/'2023 Lønnsgr pensjon tjeneste'!H11)</f>
        <v>0.32620648305246908</v>
      </c>
      <c r="AE11" s="44">
        <f>IF('2023 Lønnsgr pensjon tjeneste'!I11=0,0,'2023 Pensjon tjeneste'!I11/'2023 Lønnsgr pensjon tjeneste'!I11)</f>
        <v>0.28849627874960815</v>
      </c>
      <c r="AF11" s="44">
        <f>IF('2023 Lønnsgr pensjon tjeneste'!J11=0,0,'2023 Pensjon tjeneste'!J11/'2023 Lønnsgr pensjon tjeneste'!J11)</f>
        <v>0</v>
      </c>
      <c r="AG11" s="44">
        <f>IF('2023 Lønnsgr pensjon tjeneste'!K11=0,0,'2023 Pensjon tjeneste'!K11/'2023 Lønnsgr pensjon tjeneste'!K11)</f>
        <v>0.27656906815696758</v>
      </c>
      <c r="AH11" s="44">
        <f>IF('2023 Lønnsgr pensjon tjeneste'!L11=0,0,'2023 Pensjon tjeneste'!L11/'2023 Lønnsgr pensjon tjeneste'!L11)</f>
        <v>0.3271436577620026</v>
      </c>
      <c r="AI11" s="44">
        <f>IF('2023 Lønnsgr pensjon tjeneste'!M11=0,0,'2023 Pensjon tjeneste'!M11/'2023 Lønnsgr pensjon tjeneste'!M11)</f>
        <v>0.30056860757261866</v>
      </c>
      <c r="AJ11" s="44">
        <f>IF('2023 Lønnsgr pensjon tjeneste'!N11=0,0,'2023 Pensjon tjeneste'!N11/'2023 Lønnsgr pensjon tjeneste'!N11)</f>
        <v>0.30227067018220455</v>
      </c>
      <c r="AK11" s="44">
        <f>IF('2023 Lønnsgr pensjon tjeneste'!O11=0,0,'2023 Pensjon tjeneste'!O11/'2023 Lønnsgr pensjon tjeneste'!O11)</f>
        <v>0.16666666666666666</v>
      </c>
      <c r="AL11" s="44">
        <f>IF('2023 Lønnsgr pensjon tjeneste'!P11=0,0,'2023 Pensjon tjeneste'!P11/'2023 Lønnsgr pensjon tjeneste'!P11)</f>
        <v>0.17912371134020619</v>
      </c>
      <c r="AM11" s="44">
        <f>IF('2023 Lønnsgr pensjon tjeneste'!Q11=0,0,'2023 Pensjon tjeneste'!Q11/'2023 Lønnsgr pensjon tjeneste'!Q11)</f>
        <v>0</v>
      </c>
    </row>
    <row r="12" spans="1:39" x14ac:dyDescent="0.3">
      <c r="A12" s="41">
        <v>4200</v>
      </c>
      <c r="B12" s="42" t="s">
        <v>406</v>
      </c>
      <c r="C12" s="1">
        <v>29345.239222889999</v>
      </c>
      <c r="D12" s="3">
        <v>1.084268975153569</v>
      </c>
      <c r="E12" s="3">
        <v>1.2211575516772717</v>
      </c>
      <c r="F12" s="3">
        <v>0.78004641987215195</v>
      </c>
      <c r="G12" s="3">
        <v>0.1328769183331836</v>
      </c>
      <c r="H12" s="3">
        <v>1.0388028742608666</v>
      </c>
      <c r="I12" s="3"/>
      <c r="J12" s="44">
        <f>IF('2023 Lønnsgr arbavg tjeneste'!D12=0,0,'2023 Arbavg tjeneste'!D12/'2023 Lønnsgr arbavg tjeneste'!D12)</f>
        <v>0.14124692572818523</v>
      </c>
      <c r="K12" s="44">
        <f>IF('2023 Lønnsgr arbavg tjeneste'!E12=0,0,'2023 Arbavg tjeneste'!E12/'2023 Lønnsgr arbavg tjeneste'!E12)</f>
        <v>0.21609554483502205</v>
      </c>
      <c r="L12" s="44">
        <f>IF('2023 Lønnsgr arbavg tjeneste'!F12=0,0,'2023 Arbavg tjeneste'!F12/'2023 Lønnsgr arbavg tjeneste'!F12)</f>
        <v>0.15758640890451084</v>
      </c>
      <c r="M12" s="44">
        <f>IF('2023 Lønnsgr arbavg tjeneste'!G12=0,0,'2023 Arbavg tjeneste'!G12/'2023 Lønnsgr arbavg tjeneste'!G12)</f>
        <v>0.14041745730550284</v>
      </c>
      <c r="N12" s="44">
        <f>IF('2023 Lønnsgr arbavg tjeneste'!H12=0,0,'2023 Arbavg tjeneste'!H12/'2023 Lønnsgr arbavg tjeneste'!H12)</f>
        <v>0.14053489533669344</v>
      </c>
      <c r="O12" s="44">
        <f>IF('2023 Lønnsgr arbavg tjeneste'!I12=0,0,'2023 Arbavg tjeneste'!I12/'2023 Lønnsgr arbavg tjeneste'!I12)</f>
        <v>0.126653051260219</v>
      </c>
      <c r="P12" s="44">
        <f>IF('2023 Lønnsgr arbavg tjeneste'!J12=0,0,'2023 Arbavg tjeneste'!J12/'2023 Lønnsgr arbavg tjeneste'!J12)</f>
        <v>0</v>
      </c>
      <c r="Q12" s="44">
        <f>IF('2023 Lønnsgr arbavg tjeneste'!K12=0,0,'2023 Arbavg tjeneste'!K12/'2023 Lønnsgr arbavg tjeneste'!K12)</f>
        <v>0.11885359956864314</v>
      </c>
      <c r="R12" s="44">
        <f>IF('2023 Lønnsgr arbavg tjeneste'!L12=0,0,'2023 Arbavg tjeneste'!L12/'2023 Lønnsgr arbavg tjeneste'!L12)</f>
        <v>0.14382770092803362</v>
      </c>
      <c r="S12" s="44">
        <f>IF('2023 Lønnsgr arbavg tjeneste'!M12=0,0,'2023 Arbavg tjeneste'!M12/'2023 Lønnsgr arbavg tjeneste'!M12)</f>
        <v>0.14142480211081795</v>
      </c>
      <c r="T12" s="44">
        <f>IF('2023 Lønnsgr arbavg tjeneste'!N12=0,0,'2023 Arbavg tjeneste'!N12/'2023 Lønnsgr arbavg tjeneste'!N12)</f>
        <v>0.14275101434367679</v>
      </c>
      <c r="U12" s="44">
        <f>IF('2023 Lønnsgr arbavg tjeneste'!O12=0,0,'2023 Arbavg tjeneste'!O12/'2023 Lønnsgr arbavg tjeneste'!O12)</f>
        <v>0</v>
      </c>
      <c r="V12" s="44">
        <f>IF('2023 Lønnsgr arbavg tjeneste'!P12=0,0,'2023 Arbavg tjeneste'!P12/'2023 Lønnsgr arbavg tjeneste'!P12)</f>
        <v>0.14136732329084589</v>
      </c>
      <c r="W12" s="44">
        <f>IF('2023 Lønnsgr arbavg tjeneste'!Q12=0,0,'2023 Arbavg tjeneste'!Q12/'2023 Lønnsgr arbavg tjeneste'!Q12)</f>
        <v>0</v>
      </c>
      <c r="X12" s="44">
        <f>IF('2023 Lønnsgr arbavg tjeneste'!R12=0,0,'2023 Arbavg tjeneste'!R12/'2023 Lønnsgr arbavg tjeneste'!R12)</f>
        <v>0.11268330447001124</v>
      </c>
      <c r="Z12" s="44">
        <f>IF('2023 Lønnsgr pensjon tjeneste'!D12=0,0,'2023 Pensjon tjeneste'!D12/'2023 Lønnsgr pensjon tjeneste'!D12)</f>
        <v>0.15100678858900413</v>
      </c>
      <c r="AA12" s="44">
        <f>IF('2023 Lønnsgr pensjon tjeneste'!E12=0,0,'2023 Pensjon tjeneste'!E12/'2023 Lønnsgr pensjon tjeneste'!E12)</f>
        <v>0.4157142857142857</v>
      </c>
      <c r="AB12" s="44">
        <f>IF('2023 Lønnsgr pensjon tjeneste'!F12=0,0,'2023 Pensjon tjeneste'!F12/'2023 Lønnsgr pensjon tjeneste'!F12)</f>
        <v>0.20042194092827004</v>
      </c>
      <c r="AC12" s="44">
        <f>IF('2023 Lønnsgr pensjon tjeneste'!G12=0,0,'2023 Pensjon tjeneste'!G12/'2023 Lønnsgr pensjon tjeneste'!G12)</f>
        <v>0.16851441241685144</v>
      </c>
      <c r="AD12" s="44">
        <f>IF('2023 Lønnsgr pensjon tjeneste'!H12=0,0,'2023 Pensjon tjeneste'!H12/'2023 Lønnsgr pensjon tjeneste'!H12)</f>
        <v>0.26832418735139496</v>
      </c>
      <c r="AE12" s="44">
        <f>IF('2023 Lønnsgr pensjon tjeneste'!I12=0,0,'2023 Pensjon tjeneste'!I12/'2023 Lønnsgr pensjon tjeneste'!I12)</f>
        <v>0.4168617575473807</v>
      </c>
      <c r="AF12" s="44">
        <f>IF('2023 Lønnsgr pensjon tjeneste'!J12=0,0,'2023 Pensjon tjeneste'!J12/'2023 Lønnsgr pensjon tjeneste'!J12)</f>
        <v>0</v>
      </c>
      <c r="AG12" s="44">
        <f>IF('2023 Lønnsgr pensjon tjeneste'!K12=0,0,'2023 Pensjon tjeneste'!K12/'2023 Lønnsgr pensjon tjeneste'!K12)</f>
        <v>0.47733044267296765</v>
      </c>
      <c r="AH12" s="44">
        <f>IF('2023 Lønnsgr pensjon tjeneste'!L12=0,0,'2023 Pensjon tjeneste'!L12/'2023 Lønnsgr pensjon tjeneste'!L12)</f>
        <v>0.29430004075196231</v>
      </c>
      <c r="AI12" s="44">
        <f>IF('2023 Lønnsgr pensjon tjeneste'!M12=0,0,'2023 Pensjon tjeneste'!M12/'2023 Lønnsgr pensjon tjeneste'!M12)</f>
        <v>0.24180865006553079</v>
      </c>
      <c r="AJ12" s="44">
        <f>IF('2023 Lønnsgr pensjon tjeneste'!N12=0,0,'2023 Pensjon tjeneste'!N12/'2023 Lønnsgr pensjon tjeneste'!N12)</f>
        <v>0.23536886692552064</v>
      </c>
      <c r="AK12" s="44">
        <f>IF('2023 Lønnsgr pensjon tjeneste'!O12=0,0,'2023 Pensjon tjeneste'!O12/'2023 Lønnsgr pensjon tjeneste'!O12)</f>
        <v>0</v>
      </c>
      <c r="AL12" s="44">
        <f>IF('2023 Lønnsgr pensjon tjeneste'!P12=0,0,'2023 Pensjon tjeneste'!P12/'2023 Lønnsgr pensjon tjeneste'!P12)</f>
        <v>0.17896174863387979</v>
      </c>
      <c r="AM12" s="44">
        <f>IF('2023 Lønnsgr pensjon tjeneste'!Q12=0,0,'2023 Pensjon tjeneste'!Q12/'2023 Lønnsgr pensjon tjeneste'!Q12)</f>
        <v>0</v>
      </c>
    </row>
    <row r="13" spans="1:39" x14ac:dyDescent="0.3">
      <c r="A13" s="41">
        <v>4600</v>
      </c>
      <c r="B13" s="42" t="s">
        <v>407</v>
      </c>
      <c r="C13" s="1">
        <v>-107541.58571699999</v>
      </c>
      <c r="D13" s="3">
        <v>1.048859894414335</v>
      </c>
      <c r="E13" s="3">
        <v>1.2994326055707779</v>
      </c>
      <c r="F13" s="3">
        <v>1.0646807692486568</v>
      </c>
      <c r="G13" s="3">
        <v>2.300543280463788</v>
      </c>
      <c r="H13" s="3">
        <v>1.0530401240046849</v>
      </c>
      <c r="I13" s="3"/>
      <c r="J13" s="44">
        <f>IF('2023 Lønnsgr arbavg tjeneste'!D13=0,0,'2023 Arbavg tjeneste'!D13/'2023 Lønnsgr arbavg tjeneste'!D13)</f>
        <v>0.13838718452722118</v>
      </c>
      <c r="K13" s="44">
        <f>IF('2023 Lønnsgr arbavg tjeneste'!E13=0,0,'2023 Arbavg tjeneste'!E13/'2023 Lønnsgr arbavg tjeneste'!E13)</f>
        <v>0.42733218957752522</v>
      </c>
      <c r="L13" s="44">
        <f>IF('2023 Lønnsgr arbavg tjeneste'!F13=0,0,'2023 Arbavg tjeneste'!F13/'2023 Lønnsgr arbavg tjeneste'!F13)</f>
        <v>0.1434801376913456</v>
      </c>
      <c r="M13" s="44">
        <f>IF('2023 Lønnsgr arbavg tjeneste'!G13=0,0,'2023 Arbavg tjeneste'!G13/'2023 Lønnsgr arbavg tjeneste'!G13)</f>
        <v>0</v>
      </c>
      <c r="N13" s="44">
        <f>IF('2023 Lønnsgr arbavg tjeneste'!H13=0,0,'2023 Arbavg tjeneste'!H13/'2023 Lønnsgr arbavg tjeneste'!H13)</f>
        <v>0.13745697223033673</v>
      </c>
      <c r="O13" s="44">
        <f>IF('2023 Lønnsgr arbavg tjeneste'!I13=0,0,'2023 Arbavg tjeneste'!I13/'2023 Lønnsgr arbavg tjeneste'!I13)</f>
        <v>0.13737279374489458</v>
      </c>
      <c r="P13" s="44">
        <f>IF('2023 Lønnsgr arbavg tjeneste'!J13=0,0,'2023 Arbavg tjeneste'!J13/'2023 Lønnsgr arbavg tjeneste'!J13)</f>
        <v>0</v>
      </c>
      <c r="Q13" s="44">
        <f>IF('2023 Lønnsgr arbavg tjeneste'!K13=0,0,'2023 Arbavg tjeneste'!K13/'2023 Lønnsgr arbavg tjeneste'!K13)</f>
        <v>0.1407031823337114</v>
      </c>
      <c r="R13" s="44">
        <f>IF('2023 Lønnsgr arbavg tjeneste'!L13=0,0,'2023 Arbavg tjeneste'!L13/'2023 Lønnsgr arbavg tjeneste'!L13)</f>
        <v>0.13251932711768805</v>
      </c>
      <c r="S13" s="44">
        <f>IF('2023 Lønnsgr arbavg tjeneste'!M13=0,0,'2023 Arbavg tjeneste'!M13/'2023 Lønnsgr arbavg tjeneste'!M13)</f>
        <v>0.13415156538096212</v>
      </c>
      <c r="T13" s="44">
        <f>IF('2023 Lønnsgr arbavg tjeneste'!N13=0,0,'2023 Arbavg tjeneste'!N13/'2023 Lønnsgr arbavg tjeneste'!N13)</f>
        <v>0.12810477481433399</v>
      </c>
      <c r="U13" s="44">
        <f>IF('2023 Lønnsgr arbavg tjeneste'!O13=0,0,'2023 Arbavg tjeneste'!O13/'2023 Lønnsgr arbavg tjeneste'!O13)</f>
        <v>0</v>
      </c>
      <c r="V13" s="44">
        <f>IF('2023 Lønnsgr arbavg tjeneste'!P13=0,0,'2023 Arbavg tjeneste'!P13/'2023 Lønnsgr arbavg tjeneste'!P13)</f>
        <v>0.14163822525597269</v>
      </c>
      <c r="W13" s="44">
        <f>IF('2023 Lønnsgr arbavg tjeneste'!Q13=0,0,'2023 Arbavg tjeneste'!Q13/'2023 Lønnsgr arbavg tjeneste'!Q13)</f>
        <v>0</v>
      </c>
      <c r="X13" s="44">
        <f>IF('2023 Lønnsgr arbavg tjeneste'!R13=0,0,'2023 Arbavg tjeneste'!R13/'2023 Lønnsgr arbavg tjeneste'!R13)</f>
        <v>0.14574877210434226</v>
      </c>
      <c r="Z13" s="44">
        <f>IF('2023 Lønnsgr pensjon tjeneste'!D13=0,0,'2023 Pensjon tjeneste'!D13/'2023 Lønnsgr pensjon tjeneste'!D13)</f>
        <v>0.11700983901577706</v>
      </c>
      <c r="AA13" s="44">
        <f>IF('2023 Lønnsgr pensjon tjeneste'!E13=0,0,'2023 Pensjon tjeneste'!E13/'2023 Lønnsgr pensjon tjeneste'!E13)</f>
        <v>0.92019436666117604</v>
      </c>
      <c r="AB13" s="44">
        <f>IF('2023 Lønnsgr pensjon tjeneste'!F13=0,0,'2023 Pensjon tjeneste'!F13/'2023 Lønnsgr pensjon tjeneste'!F13)</f>
        <v>0.17321576979015169</v>
      </c>
      <c r="AC13" s="44">
        <f>IF('2023 Lønnsgr pensjon tjeneste'!G13=0,0,'2023 Pensjon tjeneste'!G13/'2023 Lønnsgr pensjon tjeneste'!G13)</f>
        <v>0</v>
      </c>
      <c r="AD13" s="44">
        <f>IF('2023 Lønnsgr pensjon tjeneste'!H13=0,0,'2023 Pensjon tjeneste'!H13/'2023 Lønnsgr pensjon tjeneste'!H13)</f>
        <v>0.1888076587091323</v>
      </c>
      <c r="AE13" s="44">
        <f>IF('2023 Lønnsgr pensjon tjeneste'!I13=0,0,'2023 Pensjon tjeneste'!I13/'2023 Lønnsgr pensjon tjeneste'!I13)</f>
        <v>9.8256072625956384E-2</v>
      </c>
      <c r="AF13" s="44">
        <f>IF('2023 Lønnsgr pensjon tjeneste'!J13=0,0,'2023 Pensjon tjeneste'!J13/'2023 Lønnsgr pensjon tjeneste'!J13)</f>
        <v>0</v>
      </c>
      <c r="AG13" s="44">
        <f>IF('2023 Lønnsgr pensjon tjeneste'!K13=0,0,'2023 Pensjon tjeneste'!K13/'2023 Lønnsgr pensjon tjeneste'!K13)</f>
        <v>5.1461004542721393E-2</v>
      </c>
      <c r="AH13" s="44">
        <f>IF('2023 Lønnsgr pensjon tjeneste'!L13=0,0,'2023 Pensjon tjeneste'!L13/'2023 Lønnsgr pensjon tjeneste'!L13)</f>
        <v>0.27460084474133539</v>
      </c>
      <c r="AI13" s="44">
        <f>IF('2023 Lønnsgr pensjon tjeneste'!M13=0,0,'2023 Pensjon tjeneste'!M13/'2023 Lønnsgr pensjon tjeneste'!M13)</f>
        <v>0.17835666944651715</v>
      </c>
      <c r="AJ13" s="44">
        <f>IF('2023 Lønnsgr pensjon tjeneste'!N13=0,0,'2023 Pensjon tjeneste'!N13/'2023 Lønnsgr pensjon tjeneste'!N13)</f>
        <v>0.18611865942028985</v>
      </c>
      <c r="AK13" s="44">
        <f>IF('2023 Lønnsgr pensjon tjeneste'!O13=0,0,'2023 Pensjon tjeneste'!O13/'2023 Lønnsgr pensjon tjeneste'!O13)</f>
        <v>0</v>
      </c>
      <c r="AL13" s="44">
        <f>IF('2023 Lønnsgr pensjon tjeneste'!P13=0,0,'2023 Pensjon tjeneste'!P13/'2023 Lønnsgr pensjon tjeneste'!P13)</f>
        <v>0.19348268839103869</v>
      </c>
      <c r="AM13" s="44">
        <f>IF('2023 Lønnsgr pensjon tjeneste'!Q13=0,0,'2023 Pensjon tjeneste'!Q13/'2023 Lønnsgr pensjon tjeneste'!Q13)</f>
        <v>0</v>
      </c>
    </row>
    <row r="14" spans="1:39" x14ac:dyDescent="0.3">
      <c r="A14" s="41">
        <v>5000</v>
      </c>
      <c r="B14" s="42" t="s">
        <v>388</v>
      </c>
      <c r="C14" s="1">
        <v>24061.020510459999</v>
      </c>
      <c r="D14" s="3">
        <v>1.0195042229505571</v>
      </c>
      <c r="E14" s="3">
        <v>1.2666523308794941</v>
      </c>
      <c r="F14" s="3">
        <v>1.0917317827078288</v>
      </c>
      <c r="G14" s="3">
        <v>1.0558842371923283</v>
      </c>
      <c r="H14" s="3">
        <v>1.0416844885673895</v>
      </c>
      <c r="I14" s="3"/>
      <c r="J14" s="44">
        <f>IF('2023 Lønnsgr arbavg tjeneste'!D14=0,0,'2023 Arbavg tjeneste'!D14/'2023 Lønnsgr arbavg tjeneste'!D14)</f>
        <v>0.12552077248393773</v>
      </c>
      <c r="K14" s="44">
        <f>IF('2023 Lønnsgr arbavg tjeneste'!E14=0,0,'2023 Arbavg tjeneste'!E14/'2023 Lønnsgr arbavg tjeneste'!E14)</f>
        <v>0.29048522956459844</v>
      </c>
      <c r="L14" s="44">
        <f>IF('2023 Lønnsgr arbavg tjeneste'!F14=0,0,'2023 Arbavg tjeneste'!F14/'2023 Lønnsgr arbavg tjeneste'!F14)</f>
        <v>0.14343702431599079</v>
      </c>
      <c r="M14" s="44">
        <f>IF('2023 Lønnsgr arbavg tjeneste'!G14=0,0,'2023 Arbavg tjeneste'!G14/'2023 Lønnsgr arbavg tjeneste'!G14)</f>
        <v>0.12941176470588237</v>
      </c>
      <c r="N14" s="44">
        <f>IF('2023 Lønnsgr arbavg tjeneste'!H14=0,0,'2023 Arbavg tjeneste'!H14/'2023 Lønnsgr arbavg tjeneste'!H14)</f>
        <v>0.12893936970084788</v>
      </c>
      <c r="O14" s="44">
        <f>IF('2023 Lønnsgr arbavg tjeneste'!I14=0,0,'2023 Arbavg tjeneste'!I14/'2023 Lønnsgr arbavg tjeneste'!I14)</f>
        <v>0.16144517865185837</v>
      </c>
      <c r="P14" s="44">
        <f>IF('2023 Lønnsgr arbavg tjeneste'!J14=0,0,'2023 Arbavg tjeneste'!J14/'2023 Lønnsgr arbavg tjeneste'!J14)</f>
        <v>0</v>
      </c>
      <c r="Q14" s="44">
        <f>IF('2023 Lønnsgr arbavg tjeneste'!K14=0,0,'2023 Arbavg tjeneste'!K14/'2023 Lønnsgr arbavg tjeneste'!K14)</f>
        <v>0.17731243417384301</v>
      </c>
      <c r="R14" s="44">
        <f>IF('2023 Lønnsgr arbavg tjeneste'!L14=0,0,'2023 Arbavg tjeneste'!L14/'2023 Lønnsgr arbavg tjeneste'!L14)</f>
        <v>0.13832098028486628</v>
      </c>
      <c r="S14" s="44">
        <f>IF('2023 Lønnsgr arbavg tjeneste'!M14=0,0,'2023 Arbavg tjeneste'!M14/'2023 Lønnsgr arbavg tjeneste'!M14)</f>
        <v>0.13425979097278051</v>
      </c>
      <c r="T14" s="44">
        <f>IF('2023 Lønnsgr arbavg tjeneste'!N14=0,0,'2023 Arbavg tjeneste'!N14/'2023 Lønnsgr arbavg tjeneste'!N14)</f>
        <v>0.13988303072625699</v>
      </c>
      <c r="U14" s="44">
        <f>IF('2023 Lønnsgr arbavg tjeneste'!O14=0,0,'2023 Arbavg tjeneste'!O14/'2023 Lønnsgr arbavg tjeneste'!O14)</f>
        <v>0</v>
      </c>
      <c r="V14" s="44">
        <f>IF('2023 Lønnsgr arbavg tjeneste'!P14=0,0,'2023 Arbavg tjeneste'!P14/'2023 Lønnsgr arbavg tjeneste'!P14)</f>
        <v>0</v>
      </c>
      <c r="W14" s="44">
        <f>IF('2023 Lønnsgr arbavg tjeneste'!Q14=0,0,'2023 Arbavg tjeneste'!Q14/'2023 Lønnsgr arbavg tjeneste'!Q14)</f>
        <v>0</v>
      </c>
      <c r="X14" s="44">
        <f>IF('2023 Lønnsgr arbavg tjeneste'!R14=0,0,'2023 Arbavg tjeneste'!R14/'2023 Lønnsgr arbavg tjeneste'!R14)</f>
        <v>0.14104074279379158</v>
      </c>
      <c r="Z14" s="44">
        <f>IF('2023 Lønnsgr pensjon tjeneste'!D14=0,0,'2023 Pensjon tjeneste'!D14/'2023 Lønnsgr pensjon tjeneste'!D14)</f>
        <v>0.13963547975530091</v>
      </c>
      <c r="AA14" s="44">
        <f>IF('2023 Lønnsgr pensjon tjeneste'!E14=0,0,'2023 Pensjon tjeneste'!E14/'2023 Lønnsgr pensjon tjeneste'!E14)</f>
        <v>0.41447534023594168</v>
      </c>
      <c r="AB14" s="44">
        <f>IF('2023 Lønnsgr pensjon tjeneste'!F14=0,0,'2023 Pensjon tjeneste'!F14/'2023 Lønnsgr pensjon tjeneste'!F14)</f>
        <v>0.1847313419032646</v>
      </c>
      <c r="AC14" s="44">
        <f>IF('2023 Lønnsgr pensjon tjeneste'!G14=0,0,'2023 Pensjon tjeneste'!G14/'2023 Lønnsgr pensjon tjeneste'!G14)</f>
        <v>0.14864864864864866</v>
      </c>
      <c r="AD14" s="44">
        <f>IF('2023 Lønnsgr pensjon tjeneste'!H14=0,0,'2023 Pensjon tjeneste'!H14/'2023 Lønnsgr pensjon tjeneste'!H14)</f>
        <v>0.17474974003031934</v>
      </c>
      <c r="AE14" s="44">
        <f>IF('2023 Lønnsgr pensjon tjeneste'!I14=0,0,'2023 Pensjon tjeneste'!I14/'2023 Lønnsgr pensjon tjeneste'!I14)</f>
        <v>0.19799329276205699</v>
      </c>
      <c r="AF14" s="44">
        <f>IF('2023 Lønnsgr pensjon tjeneste'!J14=0,0,'2023 Pensjon tjeneste'!J14/'2023 Lønnsgr pensjon tjeneste'!J14)</f>
        <v>0</v>
      </c>
      <c r="AG14" s="44">
        <f>IF('2023 Lønnsgr pensjon tjeneste'!K14=0,0,'2023 Pensjon tjeneste'!K14/'2023 Lønnsgr pensjon tjeneste'!K14)</f>
        <v>0.19661228361642916</v>
      </c>
      <c r="AH14" s="44">
        <f>IF('2023 Lønnsgr pensjon tjeneste'!L14=0,0,'2023 Pensjon tjeneste'!L14/'2023 Lønnsgr pensjon tjeneste'!L14)</f>
        <v>0.2760114725086959</v>
      </c>
      <c r="AI14" s="44">
        <f>IF('2023 Lønnsgr pensjon tjeneste'!M14=0,0,'2023 Pensjon tjeneste'!M14/'2023 Lønnsgr pensjon tjeneste'!M14)</f>
        <v>0.16868561457669207</v>
      </c>
      <c r="AJ14" s="44">
        <f>IF('2023 Lønnsgr pensjon tjeneste'!N14=0,0,'2023 Pensjon tjeneste'!N14/'2023 Lønnsgr pensjon tjeneste'!N14)</f>
        <v>0.16198397403387768</v>
      </c>
      <c r="AK14" s="44">
        <f>IF('2023 Lønnsgr pensjon tjeneste'!O14=0,0,'2023 Pensjon tjeneste'!O14/'2023 Lønnsgr pensjon tjeneste'!O14)</f>
        <v>0</v>
      </c>
      <c r="AL14" s="44">
        <f>IF('2023 Lønnsgr pensjon tjeneste'!P14=0,0,'2023 Pensjon tjeneste'!P14/'2023 Lønnsgr pensjon tjeneste'!P14)</f>
        <v>0</v>
      </c>
      <c r="AM14" s="44">
        <f>IF('2023 Lønnsgr pensjon tjeneste'!Q14=0,0,'2023 Pensjon tjeneste'!Q14/'2023 Lønnsgr pensjon tjeneste'!Q14)</f>
        <v>0</v>
      </c>
    </row>
    <row r="15" spans="1:39" x14ac:dyDescent="0.3">
      <c r="A15" s="41">
        <v>5400</v>
      </c>
      <c r="B15" s="42" t="s">
        <v>408</v>
      </c>
      <c r="C15" s="1">
        <v>86204.00254377001</v>
      </c>
      <c r="D15" s="3">
        <v>1.1042840912589909</v>
      </c>
      <c r="E15" s="3">
        <v>2.0698277004132728</v>
      </c>
      <c r="F15" s="3">
        <v>1.6506558229265536</v>
      </c>
      <c r="G15" s="3">
        <v>3.2174219622421876</v>
      </c>
      <c r="H15" s="3">
        <v>1.2198806295668334</v>
      </c>
      <c r="I15" s="3"/>
      <c r="J15" s="44">
        <f>IF('2023 Lønnsgr arbavg tjeneste'!D15=0,0,'2023 Arbavg tjeneste'!D15/'2023 Lønnsgr arbavg tjeneste'!D15)</f>
        <v>4.2566181608219261E-2</v>
      </c>
      <c r="K15" s="44">
        <f>IF('2023 Lønnsgr arbavg tjeneste'!E15=0,0,'2023 Arbavg tjeneste'!E15/'2023 Lønnsgr arbavg tjeneste'!E15)</f>
        <v>4.6413663692413738E-2</v>
      </c>
      <c r="L15" s="44">
        <f>IF('2023 Lønnsgr arbavg tjeneste'!F15=0,0,'2023 Arbavg tjeneste'!F15/'2023 Lønnsgr arbavg tjeneste'!F15)</f>
        <v>5.6065721359441816E-2</v>
      </c>
      <c r="M15" s="44">
        <f>IF('2023 Lønnsgr arbavg tjeneste'!G15=0,0,'2023 Arbavg tjeneste'!G15/'2023 Lønnsgr arbavg tjeneste'!G15)</f>
        <v>5.0161812297734629E-2</v>
      </c>
      <c r="N15" s="44">
        <f>IF('2023 Lønnsgr arbavg tjeneste'!H15=0,0,'2023 Arbavg tjeneste'!H15/'2023 Lønnsgr arbavg tjeneste'!H15)</f>
        <v>3.7948336474534813E-2</v>
      </c>
      <c r="O15" s="44">
        <f>IF('2023 Lønnsgr arbavg tjeneste'!I15=0,0,'2023 Arbavg tjeneste'!I15/'2023 Lønnsgr arbavg tjeneste'!I15)</f>
        <v>5.3716014659507372E-2</v>
      </c>
      <c r="P15" s="44">
        <f>IF('2023 Lønnsgr arbavg tjeneste'!J15=0,0,'2023 Arbavg tjeneste'!J15/'2023 Lønnsgr arbavg tjeneste'!J15)</f>
        <v>0</v>
      </c>
      <c r="Q15" s="44">
        <f>IF('2023 Lønnsgr arbavg tjeneste'!K15=0,0,'2023 Arbavg tjeneste'!K15/'2023 Lønnsgr arbavg tjeneste'!K15)</f>
        <v>5.4204946996466434E-2</v>
      </c>
      <c r="R15" s="44">
        <f>IF('2023 Lønnsgr arbavg tjeneste'!L15=0,0,'2023 Arbavg tjeneste'!L15/'2023 Lønnsgr arbavg tjeneste'!L15)</f>
        <v>5.1906550155268287E-2</v>
      </c>
      <c r="S15" s="44">
        <f>IF('2023 Lønnsgr arbavg tjeneste'!M15=0,0,'2023 Arbavg tjeneste'!M15/'2023 Lønnsgr arbavg tjeneste'!M15)</f>
        <v>4.5777050075044345E-2</v>
      </c>
      <c r="T15" s="44">
        <f>IF('2023 Lønnsgr arbavg tjeneste'!N15=0,0,'2023 Arbavg tjeneste'!N15/'2023 Lønnsgr arbavg tjeneste'!N15)</f>
        <v>3.4380420119483522E-2</v>
      </c>
      <c r="U15" s="44">
        <f>IF('2023 Lønnsgr arbavg tjeneste'!O15=0,0,'2023 Arbavg tjeneste'!O15/'2023 Lønnsgr arbavg tjeneste'!O15)</f>
        <v>0</v>
      </c>
      <c r="V15" s="44">
        <f>IF('2023 Lønnsgr arbavg tjeneste'!P15=0,0,'2023 Arbavg tjeneste'!P15/'2023 Lønnsgr arbavg tjeneste'!P15)</f>
        <v>8.0651578109804611E-2</v>
      </c>
      <c r="W15" s="44">
        <f>IF('2023 Lønnsgr arbavg tjeneste'!Q15=0,0,'2023 Arbavg tjeneste'!Q15/'2023 Lønnsgr arbavg tjeneste'!Q15)</f>
        <v>0</v>
      </c>
      <c r="X15" s="44">
        <f>IF('2023 Lønnsgr arbavg tjeneste'!R15=0,0,'2023 Arbavg tjeneste'!R15/'2023 Lønnsgr arbavg tjeneste'!R15)</f>
        <v>4.2484605045168954E-2</v>
      </c>
      <c r="Z15" s="44">
        <f>IF('2023 Lønnsgr pensjon tjeneste'!D15=0,0,'2023 Pensjon tjeneste'!D15/'2023 Lønnsgr pensjon tjeneste'!D15)</f>
        <v>0.23317769729309654</v>
      </c>
      <c r="AA15" s="44">
        <f>IF('2023 Lønnsgr pensjon tjeneste'!E15=0,0,'2023 Pensjon tjeneste'!E15/'2023 Lønnsgr pensjon tjeneste'!E15)</f>
        <v>0.27233600233876337</v>
      </c>
      <c r="AB15" s="44">
        <f>IF('2023 Lønnsgr pensjon tjeneste'!F15=0,0,'2023 Pensjon tjeneste'!F15/'2023 Lønnsgr pensjon tjeneste'!F15)</f>
        <v>0.21085765677377155</v>
      </c>
      <c r="AC15" s="44">
        <f>IF('2023 Lønnsgr pensjon tjeneste'!G15=0,0,'2023 Pensjon tjeneste'!G15/'2023 Lønnsgr pensjon tjeneste'!G15)</f>
        <v>0.21653543307086615</v>
      </c>
      <c r="AD15" s="44">
        <f>IF('2023 Lønnsgr pensjon tjeneste'!H15=0,0,'2023 Pensjon tjeneste'!H15/'2023 Lønnsgr pensjon tjeneste'!H15)</f>
        <v>0.2234658382375462</v>
      </c>
      <c r="AE15" s="44">
        <f>IF('2023 Lønnsgr pensjon tjeneste'!I15=0,0,'2023 Pensjon tjeneste'!I15/'2023 Lønnsgr pensjon tjeneste'!I15)</f>
        <v>0.21262962069797087</v>
      </c>
      <c r="AF15" s="44">
        <f>IF('2023 Lønnsgr pensjon tjeneste'!J15=0,0,'2023 Pensjon tjeneste'!J15/'2023 Lønnsgr pensjon tjeneste'!J15)</f>
        <v>0</v>
      </c>
      <c r="AG15" s="44">
        <f>IF('2023 Lønnsgr pensjon tjeneste'!K15=0,0,'2023 Pensjon tjeneste'!K15/'2023 Lønnsgr pensjon tjeneste'!K15)</f>
        <v>0.18249403277040971</v>
      </c>
      <c r="AH15" s="44">
        <f>IF('2023 Lønnsgr pensjon tjeneste'!L15=0,0,'2023 Pensjon tjeneste'!L15/'2023 Lønnsgr pensjon tjeneste'!L15)</f>
        <v>0.46160790863539924</v>
      </c>
      <c r="AI15" s="44">
        <f>IF('2023 Lønnsgr pensjon tjeneste'!M15=0,0,'2023 Pensjon tjeneste'!M15/'2023 Lønnsgr pensjon tjeneste'!M15)</f>
        <v>0.22007657732645247</v>
      </c>
      <c r="AJ15" s="44">
        <f>IF('2023 Lønnsgr pensjon tjeneste'!N15=0,0,'2023 Pensjon tjeneste'!N15/'2023 Lønnsgr pensjon tjeneste'!N15)</f>
        <v>0.21653303324424439</v>
      </c>
      <c r="AK15" s="44">
        <f>IF('2023 Lønnsgr pensjon tjeneste'!O15=0,0,'2023 Pensjon tjeneste'!O15/'2023 Lønnsgr pensjon tjeneste'!O15)</f>
        <v>0</v>
      </c>
      <c r="AL15" s="44">
        <f>IF('2023 Lønnsgr pensjon tjeneste'!P15=0,0,'2023 Pensjon tjeneste'!P15/'2023 Lønnsgr pensjon tjeneste'!P15)</f>
        <v>0.23600601010790875</v>
      </c>
      <c r="AM15" s="44">
        <f>IF('2023 Lønnsgr pensjon tjeneste'!Q15=0,0,'2023 Pensjon tjeneste'!Q15/'2023 Lønnsgr pensjon tjeneste'!Q15)</f>
        <v>0</v>
      </c>
    </row>
    <row r="16" spans="1:39" x14ac:dyDescent="0.3">
      <c r="C16" s="4"/>
      <c r="D16" s="4"/>
      <c r="E16" s="4"/>
      <c r="F16" s="4"/>
      <c r="G16" s="4"/>
      <c r="H16" s="4"/>
      <c r="I16" s="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2:39" x14ac:dyDescent="0.3">
      <c r="B17" s="1" t="s">
        <v>3</v>
      </c>
      <c r="C17" s="1">
        <f>SUM(C5:C15)</f>
        <v>1.9994331523776054E-8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44">
        <f>IF('2023 Lønnsgr arbavg tjeneste'!D17=0,0,'2023 Arbavg tjeneste'!D17/'2023 Lønnsgr arbavg tjeneste'!D17)</f>
        <v>0.12798421692998074</v>
      </c>
      <c r="K17" s="44">
        <f>IF('2023 Lønnsgr arbavg tjeneste'!E17=0,0,'2023 Arbavg tjeneste'!E17/'2023 Lønnsgr arbavg tjeneste'!E17)</f>
        <v>0.20156309064243527</v>
      </c>
      <c r="L17" s="44">
        <f>IF('2023 Lønnsgr arbavg tjeneste'!F17=0,0,'2023 Arbavg tjeneste'!F17/'2023 Lønnsgr arbavg tjeneste'!F17)</f>
        <v>0.12933453318574087</v>
      </c>
      <c r="M17" s="44">
        <f>IF('2023 Lønnsgr arbavg tjeneste'!G17=0,0,'2023 Arbavg tjeneste'!G17/'2023 Lønnsgr arbavg tjeneste'!G17)</f>
        <v>0.13587566095177056</v>
      </c>
      <c r="N17" s="44">
        <f>IF('2023 Lønnsgr arbavg tjeneste'!H17=0,0,'2023 Arbavg tjeneste'!H17/'2023 Lønnsgr arbavg tjeneste'!H17)</f>
        <v>0.11922223877201524</v>
      </c>
      <c r="O17" s="44">
        <f>IF('2023 Lønnsgr arbavg tjeneste'!I17=0,0,'2023 Arbavg tjeneste'!I17/'2023 Lønnsgr arbavg tjeneste'!I17)</f>
        <v>0.11071971281816806</v>
      </c>
      <c r="P17" s="44">
        <f>IF('2023 Lønnsgr arbavg tjeneste'!J17=0,0,'2023 Arbavg tjeneste'!J17/'2023 Lønnsgr arbavg tjeneste'!J17)</f>
        <v>0</v>
      </c>
      <c r="Q17" s="44">
        <f>IF('2023 Lønnsgr arbavg tjeneste'!K17=0,0,'2023 Arbavg tjeneste'!K17/'2023 Lønnsgr arbavg tjeneste'!K17)</f>
        <v>0.10460609966666257</v>
      </c>
      <c r="R17" s="44">
        <f>IF('2023 Lønnsgr arbavg tjeneste'!L17=0,0,'2023 Arbavg tjeneste'!L17/'2023 Lønnsgr arbavg tjeneste'!L17)</f>
        <v>0.12785345643038293</v>
      </c>
      <c r="S17" s="44">
        <f>IF('2023 Lønnsgr arbavg tjeneste'!M17=0,0,'2023 Arbavg tjeneste'!M17/'2023 Lønnsgr arbavg tjeneste'!M17)</f>
        <v>0.12270953185108366</v>
      </c>
      <c r="T17" s="44">
        <f>IF('2023 Lønnsgr arbavg tjeneste'!N17=0,0,'2023 Arbavg tjeneste'!N17/'2023 Lønnsgr arbavg tjeneste'!N17)</f>
        <v>0.11685147012620786</v>
      </c>
      <c r="U17" s="44">
        <f>IF('2023 Lønnsgr arbavg tjeneste'!O17=0,0,'2023 Arbavg tjeneste'!O17/'2023 Lønnsgr arbavg tjeneste'!O17)</f>
        <v>0.14390452621597244</v>
      </c>
      <c r="V17" s="44">
        <f>IF('2023 Lønnsgr arbavg tjeneste'!P17=0,0,'2023 Arbavg tjeneste'!P17/'2023 Lønnsgr arbavg tjeneste'!P17)</f>
        <v>0.1028162781734873</v>
      </c>
      <c r="W17" s="44">
        <f>IF('2023 Lønnsgr arbavg tjeneste'!Q17=0,0,'2023 Arbavg tjeneste'!Q17/'2023 Lønnsgr arbavg tjeneste'!Q17)</f>
        <v>0</v>
      </c>
      <c r="X17" s="44">
        <f>IF('2023 Lønnsgr arbavg tjeneste'!R17=0,0,'2023 Arbavg tjeneste'!R17/'2023 Lønnsgr arbavg tjeneste'!R17)</f>
        <v>0.11376520959678545</v>
      </c>
      <c r="Z17" s="44">
        <f>IF('2023 Lønnsgr pensjon tjeneste'!D17=0,0,'2023 Pensjon tjeneste'!D17/'2023 Lønnsgr pensjon tjeneste'!D17)</f>
        <v>0.15047651162618864</v>
      </c>
      <c r="AA17" s="44">
        <f>IF('2023 Lønnsgr pensjon tjeneste'!E17=0,0,'2023 Pensjon tjeneste'!E17/'2023 Lønnsgr pensjon tjeneste'!E17)</f>
        <v>0.3773115845539281</v>
      </c>
      <c r="AB17" s="44">
        <f>IF('2023 Lønnsgr pensjon tjeneste'!F17=0,0,'2023 Pensjon tjeneste'!F17/'2023 Lønnsgr pensjon tjeneste'!F17)</f>
        <v>0.24102863129181779</v>
      </c>
      <c r="AC17" s="44">
        <f>IF('2023 Lønnsgr pensjon tjeneste'!G17=0,0,'2023 Pensjon tjeneste'!G17/'2023 Lønnsgr pensjon tjeneste'!G17)</f>
        <v>0.19040579848362024</v>
      </c>
      <c r="AD17" s="44">
        <f>IF('2023 Lønnsgr pensjon tjeneste'!H17=0,0,'2023 Pensjon tjeneste'!H17/'2023 Lønnsgr pensjon tjeneste'!H17)</f>
        <v>0.24147857298268</v>
      </c>
      <c r="AE17" s="44">
        <f>IF('2023 Lønnsgr pensjon tjeneste'!I17=0,0,'2023 Pensjon tjeneste'!I17/'2023 Lønnsgr pensjon tjeneste'!I17)</f>
        <v>0.36833408105948467</v>
      </c>
      <c r="AF17" s="44">
        <f>IF('2023 Lønnsgr pensjon tjeneste'!J17=0,0,'2023 Pensjon tjeneste'!J17/'2023 Lønnsgr pensjon tjeneste'!J17)</f>
        <v>0</v>
      </c>
      <c r="AG17" s="44">
        <f>IF('2023 Lønnsgr pensjon tjeneste'!K17=0,0,'2023 Pensjon tjeneste'!K17/'2023 Lønnsgr pensjon tjeneste'!K17)</f>
        <v>0.42135799182916334</v>
      </c>
      <c r="AH17" s="44">
        <f>IF('2023 Lønnsgr pensjon tjeneste'!L17=0,0,'2023 Pensjon tjeneste'!L17/'2023 Lønnsgr pensjon tjeneste'!L17)</f>
        <v>0.32286927657912723</v>
      </c>
      <c r="AI17" s="44">
        <f>IF('2023 Lønnsgr pensjon tjeneste'!M17=0,0,'2023 Pensjon tjeneste'!M17/'2023 Lønnsgr pensjon tjeneste'!M17)</f>
        <v>0.22828187197417968</v>
      </c>
      <c r="AJ17" s="44">
        <f>IF('2023 Lønnsgr pensjon tjeneste'!N17=0,0,'2023 Pensjon tjeneste'!N17/'2023 Lønnsgr pensjon tjeneste'!N17)</f>
        <v>0.19820955820466127</v>
      </c>
      <c r="AK17" s="44">
        <f>IF('2023 Lønnsgr pensjon tjeneste'!O17=0,0,'2023 Pensjon tjeneste'!O17/'2023 Lønnsgr pensjon tjeneste'!O17)</f>
        <v>0.11243471325288805</v>
      </c>
      <c r="AL17" s="44">
        <f>IF('2023 Lønnsgr pensjon tjeneste'!P17=0,0,'2023 Pensjon tjeneste'!P17/'2023 Lønnsgr pensjon tjeneste'!P17)</f>
        <v>0.28387120420767131</v>
      </c>
      <c r="AM17" s="44">
        <f>IF('2023 Lønnsgr pensjon tjeneste'!Q17=0,0,'2023 Pensjon tjeneste'!Q17/'2023 Lønnsgr pensjon tjeneste'!Q17)</f>
        <v>0</v>
      </c>
    </row>
    <row r="18" spans="2:39" x14ac:dyDescent="0.3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2:39" x14ac:dyDescent="0.3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2:39" x14ac:dyDescent="0.3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2:39" x14ac:dyDescent="0.3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</sheetData>
  <sheetProtection algorithmName="SHA-512" hashValue="leMXfw5DvxroEHPX2+I2DnwsQRmQrTGRNhisiS/A02oMOY9MWo/LO2ZA7pVOMYX/dcP9l4MSBb5gvA4kdGHgvw==" saltValue="uu3Blfs+ISkWkoOY+QkMCQ==" spinCount="100000" sheet="1" selectLockedCells="1" selectUnlockedCells="1"/>
  <mergeCells count="3">
    <mergeCell ref="D1:H1"/>
    <mergeCell ref="J1:X1"/>
    <mergeCell ref="Z1:AM1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B243-8E92-42FE-A285-4508F5E20F39}">
  <sheetPr>
    <tabColor rgb="FF92D050"/>
  </sheetPr>
  <dimension ref="A1:Y17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7.109375" customWidth="1"/>
    <col min="20" max="21" width="13.109375" customWidth="1"/>
    <col min="24" max="24" width="14" customWidth="1"/>
    <col min="25" max="25" width="14.109375" customWidth="1"/>
  </cols>
  <sheetData>
    <row r="1" spans="1:25" x14ac:dyDescent="0.3">
      <c r="D1" s="5"/>
      <c r="E1" s="5"/>
      <c r="F1" s="5"/>
      <c r="G1" s="5"/>
      <c r="H1" s="5"/>
      <c r="J1" s="5"/>
      <c r="K1" s="5"/>
      <c r="L1" s="5"/>
      <c r="M1" s="5"/>
    </row>
    <row r="2" spans="1:25" ht="104.25" customHeight="1" x14ac:dyDescent="0.3">
      <c r="A2" s="22" t="s">
        <v>2</v>
      </c>
      <c r="B2" s="22" t="s">
        <v>1</v>
      </c>
      <c r="C2" s="22" t="s">
        <v>107</v>
      </c>
      <c r="D2" s="22" t="s">
        <v>247</v>
      </c>
      <c r="E2" s="22" t="s">
        <v>248</v>
      </c>
      <c r="F2" s="22" t="s">
        <v>460</v>
      </c>
      <c r="G2" s="22" t="s">
        <v>461</v>
      </c>
      <c r="H2" s="22" t="s">
        <v>249</v>
      </c>
      <c r="I2" s="11" t="s">
        <v>250</v>
      </c>
      <c r="J2" s="22" t="s">
        <v>251</v>
      </c>
      <c r="K2" s="22" t="s">
        <v>252</v>
      </c>
      <c r="L2" s="22" t="s">
        <v>253</v>
      </c>
      <c r="M2" s="22" t="s">
        <v>254</v>
      </c>
      <c r="N2" s="22" t="s">
        <v>255</v>
      </c>
      <c r="O2" s="22" t="s">
        <v>256</v>
      </c>
      <c r="P2" s="22" t="s">
        <v>257</v>
      </c>
      <c r="Q2" s="22" t="s">
        <v>258</v>
      </c>
      <c r="R2" s="22" t="s">
        <v>106</v>
      </c>
      <c r="S2" s="22"/>
      <c r="T2" s="22" t="s">
        <v>412</v>
      </c>
      <c r="U2" s="22" t="s">
        <v>413</v>
      </c>
      <c r="V2" s="22"/>
      <c r="W2" s="22"/>
      <c r="X2" s="22"/>
      <c r="Y2" s="22"/>
    </row>
    <row r="3" spans="1:25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</row>
    <row r="4" spans="1:25" x14ac:dyDescent="0.3">
      <c r="C4" s="5"/>
      <c r="I4" s="19"/>
    </row>
    <row r="5" spans="1:25" x14ac:dyDescent="0.3">
      <c r="A5" s="41">
        <v>300</v>
      </c>
      <c r="B5" s="42" t="s">
        <v>0</v>
      </c>
      <c r="C5" s="1">
        <f t="shared" ref="C5:C15" si="1">SUM(D5:I5)+R5</f>
        <v>9224921.8520716522</v>
      </c>
      <c r="D5" s="1">
        <v>4877635</v>
      </c>
      <c r="E5" s="1">
        <v>-181</v>
      </c>
      <c r="F5" s="116">
        <v>4132197</v>
      </c>
      <c r="G5" s="116">
        <v>0</v>
      </c>
      <c r="H5" s="1">
        <v>353153</v>
      </c>
      <c r="I5" s="9">
        <f t="shared" ref="I5:I15" si="2">SUM(J5:Q5)</f>
        <v>268073</v>
      </c>
      <c r="J5" s="1"/>
      <c r="K5" s="1">
        <v>174557</v>
      </c>
      <c r="L5" s="1">
        <v>0</v>
      </c>
      <c r="M5" s="1">
        <v>47502</v>
      </c>
      <c r="N5" s="1">
        <v>46014</v>
      </c>
      <c r="O5" s="1">
        <v>0</v>
      </c>
      <c r="P5" s="1">
        <v>0</v>
      </c>
      <c r="Q5" s="1"/>
      <c r="R5" s="117">
        <v>-405955.14792834799</v>
      </c>
      <c r="S5" s="1"/>
      <c r="T5" s="1">
        <f>+'2023 Nto driftsutg'!V5</f>
        <v>711918</v>
      </c>
      <c r="U5" s="1">
        <f>+'2023 Nto driftsutg'!W5</f>
        <v>711918</v>
      </c>
      <c r="W5" s="5"/>
      <c r="X5" s="1"/>
      <c r="Y5" s="1"/>
    </row>
    <row r="6" spans="1:25" x14ac:dyDescent="0.3">
      <c r="A6" s="41">
        <v>1100</v>
      </c>
      <c r="B6" s="42" t="s">
        <v>139</v>
      </c>
      <c r="C6" s="1">
        <f t="shared" si="1"/>
        <v>9598673</v>
      </c>
      <c r="D6" s="1">
        <v>4569769</v>
      </c>
      <c r="E6" s="1">
        <v>1297280</v>
      </c>
      <c r="F6" s="1">
        <v>1395124</v>
      </c>
      <c r="G6" s="1">
        <v>321797</v>
      </c>
      <c r="H6" s="1">
        <v>497168</v>
      </c>
      <c r="I6" s="9">
        <f t="shared" si="2"/>
        <v>1790251</v>
      </c>
      <c r="J6" s="1"/>
      <c r="K6" s="1">
        <v>392857</v>
      </c>
      <c r="L6" s="1">
        <v>141999</v>
      </c>
      <c r="M6" s="1">
        <v>279721</v>
      </c>
      <c r="N6" s="1">
        <v>428275</v>
      </c>
      <c r="O6" s="1">
        <v>0</v>
      </c>
      <c r="P6" s="1">
        <v>547399</v>
      </c>
      <c r="Q6" s="1"/>
      <c r="R6" s="1">
        <v>-272716</v>
      </c>
      <c r="S6" s="1"/>
      <c r="T6" s="1">
        <f>+'2023 Nto driftsutg'!V6</f>
        <v>495545</v>
      </c>
      <c r="U6" s="1">
        <f>+'2023 Nto driftsutg'!W6</f>
        <v>495545</v>
      </c>
      <c r="X6" s="1"/>
      <c r="Y6" s="1"/>
    </row>
    <row r="7" spans="1:25" x14ac:dyDescent="0.3">
      <c r="A7" s="41">
        <v>1500</v>
      </c>
      <c r="B7" s="42" t="s">
        <v>140</v>
      </c>
      <c r="C7" s="1">
        <f t="shared" si="1"/>
        <v>7087442</v>
      </c>
      <c r="D7" s="1">
        <v>2445108</v>
      </c>
      <c r="E7" s="1">
        <v>1398791</v>
      </c>
      <c r="F7" s="1">
        <v>1138716</v>
      </c>
      <c r="G7" s="1">
        <v>1103700</v>
      </c>
      <c r="H7" s="1">
        <v>239585</v>
      </c>
      <c r="I7" s="9">
        <f t="shared" si="2"/>
        <v>943952</v>
      </c>
      <c r="J7" s="1"/>
      <c r="K7" s="1">
        <v>318376</v>
      </c>
      <c r="L7" s="1">
        <v>136466</v>
      </c>
      <c r="M7" s="1">
        <v>225081</v>
      </c>
      <c r="N7" s="1">
        <v>261699</v>
      </c>
      <c r="O7" s="1">
        <v>0</v>
      </c>
      <c r="P7" s="1">
        <v>2330</v>
      </c>
      <c r="Q7" s="1"/>
      <c r="R7" s="1">
        <v>-182410</v>
      </c>
      <c r="S7" s="1"/>
      <c r="T7" s="1">
        <f>+'2023 Nto driftsutg'!V7</f>
        <v>269164</v>
      </c>
      <c r="U7" s="1">
        <f>+'2023 Nto driftsutg'!W7</f>
        <v>269164</v>
      </c>
      <c r="X7" s="1"/>
      <c r="Y7" s="1"/>
    </row>
    <row r="8" spans="1:25" x14ac:dyDescent="0.3">
      <c r="A8" s="41">
        <v>1800</v>
      </c>
      <c r="B8" s="42" t="s">
        <v>141</v>
      </c>
      <c r="C8" s="1">
        <f t="shared" si="1"/>
        <v>7677463</v>
      </c>
      <c r="D8" s="1">
        <v>2648586</v>
      </c>
      <c r="E8" s="1">
        <v>1203877</v>
      </c>
      <c r="F8" s="1">
        <v>1358536</v>
      </c>
      <c r="G8" s="1">
        <v>975388</v>
      </c>
      <c r="H8" s="1">
        <v>349407</v>
      </c>
      <c r="I8" s="9">
        <f t="shared" si="2"/>
        <v>1342531</v>
      </c>
      <c r="J8" s="1"/>
      <c r="K8" s="1">
        <v>416853</v>
      </c>
      <c r="L8" s="1">
        <v>169228</v>
      </c>
      <c r="M8" s="1">
        <v>405009</v>
      </c>
      <c r="N8" s="1">
        <v>351065</v>
      </c>
      <c r="O8" s="1">
        <v>7</v>
      </c>
      <c r="P8" s="1">
        <v>369</v>
      </c>
      <c r="Q8" s="1"/>
      <c r="R8" s="1">
        <v>-200862</v>
      </c>
      <c r="S8" s="1"/>
      <c r="T8" s="1">
        <f>+'2023 Nto driftsutg'!V8</f>
        <v>241960</v>
      </c>
      <c r="U8" s="1">
        <f>+'2023 Nto driftsutg'!W8</f>
        <v>241960</v>
      </c>
      <c r="X8" s="1"/>
      <c r="Y8" s="1"/>
    </row>
    <row r="9" spans="1:25" x14ac:dyDescent="0.3">
      <c r="A9" s="41">
        <v>3000</v>
      </c>
      <c r="B9" s="42" t="s">
        <v>403</v>
      </c>
      <c r="C9" s="1">
        <f t="shared" si="1"/>
        <v>20223759</v>
      </c>
      <c r="D9" s="1">
        <v>10647464</v>
      </c>
      <c r="E9" s="1">
        <v>2339394</v>
      </c>
      <c r="F9" s="1">
        <v>4000001</v>
      </c>
      <c r="G9" s="1">
        <v>0</v>
      </c>
      <c r="H9" s="1">
        <v>651488</v>
      </c>
      <c r="I9" s="9">
        <f t="shared" si="2"/>
        <v>3194972</v>
      </c>
      <c r="J9" s="1"/>
      <c r="K9" s="1">
        <v>1659075</v>
      </c>
      <c r="L9" s="1">
        <v>409549</v>
      </c>
      <c r="M9" s="1">
        <v>215370</v>
      </c>
      <c r="N9" s="1">
        <v>825912</v>
      </c>
      <c r="O9" s="1">
        <v>81954</v>
      </c>
      <c r="P9" s="1">
        <v>3112</v>
      </c>
      <c r="Q9" s="1"/>
      <c r="R9" s="1">
        <v>-609560</v>
      </c>
      <c r="S9" s="1"/>
      <c r="T9" s="1">
        <f>+'2023 Nto driftsutg'!V9</f>
        <v>1300096</v>
      </c>
      <c r="U9" s="1">
        <f>+'2023 Nto driftsutg'!W9</f>
        <v>1300096</v>
      </c>
      <c r="X9" s="1"/>
      <c r="Y9" s="1"/>
    </row>
    <row r="10" spans="1:25" x14ac:dyDescent="0.3">
      <c r="A10" s="41">
        <v>3400</v>
      </c>
      <c r="B10" s="42" t="s">
        <v>404</v>
      </c>
      <c r="C10" s="1">
        <f t="shared" si="1"/>
        <v>7662148</v>
      </c>
      <c r="D10" s="1">
        <v>3504878</v>
      </c>
      <c r="E10" s="1">
        <v>1469918</v>
      </c>
      <c r="F10" s="1">
        <v>1276244</v>
      </c>
      <c r="G10" s="1">
        <v>22270</v>
      </c>
      <c r="H10" s="1">
        <v>316331</v>
      </c>
      <c r="I10" s="9">
        <f t="shared" si="2"/>
        <v>1348700</v>
      </c>
      <c r="J10" s="1"/>
      <c r="K10" s="1">
        <v>440626</v>
      </c>
      <c r="L10" s="1">
        <v>292562</v>
      </c>
      <c r="M10" s="1">
        <v>251593</v>
      </c>
      <c r="N10" s="1">
        <v>338658</v>
      </c>
      <c r="O10" s="1">
        <v>0</v>
      </c>
      <c r="P10" s="1">
        <v>25261</v>
      </c>
      <c r="Q10" s="1"/>
      <c r="R10" s="1">
        <v>-276193</v>
      </c>
      <c r="S10" s="1"/>
      <c r="T10" s="1">
        <f>+'2023 Nto driftsutg'!V10</f>
        <v>374624</v>
      </c>
      <c r="U10" s="1">
        <f>+'2023 Nto driftsutg'!W10</f>
        <v>374624</v>
      </c>
      <c r="X10" s="1"/>
      <c r="Y10" s="1"/>
    </row>
    <row r="11" spans="1:25" x14ac:dyDescent="0.3">
      <c r="A11" s="41">
        <v>3800</v>
      </c>
      <c r="B11" s="42" t="s">
        <v>405</v>
      </c>
      <c r="C11" s="1">
        <f t="shared" si="1"/>
        <v>7396453</v>
      </c>
      <c r="D11" s="1">
        <v>3786574</v>
      </c>
      <c r="E11" s="1">
        <v>1059776</v>
      </c>
      <c r="F11" s="1">
        <v>953201</v>
      </c>
      <c r="G11" s="1">
        <v>45498</v>
      </c>
      <c r="H11" s="1">
        <v>335779</v>
      </c>
      <c r="I11" s="9">
        <f t="shared" si="2"/>
        <v>1518254</v>
      </c>
      <c r="J11" s="1"/>
      <c r="K11" s="1">
        <v>476053</v>
      </c>
      <c r="L11" s="1">
        <v>368714</v>
      </c>
      <c r="M11" s="1">
        <v>284944</v>
      </c>
      <c r="N11" s="1">
        <v>382086</v>
      </c>
      <c r="O11" s="1">
        <v>3946</v>
      </c>
      <c r="P11" s="1">
        <v>2511</v>
      </c>
      <c r="Q11" s="1"/>
      <c r="R11" s="1">
        <v>-302629</v>
      </c>
      <c r="S11" s="1"/>
      <c r="T11" s="1">
        <f>+'2023 Nto driftsutg'!V11</f>
        <v>431103</v>
      </c>
      <c r="U11" s="1">
        <f>+'2023 Nto driftsutg'!W11</f>
        <v>431103</v>
      </c>
      <c r="X11" s="1"/>
      <c r="Y11" s="1"/>
    </row>
    <row r="12" spans="1:25" x14ac:dyDescent="0.3">
      <c r="A12" s="41">
        <v>4200</v>
      </c>
      <c r="B12" s="42" t="s">
        <v>406</v>
      </c>
      <c r="C12" s="1">
        <f t="shared" si="1"/>
        <v>6175369</v>
      </c>
      <c r="D12" s="1">
        <v>3166317</v>
      </c>
      <c r="E12" s="1">
        <v>1184243</v>
      </c>
      <c r="F12" s="1">
        <v>653254</v>
      </c>
      <c r="G12" s="1">
        <v>56654</v>
      </c>
      <c r="H12" s="1">
        <v>245891</v>
      </c>
      <c r="I12" s="9">
        <f t="shared" si="2"/>
        <v>1117658</v>
      </c>
      <c r="J12" s="1"/>
      <c r="K12" s="1">
        <v>399834</v>
      </c>
      <c r="L12" s="1">
        <v>283996</v>
      </c>
      <c r="M12" s="1">
        <v>93017</v>
      </c>
      <c r="N12" s="1">
        <v>321615</v>
      </c>
      <c r="O12" s="1">
        <v>0</v>
      </c>
      <c r="P12" s="1">
        <v>19196</v>
      </c>
      <c r="Q12" s="1"/>
      <c r="R12" s="1">
        <v>-248648</v>
      </c>
      <c r="S12" s="1"/>
      <c r="T12" s="1">
        <f>+'2023 Nto driftsutg'!V12</f>
        <v>317444</v>
      </c>
      <c r="U12" s="1">
        <f>+'2023 Nto driftsutg'!W12</f>
        <v>317444</v>
      </c>
      <c r="X12" s="1"/>
      <c r="Y12" s="1"/>
    </row>
    <row r="13" spans="1:25" x14ac:dyDescent="0.3">
      <c r="A13" s="41">
        <v>4600</v>
      </c>
      <c r="B13" s="42" t="s">
        <v>407</v>
      </c>
      <c r="C13" s="1">
        <f t="shared" si="1"/>
        <v>15839173</v>
      </c>
      <c r="D13" s="1">
        <v>5625889</v>
      </c>
      <c r="E13" s="1">
        <v>2420957</v>
      </c>
      <c r="F13" s="1">
        <v>4341724</v>
      </c>
      <c r="G13" s="1">
        <v>1274770</v>
      </c>
      <c r="H13" s="1">
        <v>573037</v>
      </c>
      <c r="I13" s="9">
        <f t="shared" si="2"/>
        <v>1731797</v>
      </c>
      <c r="J13" s="1"/>
      <c r="K13" s="1">
        <v>648871</v>
      </c>
      <c r="L13" s="1">
        <v>290162</v>
      </c>
      <c r="M13" s="1">
        <v>392718</v>
      </c>
      <c r="N13" s="1">
        <v>399031</v>
      </c>
      <c r="O13" s="1">
        <v>0</v>
      </c>
      <c r="P13" s="1">
        <v>1015</v>
      </c>
      <c r="Q13" s="1"/>
      <c r="R13" s="1">
        <v>-129001</v>
      </c>
      <c r="S13" s="1"/>
      <c r="T13" s="1">
        <f>+'2023 Nto driftsutg'!V13</f>
        <v>648436</v>
      </c>
      <c r="U13" s="1">
        <f>+'2023 Nto driftsutg'!W13</f>
        <v>648436</v>
      </c>
      <c r="X13" s="1"/>
      <c r="Y13" s="1"/>
    </row>
    <row r="14" spans="1:25" x14ac:dyDescent="0.3">
      <c r="A14" s="41">
        <v>5000</v>
      </c>
      <c r="B14" s="42" t="s">
        <v>388</v>
      </c>
      <c r="C14" s="1">
        <f t="shared" si="1"/>
        <v>10025865</v>
      </c>
      <c r="D14" s="1">
        <v>4519920</v>
      </c>
      <c r="E14" s="1">
        <v>1696016</v>
      </c>
      <c r="F14" s="1">
        <v>1674775</v>
      </c>
      <c r="G14" s="1">
        <v>325391</v>
      </c>
      <c r="H14" s="1">
        <v>493162</v>
      </c>
      <c r="I14" s="9">
        <f t="shared" si="2"/>
        <v>1448341</v>
      </c>
      <c r="J14" s="1"/>
      <c r="K14" s="1">
        <v>458782</v>
      </c>
      <c r="L14" s="1">
        <v>229755</v>
      </c>
      <c r="M14" s="1">
        <v>253279</v>
      </c>
      <c r="N14" s="1">
        <v>506523</v>
      </c>
      <c r="O14" s="1">
        <v>0</v>
      </c>
      <c r="P14" s="1">
        <v>2</v>
      </c>
      <c r="Q14" s="1"/>
      <c r="R14" s="1">
        <v>-131740</v>
      </c>
      <c r="S14" s="1"/>
      <c r="T14" s="1">
        <f>+'2023 Nto driftsutg'!V14</f>
        <v>480437</v>
      </c>
      <c r="U14" s="1">
        <f>+'2023 Nto driftsutg'!W14</f>
        <v>480437</v>
      </c>
      <c r="X14" s="1"/>
      <c r="Y14" s="1"/>
    </row>
    <row r="15" spans="1:25" x14ac:dyDescent="0.3">
      <c r="A15" s="41">
        <v>5400</v>
      </c>
      <c r="B15" s="42" t="s">
        <v>408</v>
      </c>
      <c r="C15" s="1">
        <f t="shared" si="1"/>
        <v>7949321</v>
      </c>
      <c r="D15" s="1">
        <v>2653625</v>
      </c>
      <c r="E15" s="1">
        <v>1295036</v>
      </c>
      <c r="F15" s="1">
        <v>1638233</v>
      </c>
      <c r="G15" s="1">
        <v>581560</v>
      </c>
      <c r="H15" s="1">
        <v>433581</v>
      </c>
      <c r="I15" s="9">
        <f t="shared" si="2"/>
        <v>1614006</v>
      </c>
      <c r="J15" s="1"/>
      <c r="K15" s="1">
        <v>426837</v>
      </c>
      <c r="L15" s="1">
        <v>266240</v>
      </c>
      <c r="M15" s="1">
        <v>348655</v>
      </c>
      <c r="N15" s="1">
        <v>337861</v>
      </c>
      <c r="O15" s="1">
        <v>0</v>
      </c>
      <c r="P15" s="1">
        <v>234413</v>
      </c>
      <c r="Q15" s="1"/>
      <c r="R15" s="1">
        <v>-266720</v>
      </c>
      <c r="S15" s="1"/>
      <c r="T15" s="1">
        <f>+'2023 Nto driftsutg'!V15</f>
        <v>243329</v>
      </c>
      <c r="U15" s="1">
        <f>+'2023 Nto driftsutg'!W15</f>
        <v>243329</v>
      </c>
      <c r="X15" s="1"/>
      <c r="Y15" s="1"/>
    </row>
    <row r="16" spans="1:25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</row>
    <row r="17" spans="2:25" x14ac:dyDescent="0.3">
      <c r="B17" s="1" t="s">
        <v>3</v>
      </c>
      <c r="C17" s="1">
        <f t="shared" ref="C17:R17" si="3">SUM(C5:C15)</f>
        <v>108860587.85207164</v>
      </c>
      <c r="D17" s="1">
        <f t="shared" si="3"/>
        <v>48445765</v>
      </c>
      <c r="E17" s="1">
        <f t="shared" si="3"/>
        <v>15365107</v>
      </c>
      <c r="F17" s="1">
        <f t="shared" si="3"/>
        <v>22562005</v>
      </c>
      <c r="G17" s="1">
        <f t="shared" si="3"/>
        <v>4707028</v>
      </c>
      <c r="H17" s="1">
        <f t="shared" si="3"/>
        <v>4488582</v>
      </c>
      <c r="I17" s="9">
        <f t="shared" si="3"/>
        <v>16318535</v>
      </c>
      <c r="J17" s="1">
        <f t="shared" si="3"/>
        <v>0</v>
      </c>
      <c r="K17" s="1">
        <f t="shared" si="3"/>
        <v>5812721</v>
      </c>
      <c r="L17" s="1">
        <f t="shared" si="3"/>
        <v>2588671</v>
      </c>
      <c r="M17" s="1">
        <f t="shared" si="3"/>
        <v>2796889</v>
      </c>
      <c r="N17" s="1">
        <f t="shared" si="3"/>
        <v>4198739</v>
      </c>
      <c r="O17" s="1">
        <f t="shared" si="3"/>
        <v>85907</v>
      </c>
      <c r="P17" s="1">
        <f t="shared" si="3"/>
        <v>835608</v>
      </c>
      <c r="Q17" s="1">
        <f t="shared" si="3"/>
        <v>0</v>
      </c>
      <c r="R17" s="1">
        <f t="shared" si="3"/>
        <v>-3026434.1479283478</v>
      </c>
      <c r="S17" s="1"/>
      <c r="T17" s="1">
        <f>SUM(T5:T15)</f>
        <v>5514056</v>
      </c>
      <c r="U17" s="1">
        <f>SUM(U5:U15)</f>
        <v>5514056</v>
      </c>
      <c r="X17" s="1">
        <f>SUM(X5:X15)</f>
        <v>0</v>
      </c>
      <c r="Y17" s="1">
        <f>SUM(Y5:Y15)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11BE-DE84-4EE0-87EC-E7781DC329F9}">
  <sheetPr>
    <tabColor rgb="FFFFC000"/>
  </sheetPr>
  <dimension ref="A1:U18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6.44140625" customWidth="1"/>
    <col min="20" max="20" width="13.5546875" customWidth="1"/>
    <col min="21" max="21" width="13.88671875" customWidth="1"/>
  </cols>
  <sheetData>
    <row r="1" spans="1:21" x14ac:dyDescent="0.3">
      <c r="I1" s="5"/>
    </row>
    <row r="2" spans="1:21" ht="104.25" customHeight="1" x14ac:dyDescent="0.3">
      <c r="A2" s="22" t="s">
        <v>2</v>
      </c>
      <c r="B2" s="22" t="s">
        <v>1</v>
      </c>
      <c r="C2" s="22" t="s">
        <v>274</v>
      </c>
      <c r="D2" s="22" t="s">
        <v>259</v>
      </c>
      <c r="E2" s="22" t="s">
        <v>260</v>
      </c>
      <c r="F2" s="22" t="s">
        <v>462</v>
      </c>
      <c r="G2" s="22" t="s">
        <v>463</v>
      </c>
      <c r="H2" s="22" t="s">
        <v>261</v>
      </c>
      <c r="I2" s="11" t="s">
        <v>108</v>
      </c>
      <c r="J2" s="22" t="s">
        <v>109</v>
      </c>
      <c r="K2" s="22" t="s">
        <v>262</v>
      </c>
      <c r="L2" s="22" t="s">
        <v>263</v>
      </c>
      <c r="M2" s="22" t="s">
        <v>110</v>
      </c>
      <c r="N2" s="22" t="s">
        <v>264</v>
      </c>
      <c r="O2" s="22" t="s">
        <v>111</v>
      </c>
      <c r="P2" s="22" t="s">
        <v>112</v>
      </c>
      <c r="Q2" s="22" t="s">
        <v>265</v>
      </c>
      <c r="R2" s="22" t="s">
        <v>113</v>
      </c>
      <c r="S2" s="22"/>
      <c r="T2" s="22"/>
      <c r="U2" s="22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19"/>
    </row>
    <row r="5" spans="1:21" x14ac:dyDescent="0.3">
      <c r="A5" s="41">
        <v>300</v>
      </c>
      <c r="B5" s="42" t="s">
        <v>0</v>
      </c>
      <c r="C5" s="1">
        <f t="shared" ref="C5:C15" si="1">SUM(D5:I5)+R5</f>
        <v>8970322.8520716522</v>
      </c>
      <c r="D5" s="1">
        <f>+'2023 Bto driftsutg'!D5-'2023 Avskrivning'!D5</f>
        <v>4632668</v>
      </c>
      <c r="E5" s="1">
        <f>+'2023 Bto driftsutg'!E5-'2023 Avskrivning'!E5</f>
        <v>-181</v>
      </c>
      <c r="F5" s="1">
        <f>+'2023 Bto driftsutg'!F5-'2023 Avskrivning'!F5</f>
        <v>4129749</v>
      </c>
      <c r="G5" s="1">
        <f>+'2023 Bto driftsutg'!G5-'2023 Avskrivning'!G5</f>
        <v>0</v>
      </c>
      <c r="H5" s="1">
        <f>+'2023 Bto driftsutg'!H5-'2023 Avskrivning'!H5</f>
        <v>348393</v>
      </c>
      <c r="I5" s="9">
        <f>+'2023 Bto driftsutg'!I5-'2023 Avskrivning'!I5</f>
        <v>265649</v>
      </c>
      <c r="J5" s="1">
        <f>+'2023 Bto driftsutg'!J5-'2023 Avskrivning'!J5</f>
        <v>0</v>
      </c>
      <c r="K5" s="1">
        <f>+'2023 Bto driftsutg'!K5-'2023 Avskrivning'!K5</f>
        <v>172133</v>
      </c>
      <c r="L5" s="1">
        <f>+'2023 Bto driftsutg'!L5-'2023 Avskrivning'!L5</f>
        <v>0</v>
      </c>
      <c r="M5" s="1">
        <f>+'2023 Bto driftsutg'!M5-'2023 Avskrivning'!M5</f>
        <v>47502</v>
      </c>
      <c r="N5" s="1">
        <f>+'2023 Bto driftsutg'!N5-'2023 Avskrivning'!N5</f>
        <v>46014</v>
      </c>
      <c r="O5" s="1">
        <f>+'2023 Bto driftsutg'!O5-'2023 Avskrivning'!O5</f>
        <v>0</v>
      </c>
      <c r="P5" s="1">
        <f>+'2023 Bto driftsutg'!P5-'2023 Avskrivning'!P5</f>
        <v>0</v>
      </c>
      <c r="Q5" s="1">
        <f>+'2023 Bto driftsutg'!Q5-'2023 Avskrivning'!Q5</f>
        <v>0</v>
      </c>
      <c r="R5" s="1">
        <f>+'2023 Bto driftsutg'!R5-'2023 Avskrivning'!R5</f>
        <v>-405955.14792834799</v>
      </c>
      <c r="S5" s="1"/>
      <c r="T5" s="1"/>
      <c r="U5" s="1"/>
    </row>
    <row r="6" spans="1:21" x14ac:dyDescent="0.3">
      <c r="A6" s="41">
        <v>1100</v>
      </c>
      <c r="B6" s="42" t="s">
        <v>139</v>
      </c>
      <c r="C6" s="1">
        <f t="shared" si="1"/>
        <v>8887960</v>
      </c>
      <c r="D6" s="1">
        <f>+'2023 Bto driftsutg'!D6-'2023 Avskrivning'!D6</f>
        <v>4334005</v>
      </c>
      <c r="E6" s="1">
        <f>+'2023 Bto driftsutg'!E6-'2023 Avskrivning'!E6</f>
        <v>877993</v>
      </c>
      <c r="F6" s="1">
        <f>+'2023 Bto driftsutg'!F6-'2023 Avskrivning'!F6</f>
        <v>1395124</v>
      </c>
      <c r="G6" s="1">
        <f>+'2023 Bto driftsutg'!G6-'2023 Avskrivning'!G6</f>
        <v>321797</v>
      </c>
      <c r="H6" s="1">
        <f>+'2023 Bto driftsutg'!H6-'2023 Avskrivning'!H6</f>
        <v>475598</v>
      </c>
      <c r="I6" s="9">
        <f>+'2023 Bto driftsutg'!I6-'2023 Avskrivning'!I6</f>
        <v>1756159</v>
      </c>
      <c r="J6" s="1">
        <f>+'2023 Bto driftsutg'!J6-'2023 Avskrivning'!J6</f>
        <v>0</v>
      </c>
      <c r="K6" s="1">
        <f>+'2023 Bto driftsutg'!K6-'2023 Avskrivning'!K6</f>
        <v>358803</v>
      </c>
      <c r="L6" s="1">
        <f>+'2023 Bto driftsutg'!L6-'2023 Avskrivning'!L6</f>
        <v>141961</v>
      </c>
      <c r="M6" s="1">
        <f>+'2023 Bto driftsutg'!M6-'2023 Avskrivning'!M6</f>
        <v>279721</v>
      </c>
      <c r="N6" s="1">
        <f>+'2023 Bto driftsutg'!N6-'2023 Avskrivning'!N6</f>
        <v>428275</v>
      </c>
      <c r="O6" s="1">
        <f>+'2023 Bto driftsutg'!O6-'2023 Avskrivning'!O6</f>
        <v>0</v>
      </c>
      <c r="P6" s="1">
        <f>+'2023 Bto driftsutg'!P6-'2023 Avskrivning'!P6</f>
        <v>547399</v>
      </c>
      <c r="Q6" s="1">
        <f>+'2023 Bto driftsutg'!Q6-'2023 Avskrivning'!Q6</f>
        <v>0</v>
      </c>
      <c r="R6" s="1">
        <f>+'2023 Bto driftsutg'!R6-'2023 Avskrivning'!R6</f>
        <v>-272716</v>
      </c>
      <c r="T6" s="1"/>
      <c r="U6" s="1"/>
    </row>
    <row r="7" spans="1:21" x14ac:dyDescent="0.3">
      <c r="A7" s="41">
        <v>1500</v>
      </c>
      <c r="B7" s="42" t="s">
        <v>140</v>
      </c>
      <c r="C7" s="1">
        <f t="shared" si="1"/>
        <v>6519724</v>
      </c>
      <c r="D7" s="1">
        <f>+'2023 Bto driftsutg'!D7-'2023 Avskrivning'!D7</f>
        <v>2317292</v>
      </c>
      <c r="E7" s="1">
        <f>+'2023 Bto driftsutg'!E7-'2023 Avskrivning'!E7</f>
        <v>986148</v>
      </c>
      <c r="F7" s="1">
        <f>+'2023 Bto driftsutg'!F7-'2023 Avskrivning'!F7</f>
        <v>1127397</v>
      </c>
      <c r="G7" s="1">
        <f>+'2023 Bto driftsutg'!G7-'2023 Avskrivning'!G7</f>
        <v>1103073</v>
      </c>
      <c r="H7" s="1">
        <f>+'2023 Bto driftsutg'!H7-'2023 Avskrivning'!H7</f>
        <v>229254</v>
      </c>
      <c r="I7" s="9">
        <f>+'2023 Bto driftsutg'!I7-'2023 Avskrivning'!I7</f>
        <v>938970</v>
      </c>
      <c r="J7" s="1">
        <f>+'2023 Bto driftsutg'!J7-'2023 Avskrivning'!J7</f>
        <v>0</v>
      </c>
      <c r="K7" s="1">
        <f>+'2023 Bto driftsutg'!K7-'2023 Avskrivning'!K7</f>
        <v>314126</v>
      </c>
      <c r="L7" s="1">
        <f>+'2023 Bto driftsutg'!L7-'2023 Avskrivning'!L7</f>
        <v>136404</v>
      </c>
      <c r="M7" s="1">
        <f>+'2023 Bto driftsutg'!M7-'2023 Avskrivning'!M7</f>
        <v>225016</v>
      </c>
      <c r="N7" s="1">
        <f>+'2023 Bto driftsutg'!N7-'2023 Avskrivning'!N7</f>
        <v>261094</v>
      </c>
      <c r="O7" s="1">
        <f>+'2023 Bto driftsutg'!O7-'2023 Avskrivning'!O7</f>
        <v>0</v>
      </c>
      <c r="P7" s="1">
        <f>+'2023 Bto driftsutg'!P7-'2023 Avskrivning'!P7</f>
        <v>2330</v>
      </c>
      <c r="Q7" s="1">
        <f>+'2023 Bto driftsutg'!Q7-'2023 Avskrivning'!Q7</f>
        <v>0</v>
      </c>
      <c r="R7" s="1">
        <f>+'2023 Bto driftsutg'!R7-'2023 Avskrivning'!R7</f>
        <v>-182410</v>
      </c>
      <c r="T7" s="1"/>
      <c r="U7" s="1"/>
    </row>
    <row r="8" spans="1:21" x14ac:dyDescent="0.3">
      <c r="A8" s="41">
        <v>1800</v>
      </c>
      <c r="B8" s="42" t="s">
        <v>141</v>
      </c>
      <c r="C8" s="1">
        <f t="shared" si="1"/>
        <v>7179951</v>
      </c>
      <c r="D8" s="1">
        <f>+'2023 Bto driftsutg'!D8-'2023 Avskrivning'!D8</f>
        <v>2470514</v>
      </c>
      <c r="E8" s="1">
        <f>+'2023 Bto driftsutg'!E8-'2023 Avskrivning'!E8</f>
        <v>924879</v>
      </c>
      <c r="F8" s="1">
        <f>+'2023 Bto driftsutg'!F8-'2023 Avskrivning'!F8</f>
        <v>1351197</v>
      </c>
      <c r="G8" s="1">
        <f>+'2023 Bto driftsutg'!G8-'2023 Avskrivning'!G8</f>
        <v>975089</v>
      </c>
      <c r="H8" s="1">
        <f>+'2023 Bto driftsutg'!H8-'2023 Avskrivning'!H8</f>
        <v>336347</v>
      </c>
      <c r="I8" s="9">
        <f>+'2023 Bto driftsutg'!I8-'2023 Avskrivning'!I8</f>
        <v>1322787</v>
      </c>
      <c r="J8" s="1">
        <f>+'2023 Bto driftsutg'!J8-'2023 Avskrivning'!J8</f>
        <v>0</v>
      </c>
      <c r="K8" s="1">
        <f>+'2023 Bto driftsutg'!K8-'2023 Avskrivning'!K8</f>
        <v>410074</v>
      </c>
      <c r="L8" s="1">
        <f>+'2023 Bto driftsutg'!L8-'2023 Avskrivning'!L8</f>
        <v>169068</v>
      </c>
      <c r="M8" s="1">
        <f>+'2023 Bto driftsutg'!M8-'2023 Avskrivning'!M8</f>
        <v>396576</v>
      </c>
      <c r="N8" s="1">
        <f>+'2023 Bto driftsutg'!N8-'2023 Avskrivning'!N8</f>
        <v>347059</v>
      </c>
      <c r="O8" s="1">
        <f>+'2023 Bto driftsutg'!O8-'2023 Avskrivning'!O8</f>
        <v>7</v>
      </c>
      <c r="P8" s="1">
        <f>+'2023 Bto driftsutg'!P8-'2023 Avskrivning'!P8</f>
        <v>3</v>
      </c>
      <c r="Q8" s="1">
        <f>+'2023 Bto driftsutg'!Q8-'2023 Avskrivning'!Q8</f>
        <v>0</v>
      </c>
      <c r="R8" s="1">
        <f>+'2023 Bto driftsutg'!R8-'2023 Avskrivning'!R8</f>
        <v>-200862</v>
      </c>
      <c r="T8" s="1"/>
      <c r="U8" s="1"/>
    </row>
    <row r="9" spans="1:21" x14ac:dyDescent="0.3">
      <c r="A9" s="41">
        <v>3000</v>
      </c>
      <c r="B9" s="42" t="s">
        <v>403</v>
      </c>
      <c r="C9" s="1">
        <f t="shared" si="1"/>
        <v>19168962</v>
      </c>
      <c r="D9" s="1">
        <f>+'2023 Bto driftsutg'!D9-'2023 Avskrivning'!D9</f>
        <v>10171534</v>
      </c>
      <c r="E9" s="1">
        <f>+'2023 Bto driftsutg'!E9-'2023 Avskrivning'!E9</f>
        <v>1913631</v>
      </c>
      <c r="F9" s="1">
        <f>+'2023 Bto driftsutg'!F9-'2023 Avskrivning'!F9</f>
        <v>3930295</v>
      </c>
      <c r="G9" s="1">
        <f>+'2023 Bto driftsutg'!G9-'2023 Avskrivning'!G9</f>
        <v>0</v>
      </c>
      <c r="H9" s="1">
        <f>+'2023 Bto driftsutg'!H9-'2023 Avskrivning'!H9</f>
        <v>627921</v>
      </c>
      <c r="I9" s="9">
        <f>+'2023 Bto driftsutg'!I9-'2023 Avskrivning'!I9</f>
        <v>3135141</v>
      </c>
      <c r="J9" s="1">
        <f>+'2023 Bto driftsutg'!J9-'2023 Avskrivning'!J9</f>
        <v>0</v>
      </c>
      <c r="K9" s="1">
        <f>+'2023 Bto driftsutg'!K9-'2023 Avskrivning'!K9</f>
        <v>1600749</v>
      </c>
      <c r="L9" s="1">
        <f>+'2023 Bto driftsutg'!L9-'2023 Avskrivning'!L9</f>
        <v>409281</v>
      </c>
      <c r="M9" s="1">
        <f>+'2023 Bto driftsutg'!M9-'2023 Avskrivning'!M9</f>
        <v>215370</v>
      </c>
      <c r="N9" s="1">
        <f>+'2023 Bto driftsutg'!N9-'2023 Avskrivning'!N9</f>
        <v>824675</v>
      </c>
      <c r="O9" s="1">
        <f>+'2023 Bto driftsutg'!O9-'2023 Avskrivning'!O9</f>
        <v>81954</v>
      </c>
      <c r="P9" s="1">
        <f>+'2023 Bto driftsutg'!P9-'2023 Avskrivning'!P9</f>
        <v>3112</v>
      </c>
      <c r="Q9" s="1">
        <f>+'2023 Bto driftsutg'!Q9-'2023 Avskrivning'!Q9</f>
        <v>0</v>
      </c>
      <c r="R9" s="1">
        <f>+'2023 Bto driftsutg'!R9-'2023 Avskrivning'!R9</f>
        <v>-609560</v>
      </c>
      <c r="T9" s="1"/>
      <c r="U9" s="1"/>
    </row>
    <row r="10" spans="1:21" x14ac:dyDescent="0.3">
      <c r="A10" s="41">
        <v>3400</v>
      </c>
      <c r="B10" s="42" t="s">
        <v>404</v>
      </c>
      <c r="C10" s="1">
        <f t="shared" si="1"/>
        <v>7243965</v>
      </c>
      <c r="D10" s="1">
        <f>+'2023 Bto driftsutg'!D10-'2023 Avskrivning'!D10</f>
        <v>3307774</v>
      </c>
      <c r="E10" s="1">
        <f>+'2023 Bto driftsutg'!E10-'2023 Avskrivning'!E10</f>
        <v>1272532</v>
      </c>
      <c r="F10" s="1">
        <f>+'2023 Bto driftsutg'!F10-'2023 Avskrivning'!F10</f>
        <v>1272401</v>
      </c>
      <c r="G10" s="1">
        <f>+'2023 Bto driftsutg'!G10-'2023 Avskrivning'!G10</f>
        <v>17470</v>
      </c>
      <c r="H10" s="1">
        <f>+'2023 Bto driftsutg'!H10-'2023 Avskrivning'!H10</f>
        <v>309205</v>
      </c>
      <c r="I10" s="9">
        <f>+'2023 Bto driftsutg'!I10-'2023 Avskrivning'!I10</f>
        <v>1340776</v>
      </c>
      <c r="J10" s="1">
        <f>+'2023 Bto driftsutg'!J10-'2023 Avskrivning'!J10</f>
        <v>0</v>
      </c>
      <c r="K10" s="1">
        <f>+'2023 Bto driftsutg'!K10-'2023 Avskrivning'!K10</f>
        <v>434135</v>
      </c>
      <c r="L10" s="1">
        <f>+'2023 Bto driftsutg'!L10-'2023 Avskrivning'!L10</f>
        <v>292555</v>
      </c>
      <c r="M10" s="1">
        <f>+'2023 Bto driftsutg'!M10-'2023 Avskrivning'!M10</f>
        <v>250737</v>
      </c>
      <c r="N10" s="1">
        <f>+'2023 Bto driftsutg'!N10-'2023 Avskrivning'!N10</f>
        <v>338088</v>
      </c>
      <c r="O10" s="1">
        <f>+'2023 Bto driftsutg'!O10-'2023 Avskrivning'!O10</f>
        <v>0</v>
      </c>
      <c r="P10" s="1">
        <f>+'2023 Bto driftsutg'!P10-'2023 Avskrivning'!P10</f>
        <v>25261</v>
      </c>
      <c r="Q10" s="1">
        <f>+'2023 Bto driftsutg'!Q10-'2023 Avskrivning'!Q10</f>
        <v>0</v>
      </c>
      <c r="R10" s="1">
        <f>+'2023 Bto driftsutg'!R10-'2023 Avskrivning'!R10</f>
        <v>-276193</v>
      </c>
      <c r="T10" s="1"/>
      <c r="U10" s="1"/>
    </row>
    <row r="11" spans="1:21" x14ac:dyDescent="0.3">
      <c r="A11" s="41">
        <v>3800</v>
      </c>
      <c r="B11" s="42" t="s">
        <v>405</v>
      </c>
      <c r="C11" s="1">
        <f t="shared" si="1"/>
        <v>7018299</v>
      </c>
      <c r="D11" s="1">
        <f>+'2023 Bto driftsutg'!D11-'2023 Avskrivning'!D11</f>
        <v>3606132</v>
      </c>
      <c r="E11" s="1">
        <f>+'2023 Bto driftsutg'!E11-'2023 Avskrivning'!E11</f>
        <v>894303</v>
      </c>
      <c r="F11" s="1">
        <f>+'2023 Bto driftsutg'!F11-'2023 Avskrivning'!F11</f>
        <v>950565</v>
      </c>
      <c r="G11" s="1">
        <f>+'2023 Bto driftsutg'!G11-'2023 Avskrivning'!G11</f>
        <v>45498</v>
      </c>
      <c r="H11" s="1">
        <f>+'2023 Bto driftsutg'!H11-'2023 Avskrivning'!H11</f>
        <v>331424</v>
      </c>
      <c r="I11" s="9">
        <f>+'2023 Bto driftsutg'!I11-'2023 Avskrivning'!I11</f>
        <v>1493006</v>
      </c>
      <c r="J11" s="1">
        <f>+'2023 Bto driftsutg'!J11-'2023 Avskrivning'!J11</f>
        <v>0</v>
      </c>
      <c r="K11" s="1">
        <f>+'2023 Bto driftsutg'!K11-'2023 Avskrivning'!K11</f>
        <v>459562</v>
      </c>
      <c r="L11" s="1">
        <f>+'2023 Bto driftsutg'!L11-'2023 Avskrivning'!L11</f>
        <v>362608</v>
      </c>
      <c r="M11" s="1">
        <f>+'2023 Bto driftsutg'!M11-'2023 Avskrivning'!M11</f>
        <v>284729</v>
      </c>
      <c r="N11" s="1">
        <f>+'2023 Bto driftsutg'!N11-'2023 Avskrivning'!N11</f>
        <v>379650</v>
      </c>
      <c r="O11" s="1">
        <f>+'2023 Bto driftsutg'!O11-'2023 Avskrivning'!O11</f>
        <v>3946</v>
      </c>
      <c r="P11" s="1">
        <f>+'2023 Bto driftsutg'!P11-'2023 Avskrivning'!P11</f>
        <v>2511</v>
      </c>
      <c r="Q11" s="1">
        <f>+'2023 Bto driftsutg'!Q11-'2023 Avskrivning'!Q11</f>
        <v>0</v>
      </c>
      <c r="R11" s="1">
        <f>+'2023 Bto driftsutg'!R11-'2023 Avskrivning'!R11</f>
        <v>-302629</v>
      </c>
      <c r="T11" s="1"/>
      <c r="U11" s="1"/>
    </row>
    <row r="12" spans="1:21" x14ac:dyDescent="0.3">
      <c r="A12" s="41">
        <v>4200</v>
      </c>
      <c r="B12" s="42" t="s">
        <v>406</v>
      </c>
      <c r="C12" s="1">
        <f t="shared" si="1"/>
        <v>5751805</v>
      </c>
      <c r="D12" s="1">
        <f>+'2023 Bto driftsutg'!D12-'2023 Avskrivning'!D12</f>
        <v>2983397</v>
      </c>
      <c r="E12" s="1">
        <f>+'2023 Bto driftsutg'!E12-'2023 Avskrivning'!E12</f>
        <v>980724</v>
      </c>
      <c r="F12" s="1">
        <f>+'2023 Bto driftsutg'!F12-'2023 Avskrivning'!F12</f>
        <v>648155</v>
      </c>
      <c r="G12" s="1">
        <f>+'2023 Bto driftsutg'!G12-'2023 Avskrivning'!G12</f>
        <v>56654</v>
      </c>
      <c r="H12" s="1">
        <f>+'2023 Bto driftsutg'!H12-'2023 Avskrivning'!H12</f>
        <v>235950</v>
      </c>
      <c r="I12" s="9">
        <f>+'2023 Bto driftsutg'!I12-'2023 Avskrivning'!I12</f>
        <v>1095573</v>
      </c>
      <c r="J12" s="1">
        <f>+'2023 Bto driftsutg'!J12-'2023 Avskrivning'!J12</f>
        <v>0</v>
      </c>
      <c r="K12" s="1">
        <f>+'2023 Bto driftsutg'!K12-'2023 Avskrivning'!K12</f>
        <v>385158</v>
      </c>
      <c r="L12" s="1">
        <f>+'2023 Bto driftsutg'!L12-'2023 Avskrivning'!L12</f>
        <v>282051</v>
      </c>
      <c r="M12" s="1">
        <f>+'2023 Bto driftsutg'!M12-'2023 Avskrivning'!M12</f>
        <v>87752</v>
      </c>
      <c r="N12" s="1">
        <f>+'2023 Bto driftsutg'!N12-'2023 Avskrivning'!N12</f>
        <v>321615</v>
      </c>
      <c r="O12" s="1">
        <f>+'2023 Bto driftsutg'!O12-'2023 Avskrivning'!O12</f>
        <v>0</v>
      </c>
      <c r="P12" s="1">
        <f>+'2023 Bto driftsutg'!P12-'2023 Avskrivning'!P12</f>
        <v>18997</v>
      </c>
      <c r="Q12" s="1">
        <f>+'2023 Bto driftsutg'!Q12-'2023 Avskrivning'!Q12</f>
        <v>0</v>
      </c>
      <c r="R12" s="1">
        <f>+'2023 Bto driftsutg'!R12-'2023 Avskrivning'!R12</f>
        <v>-248648</v>
      </c>
      <c r="T12" s="1"/>
      <c r="U12" s="1"/>
    </row>
    <row r="13" spans="1:21" x14ac:dyDescent="0.3">
      <c r="A13" s="41">
        <v>4600</v>
      </c>
      <c r="B13" s="42" t="s">
        <v>407</v>
      </c>
      <c r="C13" s="1">
        <f t="shared" si="1"/>
        <v>14201312</v>
      </c>
      <c r="D13" s="1">
        <f>+'2023 Bto driftsutg'!D13-'2023 Avskrivning'!D13</f>
        <v>5266583</v>
      </c>
      <c r="E13" s="1">
        <f>+'2023 Bto driftsutg'!E13-'2023 Avskrivning'!E13</f>
        <v>1716804</v>
      </c>
      <c r="F13" s="1">
        <f>+'2023 Bto driftsutg'!F13-'2023 Avskrivning'!F13</f>
        <v>3828493</v>
      </c>
      <c r="G13" s="1">
        <f>+'2023 Bto driftsutg'!G13-'2023 Avskrivning'!G13</f>
        <v>1274770</v>
      </c>
      <c r="H13" s="1">
        <f>+'2023 Bto driftsutg'!H13-'2023 Avskrivning'!H13</f>
        <v>556710</v>
      </c>
      <c r="I13" s="9">
        <f>+'2023 Bto driftsutg'!I13-'2023 Avskrivning'!I13</f>
        <v>1686953</v>
      </c>
      <c r="J13" s="1">
        <f>+'2023 Bto driftsutg'!J13-'2023 Avskrivning'!J13</f>
        <v>0</v>
      </c>
      <c r="K13" s="1">
        <f>+'2023 Bto driftsutg'!K13-'2023 Avskrivning'!K13</f>
        <v>607112</v>
      </c>
      <c r="L13" s="1">
        <f>+'2023 Bto driftsutg'!L13-'2023 Avskrivning'!L13</f>
        <v>290106</v>
      </c>
      <c r="M13" s="1">
        <f>+'2023 Bto driftsutg'!M13-'2023 Avskrivning'!M13</f>
        <v>392601</v>
      </c>
      <c r="N13" s="1">
        <f>+'2023 Bto driftsutg'!N13-'2023 Avskrivning'!N13</f>
        <v>396119</v>
      </c>
      <c r="O13" s="1">
        <f>+'2023 Bto driftsutg'!O13-'2023 Avskrivning'!O13</f>
        <v>0</v>
      </c>
      <c r="P13" s="1">
        <f>+'2023 Bto driftsutg'!P13-'2023 Avskrivning'!P13</f>
        <v>1015</v>
      </c>
      <c r="Q13" s="1">
        <f>+'2023 Bto driftsutg'!Q13-'2023 Avskrivning'!Q13</f>
        <v>0</v>
      </c>
      <c r="R13" s="1">
        <f>+'2023 Bto driftsutg'!R13-'2023 Avskrivning'!R13</f>
        <v>-129001</v>
      </c>
      <c r="T13" s="1"/>
      <c r="U13" s="1"/>
    </row>
    <row r="14" spans="1:21" x14ac:dyDescent="0.3">
      <c r="A14" s="41">
        <v>5000</v>
      </c>
      <c r="B14" s="42" t="s">
        <v>388</v>
      </c>
      <c r="C14" s="1">
        <f t="shared" si="1"/>
        <v>9225778</v>
      </c>
      <c r="D14" s="1">
        <f>+'2023 Bto driftsutg'!D14-'2023 Avskrivning'!D14</f>
        <v>4198550</v>
      </c>
      <c r="E14" s="1">
        <f>+'2023 Bto driftsutg'!E14-'2023 Avskrivning'!E14</f>
        <v>1248963</v>
      </c>
      <c r="F14" s="1">
        <f>+'2023 Bto driftsutg'!F14-'2023 Avskrivning'!F14</f>
        <v>1668705</v>
      </c>
      <c r="G14" s="1">
        <f>+'2023 Bto driftsutg'!G14-'2023 Avskrivning'!G14</f>
        <v>320444</v>
      </c>
      <c r="H14" s="1">
        <f>+'2023 Bto driftsutg'!H14-'2023 Avskrivning'!H14</f>
        <v>486062</v>
      </c>
      <c r="I14" s="9">
        <f>+'2023 Bto driftsutg'!I14-'2023 Avskrivning'!I14</f>
        <v>1434794</v>
      </c>
      <c r="J14" s="1">
        <f>+'2023 Bto driftsutg'!J14-'2023 Avskrivning'!J14</f>
        <v>0</v>
      </c>
      <c r="K14" s="1">
        <f>+'2023 Bto driftsutg'!K14-'2023 Avskrivning'!K14</f>
        <v>455509</v>
      </c>
      <c r="L14" s="1">
        <f>+'2023 Bto driftsutg'!L14-'2023 Avskrivning'!L14</f>
        <v>229407</v>
      </c>
      <c r="M14" s="1">
        <f>+'2023 Bto driftsutg'!M14-'2023 Avskrivning'!M14</f>
        <v>243899</v>
      </c>
      <c r="N14" s="1">
        <f>+'2023 Bto driftsutg'!N14-'2023 Avskrivning'!N14</f>
        <v>505977</v>
      </c>
      <c r="O14" s="1">
        <f>+'2023 Bto driftsutg'!O14-'2023 Avskrivning'!O14</f>
        <v>0</v>
      </c>
      <c r="P14" s="1">
        <f>+'2023 Bto driftsutg'!P14-'2023 Avskrivning'!P14</f>
        <v>2</v>
      </c>
      <c r="Q14" s="1">
        <f>+'2023 Bto driftsutg'!Q14-'2023 Avskrivning'!Q14</f>
        <v>0</v>
      </c>
      <c r="R14" s="1">
        <f>+'2023 Bto driftsutg'!R14-'2023 Avskrivning'!R14</f>
        <v>-131740</v>
      </c>
      <c r="T14" s="1"/>
      <c r="U14" s="1"/>
    </row>
    <row r="15" spans="1:21" x14ac:dyDescent="0.3">
      <c r="A15" s="41">
        <v>5400</v>
      </c>
      <c r="B15" s="42" t="s">
        <v>408</v>
      </c>
      <c r="C15" s="1">
        <f t="shared" si="1"/>
        <v>7521386</v>
      </c>
      <c r="D15" s="1">
        <f>+'2023 Bto driftsutg'!D15-'2023 Avskrivning'!D15</f>
        <v>2544934</v>
      </c>
      <c r="E15" s="1">
        <f>+'2023 Bto driftsutg'!E15-'2023 Avskrivning'!E15</f>
        <v>1036137</v>
      </c>
      <c r="F15" s="1">
        <f>+'2023 Bto driftsutg'!F15-'2023 Avskrivning'!F15</f>
        <v>1623016</v>
      </c>
      <c r="G15" s="1">
        <f>+'2023 Bto driftsutg'!G15-'2023 Avskrivning'!G15</f>
        <v>580520</v>
      </c>
      <c r="H15" s="1">
        <f>+'2023 Bto driftsutg'!H15-'2023 Avskrivning'!H15</f>
        <v>417135</v>
      </c>
      <c r="I15" s="9">
        <f>+'2023 Bto driftsutg'!I15-'2023 Avskrivning'!I15</f>
        <v>1586364</v>
      </c>
      <c r="J15" s="1">
        <f>+'2023 Bto driftsutg'!J15-'2023 Avskrivning'!J15</f>
        <v>0</v>
      </c>
      <c r="K15" s="1">
        <f>+'2023 Bto driftsutg'!K15-'2023 Avskrivning'!K15</f>
        <v>406281</v>
      </c>
      <c r="L15" s="1">
        <f>+'2023 Bto driftsutg'!L15-'2023 Avskrivning'!L15</f>
        <v>266145</v>
      </c>
      <c r="M15" s="1">
        <f>+'2023 Bto driftsutg'!M15-'2023 Avskrivning'!M15</f>
        <v>348655</v>
      </c>
      <c r="N15" s="1">
        <f>+'2023 Bto driftsutg'!N15-'2023 Avskrivning'!N15</f>
        <v>336645</v>
      </c>
      <c r="O15" s="1">
        <f>+'2023 Bto driftsutg'!O15-'2023 Avskrivning'!O15</f>
        <v>0</v>
      </c>
      <c r="P15" s="1">
        <f>+'2023 Bto driftsutg'!P15-'2023 Avskrivning'!P15</f>
        <v>228638</v>
      </c>
      <c r="Q15" s="1">
        <f>+'2023 Bto driftsutg'!Q15-'2023 Avskrivning'!Q15</f>
        <v>0</v>
      </c>
      <c r="R15" s="1">
        <f>+'2023 Bto driftsutg'!R15-'2023 Avskrivning'!R15</f>
        <v>-266720</v>
      </c>
      <c r="T15" s="1"/>
      <c r="U15" s="1"/>
    </row>
    <row r="16" spans="1:21" x14ac:dyDescent="0.3">
      <c r="C16" s="1"/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>SUM(C5:C16)</f>
        <v>101689464.85207164</v>
      </c>
      <c r="D17" s="1">
        <f t="shared" ref="D17:R17" si="2">SUM(D5:D15)</f>
        <v>45833383</v>
      </c>
      <c r="E17" s="1">
        <f t="shared" si="2"/>
        <v>11851933</v>
      </c>
      <c r="F17" s="1">
        <f t="shared" si="2"/>
        <v>21925097</v>
      </c>
      <c r="G17" s="1">
        <f t="shared" si="2"/>
        <v>4695315</v>
      </c>
      <c r="H17" s="1">
        <f t="shared" si="2"/>
        <v>4353999</v>
      </c>
      <c r="I17" s="9">
        <f t="shared" si="2"/>
        <v>16056172</v>
      </c>
      <c r="J17" s="1">
        <f t="shared" si="2"/>
        <v>0</v>
      </c>
      <c r="K17" s="1">
        <f t="shared" si="2"/>
        <v>5603642</v>
      </c>
      <c r="L17" s="1">
        <f t="shared" si="2"/>
        <v>2579586</v>
      </c>
      <c r="M17" s="1">
        <f t="shared" si="2"/>
        <v>2772558</v>
      </c>
      <c r="N17" s="1">
        <f t="shared" si="2"/>
        <v>4185211</v>
      </c>
      <c r="O17" s="1">
        <f t="shared" si="2"/>
        <v>85907</v>
      </c>
      <c r="P17" s="1">
        <f t="shared" si="2"/>
        <v>829268</v>
      </c>
      <c r="Q17" s="1">
        <f t="shared" si="2"/>
        <v>0</v>
      </c>
      <c r="R17" s="1">
        <f t="shared" si="2"/>
        <v>-3026434.1479283478</v>
      </c>
      <c r="S17" s="1"/>
      <c r="T17" s="1"/>
      <c r="U17" s="1"/>
    </row>
    <row r="18" spans="2:21" x14ac:dyDescent="0.3">
      <c r="C18" s="5"/>
      <c r="I18" s="5">
        <f>SUM(J17:Q17)</f>
        <v>16056172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45FA-4DB4-482E-A0EC-FF108438E2BC}">
  <dimension ref="A2:R17"/>
  <sheetViews>
    <sheetView workbookViewId="0">
      <pane xSplit="2" ySplit="3" topLeftCell="C4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2.5546875" customWidth="1"/>
    <col min="9" max="9" width="3.109375" customWidth="1"/>
    <col min="11" max="11" width="5.44140625" customWidth="1"/>
    <col min="14" max="14" width="12.109375" customWidth="1"/>
  </cols>
  <sheetData>
    <row r="2" spans="1:18" ht="42.75" customHeight="1" x14ac:dyDescent="0.35">
      <c r="A2" s="22" t="s">
        <v>2</v>
      </c>
      <c r="B2" s="22" t="s">
        <v>1</v>
      </c>
      <c r="C2" s="22" t="s">
        <v>5</v>
      </c>
      <c r="D2" s="22" t="s">
        <v>171</v>
      </c>
      <c r="E2" s="22" t="s">
        <v>172</v>
      </c>
      <c r="F2" s="22" t="s">
        <v>464</v>
      </c>
      <c r="G2" s="22" t="s">
        <v>417</v>
      </c>
      <c r="H2" s="22" t="s">
        <v>266</v>
      </c>
      <c r="J2" s="111" t="s">
        <v>318</v>
      </c>
      <c r="L2" s="51" t="s">
        <v>464</v>
      </c>
      <c r="M2" s="51" t="s">
        <v>417</v>
      </c>
      <c r="N2" s="51" t="s">
        <v>171</v>
      </c>
      <c r="O2" s="51" t="s">
        <v>266</v>
      </c>
      <c r="P2" s="51" t="s">
        <v>172</v>
      </c>
    </row>
    <row r="3" spans="1:18" ht="15.6" x14ac:dyDescent="0.4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J3" s="107">
        <v>10</v>
      </c>
      <c r="L3" s="52">
        <v>0.19031055218344314</v>
      </c>
      <c r="M3" s="52">
        <v>5.5527118330512548E-2</v>
      </c>
      <c r="N3" s="52">
        <v>0.50534998788366303</v>
      </c>
      <c r="O3" s="52">
        <v>4.5459078823592687E-2</v>
      </c>
      <c r="P3" s="52">
        <v>0.20335326277878876</v>
      </c>
      <c r="Q3" s="97"/>
      <c r="R3" s="97"/>
    </row>
    <row r="5" spans="1:18" x14ac:dyDescent="0.3">
      <c r="A5" s="41">
        <v>300</v>
      </c>
      <c r="B5" s="42" t="s">
        <v>0</v>
      </c>
      <c r="C5" s="3">
        <f>+'2023 Nøkkel revektet'!D5*'[2]2023 Nto driftsutg landet'!$C$5/'[2]2023 Nto driftsutg landet'!$C$10+'2023 Nøkkel revektet'!E5*'[2]2023 Nto driftsutg landet'!$C$6/'[2]2023 Nto driftsutg landet'!$C$10+'2023 Nøkkel revektet'!F5*'[2]2023 Nto driftsutg landet'!$C$7/'[2]2023 Nto driftsutg landet'!$C$10+'2023 Nøkkel revektet'!G5*'[2]2023 Nto driftsutg landet'!$C$8/'[2]2023 Nto driftsutg landet'!$C$10+'2023 Nøkkel revektet'!H5*'[2]2023 Nto driftsutg landet'!$C$9/'[2]2023 Nto driftsutg landet'!$C$10</f>
        <v>0.77534940351743553</v>
      </c>
      <c r="D5" s="3">
        <f>+'2023 Revekting utgiftsbehov'!Z5</f>
        <v>0.71053058348772868</v>
      </c>
      <c r="E5" s="3">
        <f>+'2023 Revekting utgiftsbehov'!AA5</f>
        <v>0.21462039411895761</v>
      </c>
      <c r="F5" s="3">
        <f>+'2023 Revekting utgiftsbehov'!AB5</f>
        <v>1.5114284535122655</v>
      </c>
      <c r="G5" s="3">
        <f>+'2023 Revekting utgiftsbehov'!AC5</f>
        <v>0</v>
      </c>
      <c r="H5" s="3">
        <f>+'2023 Revekting utgiftsbehov'!AD5</f>
        <v>0.80830409059491792</v>
      </c>
      <c r="I5" s="4"/>
      <c r="J5" s="4">
        <f>+C5-'2023 Revekting utgiftsbehov'!I5</f>
        <v>4.8230872884279963E-2</v>
      </c>
      <c r="K5" s="4"/>
      <c r="L5" s="4"/>
      <c r="M5" s="4"/>
      <c r="N5" s="4"/>
      <c r="O5" s="4"/>
    </row>
    <row r="6" spans="1:18" x14ac:dyDescent="0.3">
      <c r="A6" s="41">
        <v>1100</v>
      </c>
      <c r="B6" s="42" t="s">
        <v>139</v>
      </c>
      <c r="C6" s="3">
        <f>+'2023 Nøkkel revektet'!D6*'[2]2023 Nto driftsutg landet'!$C$5/'[2]2023 Nto driftsutg landet'!$C$10+'2023 Nøkkel revektet'!E6*'[2]2023 Nto driftsutg landet'!$C$6/'[2]2023 Nto driftsutg landet'!$C$10+'2023 Nøkkel revektet'!F6*'[2]2023 Nto driftsutg landet'!$C$7/'[2]2023 Nto driftsutg landet'!$C$10+'2023 Nøkkel revektet'!G6*'[2]2023 Nto driftsutg landet'!$C$8/'[2]2023 Nto driftsutg landet'!$C$10+'2023 Nøkkel revektet'!H6*'[2]2023 Nto driftsutg landet'!$C$9/'[2]2023 Nto driftsutg landet'!$C$10</f>
        <v>0.97927344476359857</v>
      </c>
      <c r="D6" s="3">
        <f>+'2023 Revekting utgiftsbehov'!Z6</f>
        <v>1.0774887931615929</v>
      </c>
      <c r="E6" s="3">
        <f>+'2023 Revekting utgiftsbehov'!AA6</f>
        <v>0.79939004925414059</v>
      </c>
      <c r="F6" s="3">
        <f>+'2023 Revekting utgiftsbehov'!AB6</f>
        <v>0.9424851409192746</v>
      </c>
      <c r="G6" s="3">
        <f>+'2023 Revekting utgiftsbehov'!AC6</f>
        <v>0.64870346692722514</v>
      </c>
      <c r="H6" s="3">
        <f>+'2023 Revekting utgiftsbehov'!AD6</f>
        <v>1.0173396804533479</v>
      </c>
      <c r="I6" s="4"/>
      <c r="J6" s="4">
        <f>+C6-'2023 Revekting utgiftsbehov'!I6</f>
        <v>1.0562156426901725E-2</v>
      </c>
      <c r="K6" s="4"/>
    </row>
    <row r="7" spans="1:18" x14ac:dyDescent="0.3">
      <c r="A7" s="41">
        <v>1500</v>
      </c>
      <c r="B7" s="42" t="s">
        <v>140</v>
      </c>
      <c r="C7" s="3">
        <f>+'2023 Nøkkel revektet'!D7*'[2]2023 Nto driftsutg landet'!$C$5/'[2]2023 Nto driftsutg landet'!$C$10+'2023 Nøkkel revektet'!E7*'[2]2023 Nto driftsutg landet'!$C$6/'[2]2023 Nto driftsutg landet'!$C$10+'2023 Nøkkel revektet'!F7*'[2]2023 Nto driftsutg landet'!$C$7/'[2]2023 Nto driftsutg landet'!$C$10+'2023 Nøkkel revektet'!G7*'[2]2023 Nto driftsutg landet'!$C$8/'[2]2023 Nto driftsutg landet'!$C$10+'2023 Nøkkel revektet'!H7*'[2]2023 Nto driftsutg landet'!$C$9/'[2]2023 Nto driftsutg landet'!$C$10</f>
        <v>1.3045927065292799</v>
      </c>
      <c r="D7" s="3">
        <f>+'2023 Revekting utgiftsbehov'!Z7</f>
        <v>1.0989358133062832</v>
      </c>
      <c r="E7" s="3">
        <f>+'2023 Revekting utgiftsbehov'!AA7</f>
        <v>1.5552146008066416</v>
      </c>
      <c r="F7" s="3">
        <f>+'2023 Revekting utgiftsbehov'!AB7</f>
        <v>1.0728168111973642</v>
      </c>
      <c r="G7" s="3">
        <f>+'2023 Revekting utgiftsbehov'!AC7</f>
        <v>3.6508681383265915</v>
      </c>
      <c r="H7" s="3">
        <f>+'2023 Revekting utgiftsbehov'!AD7</f>
        <v>1.0804828658338601</v>
      </c>
      <c r="I7" s="4"/>
      <c r="J7" s="4">
        <f>+C7-'2023 Revekting utgiftsbehov'!I7</f>
        <v>-2.2936617831274653E-2</v>
      </c>
      <c r="K7" s="4"/>
    </row>
    <row r="8" spans="1:18" x14ac:dyDescent="0.3">
      <c r="A8" s="41">
        <v>1800</v>
      </c>
      <c r="B8" s="42" t="s">
        <v>141</v>
      </c>
      <c r="C8" s="3">
        <f>+'2023 Nøkkel revektet'!D8*'[2]2023 Nto driftsutg landet'!$C$5/'[2]2023 Nto driftsutg landet'!$C$10+'2023 Nøkkel revektet'!E8*'[2]2023 Nto driftsutg landet'!$C$6/'[2]2023 Nto driftsutg landet'!$C$10+'2023 Nøkkel revektet'!F8*'[2]2023 Nto driftsutg landet'!$C$7/'[2]2023 Nto driftsutg landet'!$C$10+'2023 Nøkkel revektet'!G8*'[2]2023 Nto driftsutg landet'!$C$8/'[2]2023 Nto driftsutg landet'!$C$10+'2023 Nøkkel revektet'!H8*'[2]2023 Nto driftsutg landet'!$C$9/'[2]2023 Nto driftsutg landet'!$C$10</f>
        <v>1.510528437596222</v>
      </c>
      <c r="D8" s="3">
        <f>+'2023 Revekting utgiftsbehov'!Z8</f>
        <v>1.0853378047755211</v>
      </c>
      <c r="E8" s="3">
        <f>+'2023 Revekting utgiftsbehov'!AA8</f>
        <v>1.9381931214813777</v>
      </c>
      <c r="F8" s="3">
        <f>+'2023 Revekting utgiftsbehov'!AB8</f>
        <v>1.3547771165025086</v>
      </c>
      <c r="G8" s="3">
        <f>+'2023 Revekting utgiftsbehov'!AC8</f>
        <v>5.2548770101082702</v>
      </c>
      <c r="H8" s="3">
        <f>+'2023 Revekting utgiftsbehov'!AD8</f>
        <v>1.1605514881983592</v>
      </c>
      <c r="I8" s="4"/>
      <c r="J8" s="4">
        <f>+C8-'2023 Revekting utgiftsbehov'!I8</f>
        <v>-3.4320330828436996E-2</v>
      </c>
      <c r="K8" s="4"/>
    </row>
    <row r="9" spans="1:18" x14ac:dyDescent="0.3">
      <c r="A9" s="41">
        <v>3000</v>
      </c>
      <c r="B9" s="42" t="s">
        <v>403</v>
      </c>
      <c r="C9" s="3">
        <f>+'2023 Nøkkel revektet'!D9*'[2]2023 Nto driftsutg landet'!$C$5/'[2]2023 Nto driftsutg landet'!$C$10+'2023 Nøkkel revektet'!E9*'[2]2023 Nto driftsutg landet'!$C$6/'[2]2023 Nto driftsutg landet'!$C$10+'2023 Nøkkel revektet'!F9*'[2]2023 Nto driftsutg landet'!$C$7/'[2]2023 Nto driftsutg landet'!$C$10+'2023 Nøkkel revektet'!G9*'[2]2023 Nto driftsutg landet'!$C$8/'[2]2023 Nto driftsutg landet'!$C$10+'2023 Nøkkel revektet'!H9*'[2]2023 Nto driftsutg landet'!$C$9/'[2]2023 Nto driftsutg landet'!$C$10</f>
        <v>0.81442369332390108</v>
      </c>
      <c r="D9" s="3">
        <f>+'2023 Revekting utgiftsbehov'!Z9</f>
        <v>1.0109508011160717</v>
      </c>
      <c r="E9" s="3">
        <f>+'2023 Revekting utgiftsbehov'!AA9</f>
        <v>0.60627924197881555</v>
      </c>
      <c r="F9" s="3">
        <f>+'2023 Revekting utgiftsbehov'!AB9</f>
        <v>0.65317532338165341</v>
      </c>
      <c r="G9" s="3">
        <f>+'2023 Revekting utgiftsbehov'!AC9</f>
        <v>2.6179811137927333E-2</v>
      </c>
      <c r="H9" s="3">
        <f>+'2023 Revekting utgiftsbehov'!AD9</f>
        <v>0.96460045526742033</v>
      </c>
      <c r="I9" s="4"/>
      <c r="J9" s="4">
        <f>+C9-'2023 Revekting utgiftsbehov'!I9</f>
        <v>1.0592254171330695E-2</v>
      </c>
      <c r="K9" s="4"/>
    </row>
    <row r="10" spans="1:18" x14ac:dyDescent="0.3">
      <c r="A10" s="41">
        <v>3400</v>
      </c>
      <c r="B10" s="42" t="s">
        <v>404</v>
      </c>
      <c r="C10" s="3">
        <f>+'2023 Nøkkel revektet'!D10*'[2]2023 Nto driftsutg landet'!$C$5/'[2]2023 Nto driftsutg landet'!$C$10+'2023 Nøkkel revektet'!E10*'[2]2023 Nto driftsutg landet'!$C$6/'[2]2023 Nto driftsutg landet'!$C$10+'2023 Nøkkel revektet'!F10*'[2]2023 Nto driftsutg landet'!$C$7/'[2]2023 Nto driftsutg landet'!$C$10+'2023 Nøkkel revektet'!G10*'[2]2023 Nto driftsutg landet'!$C$8/'[2]2023 Nto driftsutg landet'!$C$10+'2023 Nøkkel revektet'!H10*'[2]2023 Nto driftsutg landet'!$C$9/'[2]2023 Nto driftsutg landet'!$C$10</f>
        <v>1.016778243301659</v>
      </c>
      <c r="D10" s="3">
        <f>+'2023 Revekting utgiftsbehov'!Z10</f>
        <v>1.0062398373243804</v>
      </c>
      <c r="E10" s="3">
        <f>+'2023 Revekting utgiftsbehov'!AA10</f>
        <v>1.5174599383336682</v>
      </c>
      <c r="F10" s="3">
        <f>+'2023 Revekting utgiftsbehov'!AB10</f>
        <v>0.94309915694030932</v>
      </c>
      <c r="G10" s="3">
        <f>+'2023 Revekting utgiftsbehov'!AC10</f>
        <v>5.9463031673505529E-2</v>
      </c>
      <c r="H10" s="3">
        <f>+'2023 Revekting utgiftsbehov'!AD10</f>
        <v>1.0216409626046192</v>
      </c>
      <c r="I10" s="4"/>
      <c r="J10" s="4">
        <f>+C10-'2023 Revekting utgiftsbehov'!I10</f>
        <v>-2.9546123813658509E-2</v>
      </c>
      <c r="K10" s="4"/>
    </row>
    <row r="11" spans="1:18" x14ac:dyDescent="0.3">
      <c r="A11" s="41">
        <v>3800</v>
      </c>
      <c r="B11" s="42" t="s">
        <v>405</v>
      </c>
      <c r="C11" s="3">
        <f>+'2023 Nøkkel revektet'!D11*'[2]2023 Nto driftsutg landet'!$C$5/'[2]2023 Nto driftsutg landet'!$C$10+'2023 Nøkkel revektet'!E11*'[2]2023 Nto driftsutg landet'!$C$6/'[2]2023 Nto driftsutg landet'!$C$10+'2023 Nøkkel revektet'!F11*'[2]2023 Nto driftsutg landet'!$C$7/'[2]2023 Nto driftsutg landet'!$C$10+'2023 Nøkkel revektet'!G11*'[2]2023 Nto driftsutg landet'!$C$8/'[2]2023 Nto driftsutg landet'!$C$10+'2023 Nøkkel revektet'!H11*'[2]2023 Nto driftsutg landet'!$C$9/'[2]2023 Nto driftsutg landet'!$C$10</f>
        <v>0.87178853031563441</v>
      </c>
      <c r="D11" s="3">
        <f>+'2023 Revekting utgiftsbehov'!Z11</f>
        <v>1.0246976591874704</v>
      </c>
      <c r="E11" s="3">
        <f>+'2023 Revekting utgiftsbehov'!AA11</f>
        <v>0.87778384106275287</v>
      </c>
      <c r="F11" s="3">
        <f>+'2023 Revekting utgiftsbehov'!AB11</f>
        <v>0.66753460722060465</v>
      </c>
      <c r="G11" s="3">
        <f>+'2023 Revekting utgiftsbehov'!AC11</f>
        <v>0.13457432220097476</v>
      </c>
      <c r="H11" s="3">
        <f>+'2023 Revekting utgiftsbehov'!AD11</f>
        <v>0.96530680839609195</v>
      </c>
      <c r="I11" s="4"/>
      <c r="J11" s="4">
        <f>+C11-'2023 Revekting utgiftsbehov'!I11</f>
        <v>-2.9666006162155645E-3</v>
      </c>
      <c r="K11" s="4"/>
    </row>
    <row r="12" spans="1:18" x14ac:dyDescent="0.3">
      <c r="A12" s="41">
        <v>4200</v>
      </c>
      <c r="B12" s="42" t="s">
        <v>406</v>
      </c>
      <c r="C12" s="3">
        <f>+'2023 Nøkkel revektet'!D12*'[2]2023 Nto driftsutg landet'!$C$5/'[2]2023 Nto driftsutg landet'!$C$10+'2023 Nøkkel revektet'!E12*'[2]2023 Nto driftsutg landet'!$C$6/'[2]2023 Nto driftsutg landet'!$C$10+'2023 Nøkkel revektet'!F12*'[2]2023 Nto driftsutg landet'!$C$7/'[2]2023 Nto driftsutg landet'!$C$10+'2023 Nøkkel revektet'!G12*'[2]2023 Nto driftsutg landet'!$C$8/'[2]2023 Nto driftsutg landet'!$C$10+'2023 Nøkkel revektet'!H12*'[2]2023 Nto driftsutg landet'!$C$9/'[2]2023 Nto driftsutg landet'!$C$10</f>
        <v>0.98279680103756795</v>
      </c>
      <c r="D12" s="3">
        <f>+'2023 Revekting utgiftsbehov'!Z12</f>
        <v>1.084268975153569</v>
      </c>
      <c r="E12" s="3">
        <f>+'2023 Revekting utgiftsbehov'!AA12</f>
        <v>1.2211575516772717</v>
      </c>
      <c r="F12" s="3">
        <f>+'2023 Revekting utgiftsbehov'!AB12</f>
        <v>0.78004641987215195</v>
      </c>
      <c r="G12" s="3">
        <f>+'2023 Revekting utgiftsbehov'!AC12</f>
        <v>0.1328769183331836</v>
      </c>
      <c r="H12" s="3">
        <f>+'2023 Revekting utgiftsbehov'!AD12</f>
        <v>1.0388028742608666</v>
      </c>
      <c r="I12" s="4"/>
      <c r="J12" s="4">
        <f>+C12-'2023 Revekting utgiftsbehov'!I12</f>
        <v>-1.6547925868683699E-2</v>
      </c>
      <c r="K12" s="4"/>
    </row>
    <row r="13" spans="1:18" x14ac:dyDescent="0.3">
      <c r="A13" s="41">
        <v>4600</v>
      </c>
      <c r="B13" s="42" t="s">
        <v>407</v>
      </c>
      <c r="C13" s="3">
        <f>+'2023 Nøkkel revektet'!D13*'[2]2023 Nto driftsutg landet'!$C$5/'[2]2023 Nto driftsutg landet'!$C$10+'2023 Nøkkel revektet'!E13*'[2]2023 Nto driftsutg landet'!$C$6/'[2]2023 Nto driftsutg landet'!$C$10+'2023 Nøkkel revektet'!F13*'[2]2023 Nto driftsutg landet'!$C$7/'[2]2023 Nto driftsutg landet'!$C$10+'2023 Nøkkel revektet'!G13*'[2]2023 Nto driftsutg landet'!$C$8/'[2]2023 Nto driftsutg landet'!$C$10+'2023 Nøkkel revektet'!H13*'[2]2023 Nto driftsutg landet'!$C$9/'[2]2023 Nto driftsutg landet'!$C$10</f>
        <v>1.160622898698578</v>
      </c>
      <c r="D13" s="3">
        <f>+'2023 Revekting utgiftsbehov'!Z13</f>
        <v>1.048859894414335</v>
      </c>
      <c r="E13" s="3">
        <f>+'2023 Revekting utgiftsbehov'!AA13</f>
        <v>1.2994326055707779</v>
      </c>
      <c r="F13" s="3">
        <f>+'2023 Revekting utgiftsbehov'!AB13</f>
        <v>1.0646807692486568</v>
      </c>
      <c r="G13" s="3">
        <f>+'2023 Revekting utgiftsbehov'!AC13</f>
        <v>2.300543280463788</v>
      </c>
      <c r="H13" s="3">
        <f>+'2023 Revekting utgiftsbehov'!AD13</f>
        <v>1.0530401240046849</v>
      </c>
      <c r="I13" s="4"/>
      <c r="J13" s="4">
        <f>+C13-'2023 Revekting utgiftsbehov'!I13</f>
        <v>-1.1850546285783414E-2</v>
      </c>
      <c r="K13" s="4"/>
    </row>
    <row r="14" spans="1:18" x14ac:dyDescent="0.3">
      <c r="A14" s="41">
        <v>5000</v>
      </c>
      <c r="B14" s="42" t="s">
        <v>388</v>
      </c>
      <c r="C14" s="3">
        <f>+'2023 Nøkkel revektet'!D14*'[2]2023 Nto driftsutg landet'!$C$5/'[2]2023 Nto driftsutg landet'!$C$10+'2023 Nøkkel revektet'!E14*'[2]2023 Nto driftsutg landet'!$C$6/'[2]2023 Nto driftsutg landet'!$C$10+'2023 Nøkkel revektet'!F14*'[2]2023 Nto driftsutg landet'!$C$7/'[2]2023 Nto driftsutg landet'!$C$10+'2023 Nøkkel revektet'!G14*'[2]2023 Nto driftsutg landet'!$C$8/'[2]2023 Nto driftsutg landet'!$C$10+'2023 Nøkkel revektet'!H14*'[2]2023 Nto driftsutg landet'!$C$9/'[2]2023 Nto driftsutg landet'!$C$10</f>
        <v>1.0755171932849834</v>
      </c>
      <c r="D14" s="3">
        <f>+'2023 Revekting utgiftsbehov'!Z14</f>
        <v>1.0195042229505571</v>
      </c>
      <c r="E14" s="3">
        <f>+'2023 Revekting utgiftsbehov'!AA14</f>
        <v>1.2666523308794941</v>
      </c>
      <c r="F14" s="3">
        <f>+'2023 Revekting utgiftsbehov'!AB14</f>
        <v>1.0917317827078288</v>
      </c>
      <c r="G14" s="3">
        <f>+'2023 Revekting utgiftsbehov'!AC14</f>
        <v>1.0558842371923283</v>
      </c>
      <c r="H14" s="3">
        <f>+'2023 Revekting utgiftsbehov'!AD14</f>
        <v>1.0416844885673895</v>
      </c>
      <c r="I14" s="4"/>
      <c r="J14" s="4">
        <f>+C14-'2023 Revekting utgiftsbehov'!I14</f>
        <v>-1.1006325561265795E-2</v>
      </c>
      <c r="K14" s="4"/>
    </row>
    <row r="15" spans="1:18" x14ac:dyDescent="0.3">
      <c r="A15" s="41">
        <v>5400</v>
      </c>
      <c r="B15" s="42" t="s">
        <v>408</v>
      </c>
      <c r="C15" s="3">
        <f>+'2023 Nøkkel revektet'!D15*'[2]2023 Nto driftsutg landet'!$C$5/'[2]2023 Nto driftsutg landet'!$C$10+'2023 Nøkkel revektet'!E15*'[2]2023 Nto driftsutg landet'!$C$6/'[2]2023 Nto driftsutg landet'!$C$10+'2023 Nøkkel revektet'!F15*'[2]2023 Nto driftsutg landet'!$C$7/'[2]2023 Nto driftsutg landet'!$C$10+'2023 Nøkkel revektet'!G15*'[2]2023 Nto driftsutg landet'!$C$8/'[2]2023 Nto driftsutg landet'!$C$10+'2023 Nøkkel revektet'!H15*'[2]2023 Nto driftsutg landet'!$C$9/'[2]2023 Nto driftsutg landet'!$C$10</f>
        <v>1.4930396759202456</v>
      </c>
      <c r="D15" s="3">
        <f>+'2023 Revekting utgiftsbehov'!Z15</f>
        <v>1.1042840912589909</v>
      </c>
      <c r="E15" s="3">
        <f>+'2023 Revekting utgiftsbehov'!AA15</f>
        <v>2.0698277004132728</v>
      </c>
      <c r="F15" s="3">
        <f>+'2023 Revekting utgiftsbehov'!AB15</f>
        <v>1.6506558229265536</v>
      </c>
      <c r="G15" s="3">
        <f>+'2023 Revekting utgiftsbehov'!AC15</f>
        <v>3.2174219622421876</v>
      </c>
      <c r="H15" s="3">
        <f>+'2023 Revekting utgiftsbehov'!AD15</f>
        <v>1.2198806295668334</v>
      </c>
      <c r="I15" s="4"/>
      <c r="J15" s="4">
        <f>+C15-'2023 Revekting utgiftsbehov'!I15</f>
        <v>-3.4072118165197285E-2</v>
      </c>
      <c r="K15" s="4"/>
    </row>
    <row r="16" spans="1:18" x14ac:dyDescent="0.3">
      <c r="C16" s="4"/>
      <c r="D16" s="4"/>
      <c r="E16" s="4"/>
      <c r="F16" s="4"/>
      <c r="G16" s="4"/>
      <c r="H16" s="4"/>
    </row>
    <row r="17" spans="2:8" x14ac:dyDescent="0.3">
      <c r="B17" s="1" t="s">
        <v>3</v>
      </c>
      <c r="C17" s="3"/>
      <c r="D17" s="3">
        <v>1</v>
      </c>
      <c r="E17" s="3">
        <v>1</v>
      </c>
      <c r="F17" s="3">
        <v>1</v>
      </c>
      <c r="G17" s="3">
        <v>1</v>
      </c>
      <c r="H17" s="3">
        <v>1</v>
      </c>
    </row>
  </sheetData>
  <sheetProtection algorithmName="SHA-512" hashValue="686MMgKNpR7L7CN29LWVvRQpH899cfaDymxzVVITtwgcG3SmpRmN5DkqXR10iULBLnuvKFnOuOtVKQA6JCvoNQ==" saltValue="kDrlpAxIAKlJ40uBhbWz9A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3:B26"/>
  <sheetViews>
    <sheetView workbookViewId="0">
      <selection activeCell="B27" sqref="B27"/>
    </sheetView>
  </sheetViews>
  <sheetFormatPr baseColWidth="10" defaultRowHeight="14.4" x14ac:dyDescent="0.3"/>
  <sheetData>
    <row r="3" spans="1:2" x14ac:dyDescent="0.3">
      <c r="A3" s="41">
        <v>100</v>
      </c>
      <c r="B3" s="42" t="s">
        <v>390</v>
      </c>
    </row>
    <row r="4" spans="1:2" x14ac:dyDescent="0.3">
      <c r="A4" s="41">
        <v>200</v>
      </c>
      <c r="B4" s="42" t="s">
        <v>391</v>
      </c>
    </row>
    <row r="5" spans="1:2" x14ac:dyDescent="0.3">
      <c r="A5" s="41">
        <v>300</v>
      </c>
      <c r="B5" s="42" t="s">
        <v>0</v>
      </c>
    </row>
    <row r="6" spans="1:2" x14ac:dyDescent="0.3">
      <c r="A6" s="41">
        <v>400</v>
      </c>
      <c r="B6" s="42" t="s">
        <v>392</v>
      </c>
    </row>
    <row r="7" spans="1:2" x14ac:dyDescent="0.3">
      <c r="A7" s="41">
        <v>500</v>
      </c>
      <c r="B7" s="42" t="s">
        <v>393</v>
      </c>
    </row>
    <row r="8" spans="1:2" x14ac:dyDescent="0.3">
      <c r="A8" s="41">
        <v>600</v>
      </c>
      <c r="B8" s="42" t="s">
        <v>394</v>
      </c>
    </row>
    <row r="9" spans="1:2" x14ac:dyDescent="0.3">
      <c r="A9" s="41">
        <v>700</v>
      </c>
      <c r="B9" s="42" t="s">
        <v>395</v>
      </c>
    </row>
    <row r="10" spans="1:2" x14ac:dyDescent="0.3">
      <c r="A10" s="41">
        <v>800</v>
      </c>
      <c r="B10" s="42" t="s">
        <v>396</v>
      </c>
    </row>
    <row r="11" spans="1:2" x14ac:dyDescent="0.3">
      <c r="A11" s="41">
        <v>900</v>
      </c>
      <c r="B11" s="42" t="s">
        <v>397</v>
      </c>
    </row>
    <row r="12" spans="1:2" x14ac:dyDescent="0.3">
      <c r="A12" s="41">
        <v>1000</v>
      </c>
      <c r="B12" s="42" t="s">
        <v>398</v>
      </c>
    </row>
    <row r="13" spans="1:2" x14ac:dyDescent="0.3">
      <c r="A13" s="41">
        <v>1100</v>
      </c>
      <c r="B13" s="42" t="s">
        <v>139</v>
      </c>
    </row>
    <row r="14" spans="1:2" x14ac:dyDescent="0.3">
      <c r="A14" s="41">
        <v>1200</v>
      </c>
      <c r="B14" s="42" t="s">
        <v>399</v>
      </c>
    </row>
    <row r="15" spans="1:2" x14ac:dyDescent="0.3">
      <c r="A15" s="41">
        <v>1400</v>
      </c>
      <c r="B15" s="42" t="s">
        <v>400</v>
      </c>
    </row>
    <row r="16" spans="1:2" x14ac:dyDescent="0.3">
      <c r="A16" s="41">
        <v>1500</v>
      </c>
      <c r="B16" s="42" t="s">
        <v>140</v>
      </c>
    </row>
    <row r="17" spans="1:2" x14ac:dyDescent="0.3">
      <c r="A17" s="41">
        <v>1800</v>
      </c>
      <c r="B17" s="42" t="s">
        <v>141</v>
      </c>
    </row>
    <row r="18" spans="1:2" x14ac:dyDescent="0.3">
      <c r="A18" s="41">
        <v>1900</v>
      </c>
      <c r="B18" s="42" t="s">
        <v>401</v>
      </c>
    </row>
    <row r="19" spans="1:2" x14ac:dyDescent="0.3">
      <c r="A19" s="41">
        <v>2000</v>
      </c>
      <c r="B19" s="42" t="s">
        <v>402</v>
      </c>
    </row>
    <row r="20" spans="1:2" x14ac:dyDescent="0.3">
      <c r="A20" s="41">
        <v>3000</v>
      </c>
      <c r="B20" s="42" t="s">
        <v>403</v>
      </c>
    </row>
    <row r="21" spans="1:2" x14ac:dyDescent="0.3">
      <c r="A21" s="41">
        <v>3400</v>
      </c>
      <c r="B21" s="42" t="s">
        <v>404</v>
      </c>
    </row>
    <row r="22" spans="1:2" x14ac:dyDescent="0.3">
      <c r="A22" s="41">
        <v>3800</v>
      </c>
      <c r="B22" s="42" t="s">
        <v>414</v>
      </c>
    </row>
    <row r="23" spans="1:2" x14ac:dyDescent="0.3">
      <c r="A23" s="41">
        <v>4200</v>
      </c>
      <c r="B23" s="42" t="s">
        <v>406</v>
      </c>
    </row>
    <row r="24" spans="1:2" x14ac:dyDescent="0.3">
      <c r="A24" s="41">
        <v>4600</v>
      </c>
      <c r="B24" s="42" t="s">
        <v>407</v>
      </c>
    </row>
    <row r="25" spans="1:2" x14ac:dyDescent="0.3">
      <c r="A25" s="41">
        <v>5000</v>
      </c>
      <c r="B25" s="42" t="s">
        <v>388</v>
      </c>
    </row>
    <row r="26" spans="1:2" x14ac:dyDescent="0.3">
      <c r="A26" s="41">
        <v>5400</v>
      </c>
      <c r="B26" s="42" t="s">
        <v>408</v>
      </c>
    </row>
  </sheetData>
  <sheetProtection sheet="1" objects="1" scenarios="1"/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D31B-4C98-48D9-885F-1123BD35AE5E}">
  <sheetPr>
    <tabColor rgb="FF92D050"/>
  </sheetPr>
  <dimension ref="A1:AA38"/>
  <sheetViews>
    <sheetView zoomScale="90" zoomScaleNormal="90" workbookViewId="0">
      <pane xSplit="2" ySplit="3" topLeftCell="F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7.109375" customWidth="1"/>
    <col min="22" max="23" width="13.109375" customWidth="1"/>
    <col min="24" max="24" width="4.5546875" customWidth="1"/>
    <col min="26" max="26" width="14" customWidth="1"/>
    <col min="27" max="27" width="14.109375" customWidth="1"/>
  </cols>
  <sheetData>
    <row r="1" spans="1:27" x14ac:dyDescent="0.3">
      <c r="D1" s="5"/>
      <c r="E1" s="5"/>
      <c r="F1" s="5"/>
      <c r="G1" s="5"/>
      <c r="H1" s="5"/>
      <c r="J1" s="5"/>
      <c r="K1" s="5"/>
      <c r="L1" s="5"/>
      <c r="M1" s="5"/>
    </row>
    <row r="2" spans="1:27" ht="104.25" customHeight="1" x14ac:dyDescent="0.3">
      <c r="A2" s="22" t="s">
        <v>2</v>
      </c>
      <c r="B2" s="22" t="s">
        <v>1</v>
      </c>
      <c r="C2" s="22" t="s">
        <v>20</v>
      </c>
      <c r="D2" s="22" t="s">
        <v>142</v>
      </c>
      <c r="E2" s="22" t="s">
        <v>143</v>
      </c>
      <c r="F2" s="22" t="s">
        <v>283</v>
      </c>
      <c r="G2" s="22" t="s">
        <v>284</v>
      </c>
      <c r="H2" s="22" t="s">
        <v>144</v>
      </c>
      <c r="I2" s="11" t="s">
        <v>28</v>
      </c>
      <c r="J2" s="22" t="s">
        <v>145</v>
      </c>
      <c r="K2" s="22" t="s">
        <v>146</v>
      </c>
      <c r="L2" s="22" t="s">
        <v>147</v>
      </c>
      <c r="M2" s="22" t="s">
        <v>148</v>
      </c>
      <c r="N2" s="22" t="s">
        <v>149</v>
      </c>
      <c r="O2" s="22" t="s">
        <v>150</v>
      </c>
      <c r="P2" s="22" t="s">
        <v>151</v>
      </c>
      <c r="Q2" s="22" t="s">
        <v>152</v>
      </c>
      <c r="R2" s="22" t="s">
        <v>6</v>
      </c>
      <c r="S2" s="22" t="s">
        <v>18</v>
      </c>
      <c r="T2" s="22" t="s">
        <v>19</v>
      </c>
      <c r="U2" s="22"/>
      <c r="V2" s="22" t="s">
        <v>409</v>
      </c>
      <c r="W2" s="22" t="s">
        <v>410</v>
      </c>
      <c r="X2" s="22"/>
      <c r="Y2" s="22"/>
      <c r="Z2" s="22"/>
      <c r="AA2" s="22"/>
    </row>
    <row r="3" spans="1:27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>+G3+1</f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/>
      <c r="AA3" s="107"/>
    </row>
    <row r="4" spans="1:27" x14ac:dyDescent="0.3">
      <c r="C4" s="5"/>
      <c r="I4" s="19"/>
    </row>
    <row r="5" spans="1:27" x14ac:dyDescent="0.3">
      <c r="A5" s="41">
        <v>300</v>
      </c>
      <c r="B5" s="42" t="s">
        <v>0</v>
      </c>
      <c r="C5" s="1">
        <f>SUM(D5:I5)+R5+S5+T5</f>
        <v>7089587.9003129108</v>
      </c>
      <c r="D5" s="1">
        <v>3285352</v>
      </c>
      <c r="E5" s="1">
        <v>0</v>
      </c>
      <c r="F5" s="1">
        <v>3179747</v>
      </c>
      <c r="G5" s="1">
        <v>26603</v>
      </c>
      <c r="H5" s="1">
        <v>234679</v>
      </c>
      <c r="I5" s="9">
        <f t="shared" ref="I5:I15" si="1">SUM(J5:Q5)</f>
        <v>56913</v>
      </c>
      <c r="J5" s="1"/>
      <c r="K5" s="1">
        <v>108153</v>
      </c>
      <c r="L5" s="1">
        <v>0</v>
      </c>
      <c r="M5" s="1">
        <v>2526</v>
      </c>
      <c r="N5" s="1">
        <v>-53766</v>
      </c>
      <c r="O5" s="1">
        <v>0</v>
      </c>
      <c r="P5" s="1">
        <v>0</v>
      </c>
      <c r="Q5" s="1"/>
      <c r="R5" s="117">
        <v>-325414.06606233004</v>
      </c>
      <c r="S5" s="117">
        <v>171434.88734342158</v>
      </c>
      <c r="T5" s="117">
        <v>460273.07903181907</v>
      </c>
      <c r="U5" s="1"/>
      <c r="V5" s="1">
        <f>IF(C5&gt;0,W5,0)</f>
        <v>696108</v>
      </c>
      <c r="W5" s="1">
        <v>696108</v>
      </c>
      <c r="Y5" s="5"/>
      <c r="Z5" s="1"/>
      <c r="AA5" s="1"/>
    </row>
    <row r="6" spans="1:27" x14ac:dyDescent="0.3">
      <c r="A6" s="41">
        <v>1100</v>
      </c>
      <c r="B6" s="42" t="s">
        <v>139</v>
      </c>
      <c r="C6" s="1">
        <f t="shared" ref="C6:C15" si="2">SUM(D6:I6)+R6+S6+T6</f>
        <v>7496109</v>
      </c>
      <c r="D6" s="1">
        <v>3291530</v>
      </c>
      <c r="E6" s="1">
        <v>987832</v>
      </c>
      <c r="F6" s="1">
        <v>838441</v>
      </c>
      <c r="G6" s="1">
        <v>466365</v>
      </c>
      <c r="H6" s="1">
        <v>266799</v>
      </c>
      <c r="I6" s="9">
        <f t="shared" si="1"/>
        <v>427845</v>
      </c>
      <c r="J6" s="1"/>
      <c r="K6" s="1">
        <v>283872</v>
      </c>
      <c r="L6" s="1">
        <v>73465</v>
      </c>
      <c r="M6" s="1">
        <v>-82802</v>
      </c>
      <c r="N6" s="1">
        <v>153908</v>
      </c>
      <c r="O6" s="1">
        <v>0</v>
      </c>
      <c r="P6" s="1">
        <v>-598</v>
      </c>
      <c r="Q6" s="1"/>
      <c r="R6" s="1">
        <v>-62600</v>
      </c>
      <c r="S6" s="1">
        <v>512526</v>
      </c>
      <c r="T6" s="1">
        <v>767371</v>
      </c>
      <c r="U6" s="1"/>
      <c r="V6" s="1">
        <f t="shared" ref="V6:V15" si="3">IF(C6&gt;0,W6,0)</f>
        <v>484091</v>
      </c>
      <c r="W6" s="1">
        <v>484091</v>
      </c>
      <c r="Z6" s="1"/>
      <c r="AA6" s="1"/>
    </row>
    <row r="7" spans="1:27" x14ac:dyDescent="0.3">
      <c r="A7" s="41">
        <v>1500</v>
      </c>
      <c r="B7" s="42" t="s">
        <v>140</v>
      </c>
      <c r="C7" s="1">
        <f t="shared" si="2"/>
        <v>5539983</v>
      </c>
      <c r="D7" s="1">
        <v>1872417</v>
      </c>
      <c r="E7" s="1">
        <v>985774</v>
      </c>
      <c r="F7" s="1">
        <v>558473</v>
      </c>
      <c r="G7" s="1">
        <v>804276</v>
      </c>
      <c r="H7" s="1">
        <v>173570</v>
      </c>
      <c r="I7" s="9">
        <f t="shared" si="1"/>
        <v>472880</v>
      </c>
      <c r="J7" s="1"/>
      <c r="K7" s="1">
        <v>215074</v>
      </c>
      <c r="L7" s="1">
        <v>101369</v>
      </c>
      <c r="M7" s="1">
        <v>49967</v>
      </c>
      <c r="N7" s="1">
        <v>105305</v>
      </c>
      <c r="O7" s="1">
        <v>-1139</v>
      </c>
      <c r="P7" s="1">
        <v>2304</v>
      </c>
      <c r="Q7" s="1"/>
      <c r="R7" s="1">
        <v>-65024</v>
      </c>
      <c r="S7" s="1">
        <v>320785</v>
      </c>
      <c r="T7" s="1">
        <v>416832</v>
      </c>
      <c r="U7" s="1"/>
      <c r="V7" s="1">
        <f t="shared" si="3"/>
        <v>265297</v>
      </c>
      <c r="W7" s="1">
        <v>265297</v>
      </c>
      <c r="Z7" s="1"/>
      <c r="AA7" s="1"/>
    </row>
    <row r="8" spans="1:27" x14ac:dyDescent="0.3">
      <c r="A8" s="41">
        <v>1800</v>
      </c>
      <c r="B8" s="42" t="s">
        <v>141</v>
      </c>
      <c r="C8" s="1">
        <f t="shared" si="2"/>
        <v>6187019</v>
      </c>
      <c r="D8" s="1">
        <v>2030435</v>
      </c>
      <c r="E8" s="1">
        <v>959223</v>
      </c>
      <c r="F8" s="1">
        <v>435497</v>
      </c>
      <c r="G8" s="1">
        <v>978525</v>
      </c>
      <c r="H8" s="1">
        <v>203623</v>
      </c>
      <c r="I8" s="9">
        <f t="shared" si="1"/>
        <v>636402</v>
      </c>
      <c r="J8" s="1"/>
      <c r="K8" s="1">
        <v>292812</v>
      </c>
      <c r="L8" s="1">
        <v>97509</v>
      </c>
      <c r="M8" s="1">
        <v>106892</v>
      </c>
      <c r="N8" s="1">
        <v>138798</v>
      </c>
      <c r="O8" s="1">
        <v>0</v>
      </c>
      <c r="P8" s="1">
        <v>391</v>
      </c>
      <c r="Q8" s="1"/>
      <c r="R8" s="1">
        <v>-56604</v>
      </c>
      <c r="S8" s="1">
        <v>272404</v>
      </c>
      <c r="T8" s="1">
        <v>727514</v>
      </c>
      <c r="U8" s="1"/>
      <c r="V8" s="1">
        <f t="shared" si="3"/>
        <v>240496</v>
      </c>
      <c r="W8" s="1">
        <v>240496</v>
      </c>
      <c r="Z8" s="1"/>
      <c r="AA8" s="1"/>
    </row>
    <row r="9" spans="1:27" x14ac:dyDescent="0.3">
      <c r="A9" s="41">
        <v>3000</v>
      </c>
      <c r="B9" s="42" t="s">
        <v>403</v>
      </c>
      <c r="C9" s="1">
        <f t="shared" si="2"/>
        <v>17208123</v>
      </c>
      <c r="D9" s="1">
        <v>8152099</v>
      </c>
      <c r="E9" s="1">
        <v>1850205</v>
      </c>
      <c r="F9" s="1">
        <v>3291460</v>
      </c>
      <c r="G9" s="1">
        <v>10889</v>
      </c>
      <c r="H9" s="1">
        <v>524879</v>
      </c>
      <c r="I9" s="9">
        <f t="shared" si="1"/>
        <v>1737427</v>
      </c>
      <c r="J9" s="1"/>
      <c r="K9" s="1">
        <v>1070936</v>
      </c>
      <c r="L9" s="1">
        <v>169261</v>
      </c>
      <c r="M9" s="1">
        <v>148548</v>
      </c>
      <c r="N9" s="1">
        <v>347178</v>
      </c>
      <c r="O9" s="1">
        <v>0</v>
      </c>
      <c r="P9" s="1">
        <v>1504</v>
      </c>
      <c r="Q9" s="1"/>
      <c r="R9" s="1">
        <v>-157830</v>
      </c>
      <c r="S9" s="1">
        <v>416108</v>
      </c>
      <c r="T9" s="1">
        <v>1382886</v>
      </c>
      <c r="U9" s="1"/>
      <c r="V9" s="1">
        <f t="shared" si="3"/>
        <v>1260731</v>
      </c>
      <c r="W9" s="1">
        <v>1260731</v>
      </c>
      <c r="Z9" s="1"/>
      <c r="AA9" s="1"/>
    </row>
    <row r="10" spans="1:27" x14ac:dyDescent="0.3">
      <c r="A10" s="41">
        <v>3400</v>
      </c>
      <c r="B10" s="42" t="s">
        <v>404</v>
      </c>
      <c r="C10" s="1">
        <f t="shared" si="2"/>
        <v>6052751</v>
      </c>
      <c r="D10" s="1">
        <v>2575065</v>
      </c>
      <c r="E10" s="1">
        <v>1067833</v>
      </c>
      <c r="F10" s="1">
        <v>808729</v>
      </c>
      <c r="G10" s="1">
        <v>11461</v>
      </c>
      <c r="H10" s="1">
        <v>212753</v>
      </c>
      <c r="I10" s="9">
        <f t="shared" si="1"/>
        <v>682188</v>
      </c>
      <c r="J10" s="1"/>
      <c r="K10" s="1">
        <v>368908</v>
      </c>
      <c r="L10" s="1">
        <v>95986</v>
      </c>
      <c r="M10" s="1">
        <v>48438</v>
      </c>
      <c r="N10" s="1">
        <v>168856</v>
      </c>
      <c r="O10" s="1">
        <v>0</v>
      </c>
      <c r="P10" s="1">
        <v>0</v>
      </c>
      <c r="Q10" s="1"/>
      <c r="R10" s="1">
        <v>-39984</v>
      </c>
      <c r="S10" s="1">
        <v>162825</v>
      </c>
      <c r="T10" s="1">
        <v>571881</v>
      </c>
      <c r="U10" s="1"/>
      <c r="V10" s="1">
        <f t="shared" si="3"/>
        <v>370701</v>
      </c>
      <c r="W10" s="1">
        <v>370701</v>
      </c>
      <c r="Z10" s="1"/>
      <c r="AA10" s="1"/>
    </row>
    <row r="11" spans="1:27" x14ac:dyDescent="0.3">
      <c r="A11" s="41">
        <v>3800</v>
      </c>
      <c r="B11" s="42" t="s">
        <v>405</v>
      </c>
      <c r="C11" s="1">
        <f t="shared" si="2"/>
        <v>6048741</v>
      </c>
      <c r="D11" s="1">
        <v>2834380</v>
      </c>
      <c r="E11" s="1">
        <v>883367</v>
      </c>
      <c r="F11" s="1">
        <v>682537</v>
      </c>
      <c r="G11" s="1">
        <v>28001</v>
      </c>
      <c r="H11" s="1">
        <v>209956</v>
      </c>
      <c r="I11" s="9">
        <f t="shared" si="1"/>
        <v>806906</v>
      </c>
      <c r="J11" s="1"/>
      <c r="K11" s="1">
        <v>372660</v>
      </c>
      <c r="L11" s="1">
        <v>130400</v>
      </c>
      <c r="M11" s="1">
        <v>141864</v>
      </c>
      <c r="N11" s="1">
        <v>160076</v>
      </c>
      <c r="O11" s="1">
        <v>-6</v>
      </c>
      <c r="P11" s="1">
        <v>1912</v>
      </c>
      <c r="Q11" s="1"/>
      <c r="R11" s="1">
        <v>-57383</v>
      </c>
      <c r="S11" s="1">
        <v>233300</v>
      </c>
      <c r="T11" s="1">
        <v>427677</v>
      </c>
      <c r="U11" s="1"/>
      <c r="V11" s="1">
        <f t="shared" si="3"/>
        <v>423144</v>
      </c>
      <c r="W11" s="1">
        <v>423144</v>
      </c>
      <c r="Z11" s="1"/>
      <c r="AA11" s="1"/>
    </row>
    <row r="12" spans="1:27" x14ac:dyDescent="0.3">
      <c r="A12" s="41">
        <v>4200</v>
      </c>
      <c r="B12" s="42" t="s">
        <v>406</v>
      </c>
      <c r="C12" s="1">
        <f t="shared" si="2"/>
        <v>4867887</v>
      </c>
      <c r="D12" s="1">
        <v>2346777</v>
      </c>
      <c r="E12" s="1">
        <v>744541</v>
      </c>
      <c r="F12" s="1">
        <v>565978</v>
      </c>
      <c r="G12" s="1">
        <v>42889</v>
      </c>
      <c r="H12" s="1">
        <v>172510</v>
      </c>
      <c r="I12" s="9">
        <f t="shared" si="1"/>
        <v>413433</v>
      </c>
      <c r="J12" s="1"/>
      <c r="K12" s="1">
        <v>264744</v>
      </c>
      <c r="L12" s="1">
        <v>137167</v>
      </c>
      <c r="M12" s="1">
        <v>-117930</v>
      </c>
      <c r="N12" s="1">
        <v>129202</v>
      </c>
      <c r="O12" s="1">
        <v>0</v>
      </c>
      <c r="P12" s="1">
        <v>250</v>
      </c>
      <c r="Q12" s="1"/>
      <c r="R12" s="1">
        <v>-79573</v>
      </c>
      <c r="S12" s="1">
        <v>201617</v>
      </c>
      <c r="T12" s="1">
        <v>459715</v>
      </c>
      <c r="U12" s="1"/>
      <c r="V12" s="1">
        <f t="shared" si="3"/>
        <v>309508</v>
      </c>
      <c r="W12" s="1">
        <v>309508</v>
      </c>
      <c r="Z12" s="1"/>
      <c r="AA12" s="1"/>
    </row>
    <row r="13" spans="1:27" x14ac:dyDescent="0.3">
      <c r="A13" s="41">
        <v>4600</v>
      </c>
      <c r="B13" s="42" t="s">
        <v>407</v>
      </c>
      <c r="C13" s="1">
        <f t="shared" si="2"/>
        <v>12388047</v>
      </c>
      <c r="D13" s="1">
        <v>4003990</v>
      </c>
      <c r="E13" s="1">
        <v>1837305</v>
      </c>
      <c r="F13" s="1">
        <v>1857845</v>
      </c>
      <c r="G13" s="1">
        <v>1088026</v>
      </c>
      <c r="H13" s="1">
        <v>314519</v>
      </c>
      <c r="I13" s="9">
        <f t="shared" si="1"/>
        <v>959166</v>
      </c>
      <c r="J13" s="1"/>
      <c r="K13" s="1">
        <v>582028</v>
      </c>
      <c r="L13" s="1">
        <v>165543</v>
      </c>
      <c r="M13" s="1">
        <v>-85658</v>
      </c>
      <c r="N13" s="1">
        <v>296812</v>
      </c>
      <c r="O13" s="1">
        <v>0</v>
      </c>
      <c r="P13" s="1">
        <v>441</v>
      </c>
      <c r="Q13" s="1"/>
      <c r="R13" s="1">
        <v>55231</v>
      </c>
      <c r="S13" s="1">
        <v>853000</v>
      </c>
      <c r="T13" s="1">
        <v>1418965</v>
      </c>
      <c r="U13" s="1"/>
      <c r="V13" s="1">
        <f t="shared" si="3"/>
        <v>639102</v>
      </c>
      <c r="W13" s="1">
        <v>639102</v>
      </c>
      <c r="Z13" s="1"/>
      <c r="AA13" s="1"/>
    </row>
    <row r="14" spans="1:27" x14ac:dyDescent="0.3">
      <c r="A14" s="41">
        <v>5000</v>
      </c>
      <c r="B14" s="42" t="s">
        <v>388</v>
      </c>
      <c r="C14" s="1">
        <f t="shared" si="2"/>
        <v>8210053</v>
      </c>
      <c r="D14" s="1">
        <v>3322678</v>
      </c>
      <c r="E14" s="1">
        <v>1438768</v>
      </c>
      <c r="F14" s="1">
        <v>965391</v>
      </c>
      <c r="G14" s="1">
        <v>379283</v>
      </c>
      <c r="H14" s="1">
        <v>285201</v>
      </c>
      <c r="I14" s="9">
        <f t="shared" si="1"/>
        <v>842336</v>
      </c>
      <c r="J14" s="1"/>
      <c r="K14" s="1">
        <v>402647</v>
      </c>
      <c r="L14" s="1">
        <v>84286</v>
      </c>
      <c r="M14" s="1">
        <v>99481</v>
      </c>
      <c r="N14" s="1">
        <v>255922</v>
      </c>
      <c r="O14" s="1">
        <v>0</v>
      </c>
      <c r="P14" s="1">
        <v>0</v>
      </c>
      <c r="Q14" s="1"/>
      <c r="R14" s="1">
        <v>-73902</v>
      </c>
      <c r="S14" s="1">
        <v>566393</v>
      </c>
      <c r="T14" s="1">
        <v>483905</v>
      </c>
      <c r="U14" s="1"/>
      <c r="V14" s="1">
        <f t="shared" si="3"/>
        <v>470984</v>
      </c>
      <c r="W14" s="1">
        <v>470984</v>
      </c>
      <c r="Z14" s="1"/>
      <c r="AA14" s="1"/>
    </row>
    <row r="15" spans="1:27" x14ac:dyDescent="0.3">
      <c r="A15" s="41">
        <v>5400</v>
      </c>
      <c r="B15" s="42" t="s">
        <v>408</v>
      </c>
      <c r="C15" s="1">
        <f t="shared" si="2"/>
        <v>6015244</v>
      </c>
      <c r="D15" s="1">
        <v>1945988</v>
      </c>
      <c r="E15" s="1">
        <v>1092152</v>
      </c>
      <c r="F15" s="1">
        <v>741915</v>
      </c>
      <c r="G15" s="1">
        <v>551041</v>
      </c>
      <c r="H15" s="1">
        <v>246791</v>
      </c>
      <c r="I15" s="9">
        <f t="shared" si="1"/>
        <v>615157</v>
      </c>
      <c r="J15" s="1"/>
      <c r="K15" s="1">
        <v>368967</v>
      </c>
      <c r="L15" s="1">
        <v>50389</v>
      </c>
      <c r="M15" s="1">
        <v>44772</v>
      </c>
      <c r="N15" s="1">
        <v>149262</v>
      </c>
      <c r="O15" s="1">
        <v>0</v>
      </c>
      <c r="P15" s="1">
        <v>1767</v>
      </c>
      <c r="Q15" s="1"/>
      <c r="R15" s="1">
        <v>-71497</v>
      </c>
      <c r="S15" s="1">
        <v>248899</v>
      </c>
      <c r="T15" s="1">
        <v>644798</v>
      </c>
      <c r="U15" s="1"/>
      <c r="V15" s="1">
        <f t="shared" si="3"/>
        <v>241663</v>
      </c>
      <c r="W15" s="1">
        <v>241663</v>
      </c>
      <c r="Z15" s="1"/>
      <c r="AA15" s="1"/>
    </row>
    <row r="16" spans="1:27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Z16" s="4"/>
      <c r="AA16" s="4"/>
    </row>
    <row r="17" spans="2:27" x14ac:dyDescent="0.3">
      <c r="B17" s="1" t="s">
        <v>3</v>
      </c>
      <c r="C17" s="1">
        <f t="shared" ref="C17:T17" si="4">SUM(C5:C15)</f>
        <v>87103544.900312915</v>
      </c>
      <c r="D17" s="1">
        <f t="shared" si="4"/>
        <v>35660711</v>
      </c>
      <c r="E17" s="1">
        <f t="shared" si="4"/>
        <v>11847000</v>
      </c>
      <c r="F17" s="1">
        <f t="shared" si="4"/>
        <v>13926013</v>
      </c>
      <c r="G17" s="1">
        <f t="shared" si="4"/>
        <v>4387359</v>
      </c>
      <c r="H17" s="1">
        <f t="shared" si="4"/>
        <v>2845280</v>
      </c>
      <c r="I17" s="9">
        <f t="shared" si="4"/>
        <v>7650653</v>
      </c>
      <c r="J17" s="1">
        <f t="shared" si="4"/>
        <v>0</v>
      </c>
      <c r="K17" s="1">
        <f t="shared" si="4"/>
        <v>4330801</v>
      </c>
      <c r="L17" s="1">
        <f t="shared" si="4"/>
        <v>1105375</v>
      </c>
      <c r="M17" s="1">
        <f t="shared" si="4"/>
        <v>356098</v>
      </c>
      <c r="N17" s="1">
        <f t="shared" si="4"/>
        <v>1851553</v>
      </c>
      <c r="O17" s="1">
        <f t="shared" si="4"/>
        <v>-1145</v>
      </c>
      <c r="P17" s="1">
        <f t="shared" si="4"/>
        <v>7971</v>
      </c>
      <c r="Q17" s="1">
        <f t="shared" si="4"/>
        <v>0</v>
      </c>
      <c r="R17" s="1">
        <f t="shared" si="4"/>
        <v>-934580.06606233004</v>
      </c>
      <c r="S17" s="1">
        <f t="shared" si="4"/>
        <v>3959291.8873434216</v>
      </c>
      <c r="T17" s="1">
        <f t="shared" si="4"/>
        <v>7761817.0790318195</v>
      </c>
      <c r="U17" s="1"/>
      <c r="V17" s="1">
        <f>SUM(V5:V15)</f>
        <v>5401825</v>
      </c>
      <c r="W17" s="1">
        <f>SUM(W5:W15)</f>
        <v>5401825</v>
      </c>
      <c r="Z17" s="1"/>
      <c r="AA17" s="1"/>
    </row>
    <row r="18" spans="2:27" x14ac:dyDescent="0.3">
      <c r="AA18" s="5"/>
    </row>
    <row r="20" spans="2:27" x14ac:dyDescent="0.3">
      <c r="V20" s="5"/>
    </row>
    <row r="21" spans="2:27" x14ac:dyDescent="0.3">
      <c r="V21" s="5"/>
    </row>
    <row r="22" spans="2:27" x14ac:dyDescent="0.3">
      <c r="R22" s="5"/>
      <c r="V22" s="5"/>
      <c r="W22" s="5"/>
    </row>
    <row r="23" spans="2:27" x14ac:dyDescent="0.3">
      <c r="V23" s="5"/>
    </row>
    <row r="24" spans="2:27" x14ac:dyDescent="0.3">
      <c r="V24" s="5"/>
    </row>
    <row r="25" spans="2:27" x14ac:dyDescent="0.3">
      <c r="V25" s="5"/>
    </row>
    <row r="26" spans="2:27" x14ac:dyDescent="0.3">
      <c r="V26" s="5"/>
    </row>
    <row r="27" spans="2:27" x14ac:dyDescent="0.3">
      <c r="V27" s="5"/>
    </row>
    <row r="28" spans="2:27" x14ac:dyDescent="0.3">
      <c r="V28" s="5"/>
    </row>
    <row r="29" spans="2:27" x14ac:dyDescent="0.3">
      <c r="V29" s="5"/>
    </row>
    <row r="30" spans="2:27" x14ac:dyDescent="0.3">
      <c r="V30" s="5"/>
    </row>
    <row r="31" spans="2:27" x14ac:dyDescent="0.3">
      <c r="V31" s="5"/>
    </row>
    <row r="32" spans="2:27" x14ac:dyDescent="0.3">
      <c r="V32" s="5"/>
    </row>
    <row r="33" spans="22:22" x14ac:dyDescent="0.3">
      <c r="V33" s="5"/>
    </row>
    <row r="34" spans="22:22" x14ac:dyDescent="0.3">
      <c r="V34" s="5"/>
    </row>
    <row r="35" spans="22:22" x14ac:dyDescent="0.3">
      <c r="V35" s="5"/>
    </row>
    <row r="36" spans="22:22" x14ac:dyDescent="0.3">
      <c r="V36" s="5"/>
    </row>
    <row r="37" spans="22:22" x14ac:dyDescent="0.3">
      <c r="V37" s="5"/>
    </row>
    <row r="38" spans="22:22" x14ac:dyDescent="0.3">
      <c r="V38" s="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539C-2A22-40B7-B83A-299E76EDAEAC}">
  <sheetPr>
    <tabColor rgb="FF92D050"/>
  </sheetPr>
  <dimension ref="A2:U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109375" customWidth="1"/>
    <col min="10" max="18" width="13.109375" customWidth="1"/>
    <col min="19" max="19" width="6.44140625" customWidth="1"/>
    <col min="20" max="20" width="13.109375" customWidth="1"/>
  </cols>
  <sheetData>
    <row r="2" spans="1:21" ht="104.25" customHeight="1" x14ac:dyDescent="0.3">
      <c r="A2" s="22" t="s">
        <v>2</v>
      </c>
      <c r="B2" s="22" t="s">
        <v>1</v>
      </c>
      <c r="C2" s="22" t="s">
        <v>7</v>
      </c>
      <c r="D2" s="22" t="s">
        <v>153</v>
      </c>
      <c r="E2" s="22" t="s">
        <v>154</v>
      </c>
      <c r="F2" s="22" t="s">
        <v>285</v>
      </c>
      <c r="G2" s="22" t="s">
        <v>286</v>
      </c>
      <c r="H2" s="22" t="s">
        <v>155</v>
      </c>
      <c r="I2" s="11" t="s">
        <v>29</v>
      </c>
      <c r="J2" s="22" t="s">
        <v>156</v>
      </c>
      <c r="K2" s="22" t="s">
        <v>157</v>
      </c>
      <c r="L2" s="22" t="s">
        <v>158</v>
      </c>
      <c r="M2" s="22" t="s">
        <v>159</v>
      </c>
      <c r="N2" s="22" t="s">
        <v>160</v>
      </c>
      <c r="O2" s="22" t="s">
        <v>161</v>
      </c>
      <c r="P2" s="22" t="s">
        <v>162</v>
      </c>
      <c r="Q2" s="22" t="s">
        <v>163</v>
      </c>
      <c r="R2" s="22" t="s">
        <v>8</v>
      </c>
      <c r="S2" s="22"/>
      <c r="T2" s="22"/>
      <c r="U2" s="22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>+F3+1</f>
        <v>7</v>
      </c>
      <c r="H3" s="107">
        <f>+G3+1</f>
        <v>8</v>
      </c>
      <c r="I3" s="10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19"/>
    </row>
    <row r="5" spans="1:21" x14ac:dyDescent="0.3">
      <c r="A5" s="41">
        <v>300</v>
      </c>
      <c r="B5" s="42" t="s">
        <v>0</v>
      </c>
      <c r="C5" s="1">
        <f t="shared" ref="C5:C15" si="1">SUM(D5:I5)+R5</f>
        <v>237506</v>
      </c>
      <c r="D5" s="1">
        <v>228874</v>
      </c>
      <c r="E5" s="1">
        <v>0</v>
      </c>
      <c r="F5" s="1">
        <v>1723</v>
      </c>
      <c r="G5" s="1">
        <v>0</v>
      </c>
      <c r="H5" s="1">
        <v>5026</v>
      </c>
      <c r="I5" s="9">
        <f t="shared" ref="I5:I15" si="2">SUM(J5:Q5)</f>
        <v>1883</v>
      </c>
      <c r="J5" s="1"/>
      <c r="K5" s="1">
        <v>1883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1">
        <v>0</v>
      </c>
      <c r="T5" s="1"/>
      <c r="U5" s="1"/>
    </row>
    <row r="6" spans="1:21" x14ac:dyDescent="0.3">
      <c r="A6" s="41">
        <v>1100</v>
      </c>
      <c r="B6" s="42" t="s">
        <v>139</v>
      </c>
      <c r="C6" s="1">
        <f t="shared" si="1"/>
        <v>610964</v>
      </c>
      <c r="D6" s="1">
        <v>218102</v>
      </c>
      <c r="E6" s="1">
        <v>344789</v>
      </c>
      <c r="F6" s="1">
        <v>0</v>
      </c>
      <c r="G6" s="1">
        <v>0</v>
      </c>
      <c r="H6" s="1">
        <v>17673</v>
      </c>
      <c r="I6" s="9">
        <f t="shared" si="2"/>
        <v>30400</v>
      </c>
      <c r="J6" s="1"/>
      <c r="K6" s="1">
        <v>30364</v>
      </c>
      <c r="L6" s="1">
        <v>36</v>
      </c>
      <c r="M6" s="1">
        <v>0</v>
      </c>
      <c r="N6" s="1">
        <v>0</v>
      </c>
      <c r="O6" s="1">
        <v>0</v>
      </c>
      <c r="P6" s="1">
        <v>0</v>
      </c>
      <c r="Q6" s="1"/>
      <c r="R6" s="1">
        <v>0</v>
      </c>
      <c r="T6" s="1"/>
      <c r="U6" s="1"/>
    </row>
    <row r="7" spans="1:21" x14ac:dyDescent="0.3">
      <c r="A7" s="41">
        <v>1500</v>
      </c>
      <c r="B7" s="42" t="s">
        <v>140</v>
      </c>
      <c r="C7" s="1">
        <f t="shared" si="1"/>
        <v>419168</v>
      </c>
      <c r="D7" s="1">
        <v>118337</v>
      </c>
      <c r="E7" s="1">
        <v>282179</v>
      </c>
      <c r="F7" s="1">
        <v>6210</v>
      </c>
      <c r="G7" s="1">
        <v>772</v>
      </c>
      <c r="H7" s="1">
        <v>7599</v>
      </c>
      <c r="I7" s="9">
        <f t="shared" si="2"/>
        <v>4071</v>
      </c>
      <c r="J7" s="1"/>
      <c r="K7" s="1">
        <v>3401</v>
      </c>
      <c r="L7" s="1">
        <v>0</v>
      </c>
      <c r="M7" s="1">
        <v>65</v>
      </c>
      <c r="N7" s="1">
        <v>605</v>
      </c>
      <c r="O7" s="1">
        <v>0</v>
      </c>
      <c r="P7" s="1">
        <v>0</v>
      </c>
      <c r="Q7" s="1"/>
      <c r="R7" s="1">
        <v>0</v>
      </c>
      <c r="T7" s="1"/>
      <c r="U7" s="1"/>
    </row>
    <row r="8" spans="1:21" x14ac:dyDescent="0.3">
      <c r="A8" s="41">
        <v>1800</v>
      </c>
      <c r="B8" s="42" t="s">
        <v>141</v>
      </c>
      <c r="C8" s="1">
        <f t="shared" si="1"/>
        <v>412724</v>
      </c>
      <c r="D8" s="1">
        <v>162986</v>
      </c>
      <c r="E8" s="1">
        <v>224788</v>
      </c>
      <c r="F8" s="1">
        <v>1311</v>
      </c>
      <c r="G8" s="1">
        <v>1909</v>
      </c>
      <c r="H8" s="1">
        <v>11615</v>
      </c>
      <c r="I8" s="9">
        <f t="shared" si="2"/>
        <v>10115</v>
      </c>
      <c r="J8" s="1"/>
      <c r="K8" s="1">
        <v>4887</v>
      </c>
      <c r="L8" s="1">
        <v>372</v>
      </c>
      <c r="M8" s="1">
        <v>848</v>
      </c>
      <c r="N8" s="1">
        <v>3642</v>
      </c>
      <c r="O8" s="1">
        <v>0</v>
      </c>
      <c r="P8" s="1">
        <v>366</v>
      </c>
      <c r="Q8" s="1"/>
      <c r="R8" s="1">
        <v>0</v>
      </c>
      <c r="T8" s="1"/>
      <c r="U8" s="1"/>
    </row>
    <row r="9" spans="1:21" x14ac:dyDescent="0.3">
      <c r="A9" s="41">
        <v>3000</v>
      </c>
      <c r="B9" s="42" t="s">
        <v>403</v>
      </c>
      <c r="C9" s="1">
        <f t="shared" si="1"/>
        <v>1037697</v>
      </c>
      <c r="D9" s="1">
        <v>479556</v>
      </c>
      <c r="E9" s="1">
        <v>397077</v>
      </c>
      <c r="F9" s="1">
        <v>66413</v>
      </c>
      <c r="G9" s="1">
        <v>0</v>
      </c>
      <c r="H9" s="1">
        <v>32265</v>
      </c>
      <c r="I9" s="9">
        <f t="shared" si="2"/>
        <v>62386</v>
      </c>
      <c r="J9" s="1"/>
      <c r="K9" s="1">
        <v>60090</v>
      </c>
      <c r="L9" s="1">
        <v>268</v>
      </c>
      <c r="M9" s="1">
        <v>0</v>
      </c>
      <c r="N9" s="1">
        <v>2028</v>
      </c>
      <c r="O9" s="1">
        <v>0</v>
      </c>
      <c r="P9" s="1">
        <v>0</v>
      </c>
      <c r="Q9" s="1"/>
      <c r="R9" s="1">
        <v>0</v>
      </c>
      <c r="T9" s="1"/>
      <c r="U9" s="1"/>
    </row>
    <row r="10" spans="1:21" x14ac:dyDescent="0.3">
      <c r="A10" s="41">
        <v>3400</v>
      </c>
      <c r="B10" s="42" t="s">
        <v>404</v>
      </c>
      <c r="C10" s="1">
        <f t="shared" si="1"/>
        <v>393794</v>
      </c>
      <c r="D10" s="1">
        <v>198420</v>
      </c>
      <c r="E10" s="1">
        <v>173296</v>
      </c>
      <c r="F10" s="1">
        <v>4824</v>
      </c>
      <c r="G10" s="1">
        <v>0</v>
      </c>
      <c r="H10" s="1">
        <v>7436</v>
      </c>
      <c r="I10" s="9">
        <f t="shared" si="2"/>
        <v>9818</v>
      </c>
      <c r="J10" s="1"/>
      <c r="K10" s="1">
        <v>8437</v>
      </c>
      <c r="L10" s="1">
        <v>7</v>
      </c>
      <c r="M10" s="1">
        <v>804</v>
      </c>
      <c r="N10" s="1">
        <v>570</v>
      </c>
      <c r="O10" s="1">
        <v>0</v>
      </c>
      <c r="P10" s="1">
        <v>0</v>
      </c>
      <c r="Q10" s="1"/>
      <c r="R10" s="1">
        <v>0</v>
      </c>
      <c r="T10" s="1"/>
      <c r="U10" s="1"/>
    </row>
    <row r="11" spans="1:21" x14ac:dyDescent="0.3">
      <c r="A11" s="41">
        <v>3800</v>
      </c>
      <c r="B11" s="42" t="s">
        <v>405</v>
      </c>
      <c r="C11" s="1">
        <f t="shared" si="1"/>
        <v>344535</v>
      </c>
      <c r="D11" s="1">
        <v>170453</v>
      </c>
      <c r="E11" s="1">
        <v>141687</v>
      </c>
      <c r="F11" s="1">
        <v>1617</v>
      </c>
      <c r="G11" s="1">
        <v>0</v>
      </c>
      <c r="H11" s="1">
        <v>4085</v>
      </c>
      <c r="I11" s="9">
        <f t="shared" si="2"/>
        <v>26693</v>
      </c>
      <c r="J11" s="1"/>
      <c r="K11" s="1">
        <v>17801</v>
      </c>
      <c r="L11" s="1">
        <v>7036</v>
      </c>
      <c r="M11" s="1">
        <v>0</v>
      </c>
      <c r="N11" s="1">
        <v>1856</v>
      </c>
      <c r="O11" s="1">
        <v>0</v>
      </c>
      <c r="P11" s="1">
        <v>0</v>
      </c>
      <c r="Q11" s="1"/>
      <c r="R11" s="1">
        <v>0</v>
      </c>
      <c r="T11" s="1"/>
      <c r="U11" s="1"/>
    </row>
    <row r="12" spans="1:21" x14ac:dyDescent="0.3">
      <c r="A12" s="41">
        <v>4200</v>
      </c>
      <c r="B12" s="42" t="s">
        <v>406</v>
      </c>
      <c r="C12" s="1">
        <f t="shared" si="1"/>
        <v>366709</v>
      </c>
      <c r="D12" s="1">
        <v>158463</v>
      </c>
      <c r="E12" s="1">
        <v>176602</v>
      </c>
      <c r="F12" s="1">
        <v>5056</v>
      </c>
      <c r="G12" s="1">
        <v>0</v>
      </c>
      <c r="H12" s="1">
        <v>7545</v>
      </c>
      <c r="I12" s="9">
        <f t="shared" si="2"/>
        <v>19043</v>
      </c>
      <c r="J12" s="1"/>
      <c r="K12" s="1">
        <v>12397</v>
      </c>
      <c r="L12" s="1">
        <v>1988</v>
      </c>
      <c r="M12" s="1">
        <v>4459</v>
      </c>
      <c r="N12" s="1">
        <v>0</v>
      </c>
      <c r="O12" s="1">
        <v>0</v>
      </c>
      <c r="P12" s="1">
        <v>199</v>
      </c>
      <c r="Q12" s="1"/>
      <c r="R12" s="1">
        <v>0</v>
      </c>
      <c r="T12" s="1"/>
      <c r="U12" s="1"/>
    </row>
    <row r="13" spans="1:21" x14ac:dyDescent="0.3">
      <c r="A13" s="41">
        <v>4600</v>
      </c>
      <c r="B13" s="42" t="s">
        <v>407</v>
      </c>
      <c r="C13" s="1">
        <f t="shared" si="1"/>
        <v>1199461</v>
      </c>
      <c r="D13" s="1">
        <v>299965</v>
      </c>
      <c r="E13" s="1">
        <v>599054</v>
      </c>
      <c r="F13" s="1">
        <v>247660</v>
      </c>
      <c r="G13" s="1">
        <v>1042</v>
      </c>
      <c r="H13" s="1">
        <v>14416</v>
      </c>
      <c r="I13" s="9">
        <f t="shared" si="2"/>
        <v>37324</v>
      </c>
      <c r="J13" s="1"/>
      <c r="K13" s="1">
        <v>34239</v>
      </c>
      <c r="L13" s="1">
        <v>56</v>
      </c>
      <c r="M13" s="1">
        <v>117</v>
      </c>
      <c r="N13" s="1">
        <v>2912</v>
      </c>
      <c r="O13" s="1">
        <v>0</v>
      </c>
      <c r="P13" s="1">
        <v>0</v>
      </c>
      <c r="Q13" s="1"/>
      <c r="R13" s="1">
        <v>0</v>
      </c>
      <c r="T13" s="1"/>
      <c r="U13" s="1"/>
    </row>
    <row r="14" spans="1:21" x14ac:dyDescent="0.3">
      <c r="A14" s="41">
        <v>5000</v>
      </c>
      <c r="B14" s="42" t="s">
        <v>388</v>
      </c>
      <c r="C14" s="1">
        <f t="shared" si="1"/>
        <v>728112</v>
      </c>
      <c r="D14" s="1">
        <v>294362</v>
      </c>
      <c r="E14" s="1">
        <v>403567</v>
      </c>
      <c r="F14" s="1">
        <v>5952</v>
      </c>
      <c r="G14" s="1">
        <v>4052</v>
      </c>
      <c r="H14" s="1">
        <v>7856</v>
      </c>
      <c r="I14" s="9">
        <f t="shared" si="2"/>
        <v>12323</v>
      </c>
      <c r="J14" s="1"/>
      <c r="K14" s="1">
        <v>3899</v>
      </c>
      <c r="L14" s="1">
        <v>0</v>
      </c>
      <c r="M14" s="1">
        <v>7442</v>
      </c>
      <c r="N14" s="1">
        <v>982</v>
      </c>
      <c r="O14" s="1">
        <v>0</v>
      </c>
      <c r="P14" s="1">
        <v>0</v>
      </c>
      <c r="Q14" s="1"/>
      <c r="R14" s="1">
        <v>0</v>
      </c>
      <c r="T14" s="1"/>
      <c r="U14" s="1"/>
    </row>
    <row r="15" spans="1:21" x14ac:dyDescent="0.3">
      <c r="A15" s="41">
        <v>5400</v>
      </c>
      <c r="B15" s="42" t="s">
        <v>408</v>
      </c>
      <c r="C15" s="1">
        <f t="shared" si="1"/>
        <v>362524</v>
      </c>
      <c r="D15" s="1">
        <v>111039</v>
      </c>
      <c r="E15" s="1">
        <v>194452</v>
      </c>
      <c r="F15" s="1">
        <v>9008</v>
      </c>
      <c r="G15" s="1">
        <v>3050</v>
      </c>
      <c r="H15" s="1">
        <v>17081</v>
      </c>
      <c r="I15" s="9">
        <f t="shared" si="2"/>
        <v>27894</v>
      </c>
      <c r="J15" s="1"/>
      <c r="K15" s="1">
        <v>21256</v>
      </c>
      <c r="L15" s="1">
        <v>91</v>
      </c>
      <c r="M15" s="1">
        <v>0</v>
      </c>
      <c r="N15" s="1">
        <v>1216</v>
      </c>
      <c r="O15" s="1">
        <v>0</v>
      </c>
      <c r="P15" s="1">
        <v>5331</v>
      </c>
      <c r="Q15" s="1"/>
      <c r="R15" s="1">
        <v>0</v>
      </c>
      <c r="T15" s="1"/>
      <c r="U15" s="1"/>
    </row>
    <row r="16" spans="1:21" x14ac:dyDescent="0.3"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 t="shared" ref="C17:R17" si="3">SUM(C5:C15)</f>
        <v>6113194</v>
      </c>
      <c r="D17" s="1">
        <f t="shared" si="3"/>
        <v>2440557</v>
      </c>
      <c r="E17" s="1">
        <f t="shared" si="3"/>
        <v>2937491</v>
      </c>
      <c r="F17" s="1">
        <f t="shared" si="3"/>
        <v>349774</v>
      </c>
      <c r="G17" s="1">
        <f t="shared" si="3"/>
        <v>10825</v>
      </c>
      <c r="H17" s="1">
        <f t="shared" si="3"/>
        <v>132597</v>
      </c>
      <c r="I17" s="9">
        <f t="shared" si="3"/>
        <v>241950</v>
      </c>
      <c r="J17" s="1">
        <f t="shared" si="3"/>
        <v>0</v>
      </c>
      <c r="K17" s="1">
        <f t="shared" si="3"/>
        <v>198654</v>
      </c>
      <c r="L17" s="1">
        <f t="shared" si="3"/>
        <v>9854</v>
      </c>
      <c r="M17" s="1">
        <f t="shared" si="3"/>
        <v>13735</v>
      </c>
      <c r="N17" s="1">
        <f t="shared" si="3"/>
        <v>13811</v>
      </c>
      <c r="O17" s="1">
        <f t="shared" si="3"/>
        <v>0</v>
      </c>
      <c r="P17" s="1">
        <f t="shared" si="3"/>
        <v>5896</v>
      </c>
      <c r="Q17" s="1">
        <f t="shared" si="3"/>
        <v>0</v>
      </c>
      <c r="R17" s="1">
        <f t="shared" si="3"/>
        <v>0</v>
      </c>
      <c r="S17" s="1"/>
      <c r="T17" s="1"/>
      <c r="U17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9A40-337A-4CCC-BBC1-EB802C8362DD}">
  <sheetPr>
    <tabColor rgb="FFFFC000"/>
  </sheetPr>
  <dimension ref="A1:W18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5.44140625" customWidth="1"/>
    <col min="22" max="22" width="12.44140625" customWidth="1"/>
  </cols>
  <sheetData>
    <row r="1" spans="1:23" x14ac:dyDescent="0.3">
      <c r="I1" s="5"/>
    </row>
    <row r="2" spans="1:23" ht="104.25" customHeight="1" x14ac:dyDescent="0.3">
      <c r="A2" s="22" t="s">
        <v>2</v>
      </c>
      <c r="B2" s="22" t="s">
        <v>1</v>
      </c>
      <c r="C2" s="22" t="s">
        <v>25</v>
      </c>
      <c r="D2" s="22" t="s">
        <v>164</v>
      </c>
      <c r="E2" s="22" t="s">
        <v>165</v>
      </c>
      <c r="F2" s="22" t="s">
        <v>287</v>
      </c>
      <c r="G2" s="22" t="s">
        <v>288</v>
      </c>
      <c r="H2" s="22" t="s">
        <v>166</v>
      </c>
      <c r="I2" s="11" t="s">
        <v>27</v>
      </c>
      <c r="J2" s="22" t="s">
        <v>386</v>
      </c>
      <c r="K2" s="22" t="s">
        <v>167</v>
      </c>
      <c r="L2" s="22" t="s">
        <v>168</v>
      </c>
      <c r="M2" s="22" t="s">
        <v>14</v>
      </c>
      <c r="N2" s="22" t="s">
        <v>169</v>
      </c>
      <c r="O2" s="22" t="s">
        <v>170</v>
      </c>
      <c r="P2" s="22" t="s">
        <v>15</v>
      </c>
      <c r="Q2" s="22" t="s">
        <v>387</v>
      </c>
      <c r="R2" s="22" t="s">
        <v>13</v>
      </c>
      <c r="S2" s="22" t="s">
        <v>18</v>
      </c>
      <c r="T2" s="22" t="s">
        <v>19</v>
      </c>
      <c r="U2" s="22"/>
      <c r="V2" s="22"/>
      <c r="W2" s="22"/>
    </row>
    <row r="3" spans="1:23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/>
      <c r="W3" s="107"/>
    </row>
    <row r="4" spans="1:23" x14ac:dyDescent="0.3">
      <c r="I4" s="19"/>
    </row>
    <row r="5" spans="1:23" x14ac:dyDescent="0.3">
      <c r="A5" s="41">
        <v>300</v>
      </c>
      <c r="B5" s="42" t="s">
        <v>0</v>
      </c>
      <c r="C5" s="1">
        <f t="shared" ref="C5:C15" si="1">SUM(D5:I5)+R5+S5+T5</f>
        <v>6852081.9003129108</v>
      </c>
      <c r="D5" s="1">
        <f>+'2021 Nto driftsutg'!D5-'2021 Avskrivning'!D5</f>
        <v>3056478</v>
      </c>
      <c r="E5" s="1">
        <f>+'2021 Nto driftsutg'!E5-'2021 Avskrivning'!E5</f>
        <v>0</v>
      </c>
      <c r="F5" s="1">
        <f>+'2021 Nto driftsutg'!F5-'2021 Avskrivning'!F5</f>
        <v>3178024</v>
      </c>
      <c r="G5" s="1">
        <f>+'2021 Nto driftsutg'!G5-'2021 Avskrivning'!G5</f>
        <v>26603</v>
      </c>
      <c r="H5" s="1">
        <f>+'2021 Nto driftsutg'!H5-'2021 Avskrivning'!H5</f>
        <v>229653</v>
      </c>
      <c r="I5" s="9">
        <f t="shared" ref="I5:I15" si="2">SUM(J5:Q5)</f>
        <v>55030</v>
      </c>
      <c r="J5" s="1">
        <f>+'2021 Nto driftsutg'!J5-'2021 Avskrivning'!J5</f>
        <v>0</v>
      </c>
      <c r="K5" s="1">
        <f>+'2021 Nto driftsutg'!K5-'2021 Avskrivning'!K5</f>
        <v>106270</v>
      </c>
      <c r="L5" s="1">
        <f>+'2021 Nto driftsutg'!L5-'2021 Avskrivning'!L5</f>
        <v>0</v>
      </c>
      <c r="M5" s="1">
        <f>+'2021 Nto driftsutg'!M5-'2021 Avskrivning'!M5</f>
        <v>2526</v>
      </c>
      <c r="N5" s="1">
        <f>+'2021 Nto driftsutg'!N5-'2021 Avskrivning'!N5</f>
        <v>-53766</v>
      </c>
      <c r="O5" s="1">
        <f>+'2021 Nto driftsutg'!O5-'2021 Avskrivning'!O5</f>
        <v>0</v>
      </c>
      <c r="P5" s="1">
        <f>+'2021 Nto driftsutg'!P5-'2021 Avskrivning'!P5</f>
        <v>0</v>
      </c>
      <c r="Q5" s="1">
        <f>+'2021 Nto driftsutg'!Q5-'2021 Avskrivning'!Q5</f>
        <v>0</v>
      </c>
      <c r="R5" s="1">
        <f>+'2021 Nto driftsutg'!R5-'2021 Avskrivning'!R5</f>
        <v>-325414.06606233004</v>
      </c>
      <c r="S5" s="1">
        <f>+'2021 Nto driftsutg'!S5</f>
        <v>171434.88734342158</v>
      </c>
      <c r="T5" s="1">
        <f>+'2021 Nto driftsutg'!T5</f>
        <v>460273.07903181907</v>
      </c>
      <c r="V5" s="1"/>
      <c r="W5" s="1"/>
    </row>
    <row r="6" spans="1:23" x14ac:dyDescent="0.3">
      <c r="A6" s="41">
        <v>1100</v>
      </c>
      <c r="B6" s="42" t="s">
        <v>139</v>
      </c>
      <c r="C6" s="1">
        <f t="shared" si="1"/>
        <v>6885145</v>
      </c>
      <c r="D6" s="1">
        <f>+'2021 Nto driftsutg'!D6-'2021 Avskrivning'!D6</f>
        <v>3073428</v>
      </c>
      <c r="E6" s="1">
        <f>+'2021 Nto driftsutg'!E6-'2021 Avskrivning'!E6</f>
        <v>643043</v>
      </c>
      <c r="F6" s="1">
        <f>+'2021 Nto driftsutg'!F6-'2021 Avskrivning'!F6</f>
        <v>838441</v>
      </c>
      <c r="G6" s="1">
        <f>+'2021 Nto driftsutg'!G6-'2021 Avskrivning'!G6</f>
        <v>466365</v>
      </c>
      <c r="H6" s="1">
        <f>+'2021 Nto driftsutg'!H6-'2021 Avskrivning'!H6</f>
        <v>249126</v>
      </c>
      <c r="I6" s="9">
        <f t="shared" si="2"/>
        <v>397445</v>
      </c>
      <c r="J6" s="1">
        <f>+'2021 Nto driftsutg'!J6-'2021 Avskrivning'!J6</f>
        <v>0</v>
      </c>
      <c r="K6" s="1">
        <f>+'2021 Nto driftsutg'!K6-'2021 Avskrivning'!K6</f>
        <v>253508</v>
      </c>
      <c r="L6" s="1">
        <f>+'2021 Nto driftsutg'!L6-'2021 Avskrivning'!L6</f>
        <v>73429</v>
      </c>
      <c r="M6" s="1">
        <f>+'2021 Nto driftsutg'!M6-'2021 Avskrivning'!M6</f>
        <v>-82802</v>
      </c>
      <c r="N6" s="1">
        <f>+'2021 Nto driftsutg'!N6-'2021 Avskrivning'!N6</f>
        <v>153908</v>
      </c>
      <c r="O6" s="1">
        <f>+'2021 Nto driftsutg'!O6-'2021 Avskrivning'!O6</f>
        <v>0</v>
      </c>
      <c r="P6" s="1">
        <f>+'2021 Nto driftsutg'!P6-'2021 Avskrivning'!P6</f>
        <v>-598</v>
      </c>
      <c r="Q6" s="1">
        <f>+'2021 Nto driftsutg'!Q6-'2021 Avskrivning'!Q6</f>
        <v>0</v>
      </c>
      <c r="R6" s="1">
        <f>+'2021 Nto driftsutg'!R6-'2021 Avskrivning'!R6</f>
        <v>-62600</v>
      </c>
      <c r="S6" s="1">
        <f>+'2021 Nto driftsutg'!S6</f>
        <v>512526</v>
      </c>
      <c r="T6" s="1">
        <f>+'2021 Nto driftsutg'!T6</f>
        <v>767371</v>
      </c>
      <c r="V6" s="1"/>
      <c r="W6" s="1"/>
    </row>
    <row r="7" spans="1:23" x14ac:dyDescent="0.3">
      <c r="A7" s="41">
        <v>1500</v>
      </c>
      <c r="B7" s="42" t="s">
        <v>140</v>
      </c>
      <c r="C7" s="1">
        <f t="shared" si="1"/>
        <v>5120815</v>
      </c>
      <c r="D7" s="1">
        <f>+'2021 Nto driftsutg'!D7-'2021 Avskrivning'!D7</f>
        <v>1754080</v>
      </c>
      <c r="E7" s="1">
        <f>+'2021 Nto driftsutg'!E7-'2021 Avskrivning'!E7</f>
        <v>703595</v>
      </c>
      <c r="F7" s="1">
        <f>+'2021 Nto driftsutg'!F7-'2021 Avskrivning'!F7</f>
        <v>552263</v>
      </c>
      <c r="G7" s="1">
        <f>+'2021 Nto driftsutg'!G7-'2021 Avskrivning'!G7</f>
        <v>803504</v>
      </c>
      <c r="H7" s="1">
        <f>+'2021 Nto driftsutg'!H7-'2021 Avskrivning'!H7</f>
        <v>165971</v>
      </c>
      <c r="I7" s="9">
        <f t="shared" si="2"/>
        <v>468809</v>
      </c>
      <c r="J7" s="1">
        <f>+'2021 Nto driftsutg'!J7-'2021 Avskrivning'!J7</f>
        <v>0</v>
      </c>
      <c r="K7" s="1">
        <f>+'2021 Nto driftsutg'!K7-'2021 Avskrivning'!K7</f>
        <v>211673</v>
      </c>
      <c r="L7" s="1">
        <f>+'2021 Nto driftsutg'!L7-'2021 Avskrivning'!L7</f>
        <v>101369</v>
      </c>
      <c r="M7" s="1">
        <f>+'2021 Nto driftsutg'!M7-'2021 Avskrivning'!M7</f>
        <v>49902</v>
      </c>
      <c r="N7" s="1">
        <f>+'2021 Nto driftsutg'!N7-'2021 Avskrivning'!N7</f>
        <v>104700</v>
      </c>
      <c r="O7" s="1">
        <f>+'2021 Nto driftsutg'!O7-'2021 Avskrivning'!O7</f>
        <v>-1139</v>
      </c>
      <c r="P7" s="1">
        <f>+'2021 Nto driftsutg'!P7-'2021 Avskrivning'!P7</f>
        <v>2304</v>
      </c>
      <c r="Q7" s="1">
        <f>+'2021 Nto driftsutg'!Q7-'2021 Avskrivning'!Q7</f>
        <v>0</v>
      </c>
      <c r="R7" s="1">
        <f>+'2021 Nto driftsutg'!R7-'2021 Avskrivning'!R7</f>
        <v>-65024</v>
      </c>
      <c r="S7" s="1">
        <f>+'2021 Nto driftsutg'!S7</f>
        <v>320785</v>
      </c>
      <c r="T7" s="1">
        <f>+'2021 Nto driftsutg'!T7</f>
        <v>416832</v>
      </c>
      <c r="V7" s="1"/>
      <c r="W7" s="1"/>
    </row>
    <row r="8" spans="1:23" x14ac:dyDescent="0.3">
      <c r="A8" s="41">
        <v>1800</v>
      </c>
      <c r="B8" s="42" t="s">
        <v>141</v>
      </c>
      <c r="C8" s="1">
        <f t="shared" si="1"/>
        <v>5774295</v>
      </c>
      <c r="D8" s="1">
        <f>+'2021 Nto driftsutg'!D8-'2021 Avskrivning'!D8</f>
        <v>1867449</v>
      </c>
      <c r="E8" s="1">
        <f>+'2021 Nto driftsutg'!E8-'2021 Avskrivning'!E8</f>
        <v>734435</v>
      </c>
      <c r="F8" s="1">
        <f>+'2021 Nto driftsutg'!F8-'2021 Avskrivning'!F8</f>
        <v>434186</v>
      </c>
      <c r="G8" s="1">
        <f>+'2021 Nto driftsutg'!G8-'2021 Avskrivning'!G8</f>
        <v>976616</v>
      </c>
      <c r="H8" s="1">
        <f>+'2021 Nto driftsutg'!H8-'2021 Avskrivning'!H8</f>
        <v>192008</v>
      </c>
      <c r="I8" s="9">
        <f t="shared" si="2"/>
        <v>626287</v>
      </c>
      <c r="J8" s="1">
        <f>+'2021 Nto driftsutg'!J8-'2021 Avskrivning'!J8</f>
        <v>0</v>
      </c>
      <c r="K8" s="1">
        <f>+'2021 Nto driftsutg'!K8-'2021 Avskrivning'!K8</f>
        <v>287925</v>
      </c>
      <c r="L8" s="1">
        <f>+'2021 Nto driftsutg'!L8-'2021 Avskrivning'!L8</f>
        <v>97137</v>
      </c>
      <c r="M8" s="1">
        <f>+'2021 Nto driftsutg'!M8-'2021 Avskrivning'!M8</f>
        <v>106044</v>
      </c>
      <c r="N8" s="1">
        <f>+'2021 Nto driftsutg'!N8-'2021 Avskrivning'!N8</f>
        <v>135156</v>
      </c>
      <c r="O8" s="1">
        <f>+'2021 Nto driftsutg'!O8-'2021 Avskrivning'!O8</f>
        <v>0</v>
      </c>
      <c r="P8" s="1">
        <f>+'2021 Nto driftsutg'!P8-'2021 Avskrivning'!P8</f>
        <v>25</v>
      </c>
      <c r="Q8" s="1">
        <f>+'2021 Nto driftsutg'!Q8-'2021 Avskrivning'!Q8</f>
        <v>0</v>
      </c>
      <c r="R8" s="1">
        <f>+'2021 Nto driftsutg'!R8-'2021 Avskrivning'!R8</f>
        <v>-56604</v>
      </c>
      <c r="S8" s="1">
        <f>+'2021 Nto driftsutg'!S8</f>
        <v>272404</v>
      </c>
      <c r="T8" s="1">
        <f>+'2021 Nto driftsutg'!T8</f>
        <v>727514</v>
      </c>
      <c r="V8" s="1"/>
      <c r="W8" s="1"/>
    </row>
    <row r="9" spans="1:23" x14ac:dyDescent="0.3">
      <c r="A9" s="41">
        <v>3000</v>
      </c>
      <c r="B9" s="42" t="s">
        <v>403</v>
      </c>
      <c r="C9" s="1">
        <f t="shared" si="1"/>
        <v>16170426</v>
      </c>
      <c r="D9" s="1">
        <f>+'2021 Nto driftsutg'!D9-'2021 Avskrivning'!D9</f>
        <v>7672543</v>
      </c>
      <c r="E9" s="1">
        <f>+'2021 Nto driftsutg'!E9-'2021 Avskrivning'!E9</f>
        <v>1453128</v>
      </c>
      <c r="F9" s="1">
        <f>+'2021 Nto driftsutg'!F9-'2021 Avskrivning'!F9</f>
        <v>3225047</v>
      </c>
      <c r="G9" s="1">
        <f>+'2021 Nto driftsutg'!G9-'2021 Avskrivning'!G9</f>
        <v>10889</v>
      </c>
      <c r="H9" s="1">
        <f>+'2021 Nto driftsutg'!H9-'2021 Avskrivning'!H9</f>
        <v>492614</v>
      </c>
      <c r="I9" s="9">
        <f t="shared" si="2"/>
        <v>1675041</v>
      </c>
      <c r="J9" s="1">
        <f>+'2021 Nto driftsutg'!J9-'2021 Avskrivning'!J9</f>
        <v>0</v>
      </c>
      <c r="K9" s="1">
        <f>+'2021 Nto driftsutg'!K9-'2021 Avskrivning'!K9</f>
        <v>1010846</v>
      </c>
      <c r="L9" s="1">
        <f>+'2021 Nto driftsutg'!L9-'2021 Avskrivning'!L9</f>
        <v>168993</v>
      </c>
      <c r="M9" s="1">
        <f>+'2021 Nto driftsutg'!M9-'2021 Avskrivning'!M9</f>
        <v>148548</v>
      </c>
      <c r="N9" s="1">
        <f>+'2021 Nto driftsutg'!N9-'2021 Avskrivning'!N9</f>
        <v>345150</v>
      </c>
      <c r="O9" s="1">
        <f>+'2021 Nto driftsutg'!O9-'2021 Avskrivning'!O9</f>
        <v>0</v>
      </c>
      <c r="P9" s="1">
        <f>+'2021 Nto driftsutg'!P9-'2021 Avskrivning'!P9</f>
        <v>1504</v>
      </c>
      <c r="Q9" s="1">
        <f>+'2021 Nto driftsutg'!Q9-'2021 Avskrivning'!Q9</f>
        <v>0</v>
      </c>
      <c r="R9" s="1">
        <f>+'2021 Nto driftsutg'!R9-'2021 Avskrivning'!R9</f>
        <v>-157830</v>
      </c>
      <c r="S9" s="1">
        <f>+'2021 Nto driftsutg'!S9</f>
        <v>416108</v>
      </c>
      <c r="T9" s="1">
        <f>+'2021 Nto driftsutg'!T9</f>
        <v>1382886</v>
      </c>
      <c r="V9" s="1"/>
      <c r="W9" s="1"/>
    </row>
    <row r="10" spans="1:23" x14ac:dyDescent="0.3">
      <c r="A10" s="41">
        <v>3400</v>
      </c>
      <c r="B10" s="42" t="s">
        <v>404</v>
      </c>
      <c r="C10" s="1">
        <f t="shared" si="1"/>
        <v>5658957</v>
      </c>
      <c r="D10" s="1">
        <f>+'2021 Nto driftsutg'!D10-'2021 Avskrivning'!D10</f>
        <v>2376645</v>
      </c>
      <c r="E10" s="1">
        <f>+'2021 Nto driftsutg'!E10-'2021 Avskrivning'!E10</f>
        <v>894537</v>
      </c>
      <c r="F10" s="1">
        <f>+'2021 Nto driftsutg'!F10-'2021 Avskrivning'!F10</f>
        <v>803905</v>
      </c>
      <c r="G10" s="1">
        <f>+'2021 Nto driftsutg'!G10-'2021 Avskrivning'!G10</f>
        <v>11461</v>
      </c>
      <c r="H10" s="1">
        <f>+'2021 Nto driftsutg'!H10-'2021 Avskrivning'!H10</f>
        <v>205317</v>
      </c>
      <c r="I10" s="9">
        <f t="shared" si="2"/>
        <v>672370</v>
      </c>
      <c r="J10" s="1">
        <f>+'2021 Nto driftsutg'!J10-'2021 Avskrivning'!J10</f>
        <v>0</v>
      </c>
      <c r="K10" s="1">
        <f>+'2021 Nto driftsutg'!K10-'2021 Avskrivning'!K10</f>
        <v>360471</v>
      </c>
      <c r="L10" s="1">
        <f>+'2021 Nto driftsutg'!L10-'2021 Avskrivning'!L10</f>
        <v>95979</v>
      </c>
      <c r="M10" s="1">
        <f>+'2021 Nto driftsutg'!M10-'2021 Avskrivning'!M10</f>
        <v>47634</v>
      </c>
      <c r="N10" s="1">
        <f>+'2021 Nto driftsutg'!N10-'2021 Avskrivning'!N10</f>
        <v>168286</v>
      </c>
      <c r="O10" s="1">
        <f>+'2021 Nto driftsutg'!O10-'2021 Avskrivning'!O10</f>
        <v>0</v>
      </c>
      <c r="P10" s="1">
        <f>+'2021 Nto driftsutg'!P10-'2021 Avskrivning'!P10</f>
        <v>0</v>
      </c>
      <c r="Q10" s="1">
        <f>+'2021 Nto driftsutg'!Q10-'2021 Avskrivning'!Q10</f>
        <v>0</v>
      </c>
      <c r="R10" s="1">
        <f>+'2021 Nto driftsutg'!R10-'2021 Avskrivning'!R10</f>
        <v>-39984</v>
      </c>
      <c r="S10" s="1">
        <f>+'2021 Nto driftsutg'!S10</f>
        <v>162825</v>
      </c>
      <c r="T10" s="1">
        <f>+'2021 Nto driftsutg'!T10</f>
        <v>571881</v>
      </c>
      <c r="V10" s="1"/>
      <c r="W10" s="1"/>
    </row>
    <row r="11" spans="1:23" x14ac:dyDescent="0.3">
      <c r="A11" s="41">
        <v>3800</v>
      </c>
      <c r="B11" s="42" t="s">
        <v>405</v>
      </c>
      <c r="C11" s="1">
        <f t="shared" si="1"/>
        <v>5704206</v>
      </c>
      <c r="D11" s="1">
        <f>+'2021 Nto driftsutg'!D11-'2021 Avskrivning'!D11</f>
        <v>2663927</v>
      </c>
      <c r="E11" s="1">
        <f>+'2021 Nto driftsutg'!E11-'2021 Avskrivning'!E11</f>
        <v>741680</v>
      </c>
      <c r="F11" s="1">
        <f>+'2021 Nto driftsutg'!F11-'2021 Avskrivning'!F11</f>
        <v>680920</v>
      </c>
      <c r="G11" s="1">
        <f>+'2021 Nto driftsutg'!G11-'2021 Avskrivning'!G11</f>
        <v>28001</v>
      </c>
      <c r="H11" s="1">
        <f>+'2021 Nto driftsutg'!H11-'2021 Avskrivning'!H11</f>
        <v>205871</v>
      </c>
      <c r="I11" s="9">
        <f t="shared" si="2"/>
        <v>780213</v>
      </c>
      <c r="J11" s="1">
        <f>+'2021 Nto driftsutg'!J11-'2021 Avskrivning'!J11</f>
        <v>0</v>
      </c>
      <c r="K11" s="1">
        <f>+'2021 Nto driftsutg'!K11-'2021 Avskrivning'!K11</f>
        <v>354859</v>
      </c>
      <c r="L11" s="1">
        <f>+'2021 Nto driftsutg'!L11-'2021 Avskrivning'!L11</f>
        <v>123364</v>
      </c>
      <c r="M11" s="1">
        <f>+'2021 Nto driftsutg'!M11-'2021 Avskrivning'!M11</f>
        <v>141864</v>
      </c>
      <c r="N11" s="1">
        <f>+'2021 Nto driftsutg'!N11-'2021 Avskrivning'!N11</f>
        <v>158220</v>
      </c>
      <c r="O11" s="1">
        <f>+'2021 Nto driftsutg'!O11-'2021 Avskrivning'!O11</f>
        <v>-6</v>
      </c>
      <c r="P11" s="1">
        <f>+'2021 Nto driftsutg'!P11-'2021 Avskrivning'!P11</f>
        <v>1912</v>
      </c>
      <c r="Q11" s="1">
        <f>+'2021 Nto driftsutg'!Q11-'2021 Avskrivning'!Q11</f>
        <v>0</v>
      </c>
      <c r="R11" s="1">
        <f>+'2021 Nto driftsutg'!R11-'2021 Avskrivning'!R11</f>
        <v>-57383</v>
      </c>
      <c r="S11" s="1">
        <f>+'2021 Nto driftsutg'!S11</f>
        <v>233300</v>
      </c>
      <c r="T11" s="1">
        <f>+'2021 Nto driftsutg'!T11</f>
        <v>427677</v>
      </c>
      <c r="V11" s="1"/>
      <c r="W11" s="1"/>
    </row>
    <row r="12" spans="1:23" x14ac:dyDescent="0.3">
      <c r="A12" s="41">
        <v>4200</v>
      </c>
      <c r="B12" s="42" t="s">
        <v>406</v>
      </c>
      <c r="C12" s="1">
        <f t="shared" si="1"/>
        <v>4501178</v>
      </c>
      <c r="D12" s="1">
        <f>+'2021 Nto driftsutg'!D12-'2021 Avskrivning'!D12</f>
        <v>2188314</v>
      </c>
      <c r="E12" s="1">
        <f>+'2021 Nto driftsutg'!E12-'2021 Avskrivning'!E12</f>
        <v>567939</v>
      </c>
      <c r="F12" s="1">
        <f>+'2021 Nto driftsutg'!F12-'2021 Avskrivning'!F12</f>
        <v>560922</v>
      </c>
      <c r="G12" s="1">
        <f>+'2021 Nto driftsutg'!G12-'2021 Avskrivning'!G12</f>
        <v>42889</v>
      </c>
      <c r="H12" s="1">
        <f>+'2021 Nto driftsutg'!H12-'2021 Avskrivning'!H12</f>
        <v>164965</v>
      </c>
      <c r="I12" s="9">
        <f t="shared" si="2"/>
        <v>394390</v>
      </c>
      <c r="J12" s="1">
        <f>+'2021 Nto driftsutg'!J12-'2021 Avskrivning'!J12</f>
        <v>0</v>
      </c>
      <c r="K12" s="1">
        <f>+'2021 Nto driftsutg'!K12-'2021 Avskrivning'!K12</f>
        <v>252347</v>
      </c>
      <c r="L12" s="1">
        <f>+'2021 Nto driftsutg'!L12-'2021 Avskrivning'!L12</f>
        <v>135179</v>
      </c>
      <c r="M12" s="1">
        <f>+'2021 Nto driftsutg'!M12-'2021 Avskrivning'!M12</f>
        <v>-122389</v>
      </c>
      <c r="N12" s="1">
        <f>+'2021 Nto driftsutg'!N12-'2021 Avskrivning'!N12</f>
        <v>129202</v>
      </c>
      <c r="O12" s="1">
        <f>+'2021 Nto driftsutg'!O12-'2021 Avskrivning'!O12</f>
        <v>0</v>
      </c>
      <c r="P12" s="1">
        <f>+'2021 Nto driftsutg'!P12-'2021 Avskrivning'!P12</f>
        <v>51</v>
      </c>
      <c r="Q12" s="1">
        <f>+'2021 Nto driftsutg'!Q12-'2021 Avskrivning'!Q12</f>
        <v>0</v>
      </c>
      <c r="R12" s="1">
        <f>+'2021 Nto driftsutg'!R12-'2021 Avskrivning'!R12</f>
        <v>-79573</v>
      </c>
      <c r="S12" s="1">
        <f>+'2021 Nto driftsutg'!S12</f>
        <v>201617</v>
      </c>
      <c r="T12" s="1">
        <f>+'2021 Nto driftsutg'!T12</f>
        <v>459715</v>
      </c>
      <c r="V12" s="1"/>
      <c r="W12" s="1"/>
    </row>
    <row r="13" spans="1:23" x14ac:dyDescent="0.3">
      <c r="A13" s="41">
        <v>4600</v>
      </c>
      <c r="B13" s="42" t="s">
        <v>407</v>
      </c>
      <c r="C13" s="1">
        <f t="shared" si="1"/>
        <v>11188586</v>
      </c>
      <c r="D13" s="1">
        <f>+'2021 Nto driftsutg'!D13-'2021 Avskrivning'!D13</f>
        <v>3704025</v>
      </c>
      <c r="E13" s="1">
        <f>+'2021 Nto driftsutg'!E13-'2021 Avskrivning'!E13</f>
        <v>1238251</v>
      </c>
      <c r="F13" s="1">
        <f>+'2021 Nto driftsutg'!F13-'2021 Avskrivning'!F13</f>
        <v>1610185</v>
      </c>
      <c r="G13" s="1">
        <f>+'2021 Nto driftsutg'!G13-'2021 Avskrivning'!G13</f>
        <v>1086984</v>
      </c>
      <c r="H13" s="1">
        <f>+'2021 Nto driftsutg'!H13-'2021 Avskrivning'!H13</f>
        <v>300103</v>
      </c>
      <c r="I13" s="9">
        <f t="shared" si="2"/>
        <v>921842</v>
      </c>
      <c r="J13" s="1">
        <f>+'2021 Nto driftsutg'!J13-'2021 Avskrivning'!J13</f>
        <v>0</v>
      </c>
      <c r="K13" s="1">
        <f>+'2021 Nto driftsutg'!K13-'2021 Avskrivning'!K13</f>
        <v>547789</v>
      </c>
      <c r="L13" s="1">
        <f>+'2021 Nto driftsutg'!L13-'2021 Avskrivning'!L13</f>
        <v>165487</v>
      </c>
      <c r="M13" s="1">
        <f>+'2021 Nto driftsutg'!M13-'2021 Avskrivning'!M13</f>
        <v>-85775</v>
      </c>
      <c r="N13" s="1">
        <f>+'2021 Nto driftsutg'!N13-'2021 Avskrivning'!N13</f>
        <v>293900</v>
      </c>
      <c r="O13" s="1">
        <f>+'2021 Nto driftsutg'!O13-'2021 Avskrivning'!O13</f>
        <v>0</v>
      </c>
      <c r="P13" s="1">
        <f>+'2021 Nto driftsutg'!P13-'2021 Avskrivning'!P13</f>
        <v>441</v>
      </c>
      <c r="Q13" s="1">
        <f>+'2021 Nto driftsutg'!Q13-'2021 Avskrivning'!Q13</f>
        <v>0</v>
      </c>
      <c r="R13" s="1">
        <f>+'2021 Nto driftsutg'!R13-'2021 Avskrivning'!R13</f>
        <v>55231</v>
      </c>
      <c r="S13" s="1">
        <f>+'2021 Nto driftsutg'!S13</f>
        <v>853000</v>
      </c>
      <c r="T13" s="1">
        <f>+'2021 Nto driftsutg'!T13</f>
        <v>1418965</v>
      </c>
      <c r="V13" s="1"/>
      <c r="W13" s="1"/>
    </row>
    <row r="14" spans="1:23" x14ac:dyDescent="0.3">
      <c r="A14" s="41">
        <v>5000</v>
      </c>
      <c r="B14" s="42" t="s">
        <v>388</v>
      </c>
      <c r="C14" s="1">
        <f t="shared" si="1"/>
        <v>7481941</v>
      </c>
      <c r="D14" s="1">
        <f>+'2021 Nto driftsutg'!D14-'2021 Avskrivning'!D14</f>
        <v>3028316</v>
      </c>
      <c r="E14" s="1">
        <f>+'2021 Nto driftsutg'!E14-'2021 Avskrivning'!E14</f>
        <v>1035201</v>
      </c>
      <c r="F14" s="1">
        <f>+'2021 Nto driftsutg'!F14-'2021 Avskrivning'!F14</f>
        <v>959439</v>
      </c>
      <c r="G14" s="1">
        <f>+'2021 Nto driftsutg'!G14-'2021 Avskrivning'!G14</f>
        <v>375231</v>
      </c>
      <c r="H14" s="1">
        <f>+'2021 Nto driftsutg'!H14-'2021 Avskrivning'!H14</f>
        <v>277345</v>
      </c>
      <c r="I14" s="9">
        <f t="shared" si="2"/>
        <v>830013</v>
      </c>
      <c r="J14" s="1">
        <f>+'2021 Nto driftsutg'!J14-'2021 Avskrivning'!J14</f>
        <v>0</v>
      </c>
      <c r="K14" s="1">
        <f>+'2021 Nto driftsutg'!K14-'2021 Avskrivning'!K14</f>
        <v>398748</v>
      </c>
      <c r="L14" s="1">
        <f>+'2021 Nto driftsutg'!L14-'2021 Avskrivning'!L14</f>
        <v>84286</v>
      </c>
      <c r="M14" s="1">
        <f>+'2021 Nto driftsutg'!M14-'2021 Avskrivning'!M14</f>
        <v>92039</v>
      </c>
      <c r="N14" s="1">
        <f>+'2021 Nto driftsutg'!N14-'2021 Avskrivning'!N14</f>
        <v>254940</v>
      </c>
      <c r="O14" s="1">
        <f>+'2021 Nto driftsutg'!O14-'2021 Avskrivning'!O14</f>
        <v>0</v>
      </c>
      <c r="P14" s="1">
        <f>+'2021 Nto driftsutg'!P14-'2021 Avskrivning'!P14</f>
        <v>0</v>
      </c>
      <c r="Q14" s="1">
        <f>+'2021 Nto driftsutg'!Q14-'2021 Avskrivning'!Q14</f>
        <v>0</v>
      </c>
      <c r="R14" s="1">
        <f>+'2021 Nto driftsutg'!R14-'2021 Avskrivning'!R14</f>
        <v>-73902</v>
      </c>
      <c r="S14" s="1">
        <f>+'2021 Nto driftsutg'!S14</f>
        <v>566393</v>
      </c>
      <c r="T14" s="1">
        <f>+'2021 Nto driftsutg'!T14</f>
        <v>483905</v>
      </c>
      <c r="V14" s="1"/>
      <c r="W14" s="1"/>
    </row>
    <row r="15" spans="1:23" x14ac:dyDescent="0.3">
      <c r="A15" s="41">
        <v>5400</v>
      </c>
      <c r="B15" s="42" t="s">
        <v>408</v>
      </c>
      <c r="C15" s="1">
        <f t="shared" si="1"/>
        <v>5652720</v>
      </c>
      <c r="D15" s="1">
        <f>+'2021 Nto driftsutg'!D15-'2021 Avskrivning'!D15</f>
        <v>1834949</v>
      </c>
      <c r="E15" s="1">
        <f>+'2021 Nto driftsutg'!E15-'2021 Avskrivning'!E15</f>
        <v>897700</v>
      </c>
      <c r="F15" s="1">
        <f>+'2021 Nto driftsutg'!F15-'2021 Avskrivning'!F15</f>
        <v>732907</v>
      </c>
      <c r="G15" s="1">
        <f>+'2021 Nto driftsutg'!G15-'2021 Avskrivning'!G15</f>
        <v>547991</v>
      </c>
      <c r="H15" s="1">
        <f>+'2021 Nto driftsutg'!H15-'2021 Avskrivning'!H15</f>
        <v>229710</v>
      </c>
      <c r="I15" s="9">
        <f t="shared" si="2"/>
        <v>587263</v>
      </c>
      <c r="J15" s="1">
        <f>+'2021 Nto driftsutg'!J15-'2021 Avskrivning'!J15</f>
        <v>0</v>
      </c>
      <c r="K15" s="1">
        <f>+'2021 Nto driftsutg'!K15-'2021 Avskrivning'!K15</f>
        <v>347711</v>
      </c>
      <c r="L15" s="1">
        <f>+'2021 Nto driftsutg'!L15-'2021 Avskrivning'!L15</f>
        <v>50298</v>
      </c>
      <c r="M15" s="1">
        <f>+'2021 Nto driftsutg'!M15-'2021 Avskrivning'!M15</f>
        <v>44772</v>
      </c>
      <c r="N15" s="1">
        <f>+'2021 Nto driftsutg'!N15-'2021 Avskrivning'!N15</f>
        <v>148046</v>
      </c>
      <c r="O15" s="1">
        <f>+'2021 Nto driftsutg'!O15-'2021 Avskrivning'!O15</f>
        <v>0</v>
      </c>
      <c r="P15" s="1">
        <f>+'2021 Nto driftsutg'!P15-'2021 Avskrivning'!P15</f>
        <v>-3564</v>
      </c>
      <c r="Q15" s="1">
        <f>+'2021 Nto driftsutg'!Q15-'2021 Avskrivning'!Q15</f>
        <v>0</v>
      </c>
      <c r="R15" s="1">
        <f>+'2021 Nto driftsutg'!R15-'2021 Avskrivning'!R15</f>
        <v>-71497</v>
      </c>
      <c r="S15" s="1">
        <f>+'2021 Nto driftsutg'!S15</f>
        <v>248899</v>
      </c>
      <c r="T15" s="1">
        <f>+'2021 Nto driftsutg'!T15</f>
        <v>644798</v>
      </c>
      <c r="V15" s="1"/>
      <c r="W15" s="1"/>
    </row>
    <row r="16" spans="1:23" x14ac:dyDescent="0.3">
      <c r="C16" s="1"/>
      <c r="D16" s="4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3" x14ac:dyDescent="0.3">
      <c r="B17" s="1" t="s">
        <v>3</v>
      </c>
      <c r="C17" s="1">
        <f>+'2021 Nto driftsutg'!C17-'2021 Avskrivning'!C17</f>
        <v>80990350.900312915</v>
      </c>
      <c r="D17" s="1">
        <f t="shared" ref="D17:T17" si="3">SUM(D5:D15)</f>
        <v>33220154</v>
      </c>
      <c r="E17" s="1">
        <f t="shared" si="3"/>
        <v>8909509</v>
      </c>
      <c r="F17" s="1">
        <f t="shared" si="3"/>
        <v>13576239</v>
      </c>
      <c r="G17" s="1">
        <f t="shared" si="3"/>
        <v>4376534</v>
      </c>
      <c r="H17" s="1">
        <f t="shared" si="3"/>
        <v>2712683</v>
      </c>
      <c r="I17" s="9">
        <f t="shared" si="3"/>
        <v>7408703</v>
      </c>
      <c r="J17" s="1">
        <f t="shared" si="3"/>
        <v>0</v>
      </c>
      <c r="K17" s="1">
        <f t="shared" si="3"/>
        <v>4132147</v>
      </c>
      <c r="L17" s="1">
        <f t="shared" si="3"/>
        <v>1095521</v>
      </c>
      <c r="M17" s="1">
        <f t="shared" si="3"/>
        <v>342363</v>
      </c>
      <c r="N17" s="1">
        <f t="shared" si="3"/>
        <v>1837742</v>
      </c>
      <c r="O17" s="1">
        <f t="shared" si="3"/>
        <v>-1145</v>
      </c>
      <c r="P17" s="1">
        <f t="shared" si="3"/>
        <v>2075</v>
      </c>
      <c r="Q17" s="1">
        <f t="shared" si="3"/>
        <v>0</v>
      </c>
      <c r="R17" s="1">
        <f t="shared" si="3"/>
        <v>-934580.06606233004</v>
      </c>
      <c r="S17" s="1">
        <f t="shared" si="3"/>
        <v>3959291.8873434216</v>
      </c>
      <c r="T17" s="1">
        <f t="shared" si="3"/>
        <v>7761817.0790318195</v>
      </c>
      <c r="U17" s="1"/>
      <c r="V17" s="1"/>
      <c r="W17" s="1"/>
    </row>
    <row r="18" spans="2:23" x14ac:dyDescent="0.3">
      <c r="C18" s="5"/>
      <c r="H18" s="5"/>
      <c r="I18" s="5">
        <f>SUM(J17:Q17)</f>
        <v>7408703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F8DE93290B924CA20853804BC29465" ma:contentTypeVersion="13" ma:contentTypeDescription="Create a new document." ma:contentTypeScope="" ma:versionID="45eb92ff1e911856ce02914cb4df5541">
  <xsd:schema xmlns:xsd="http://www.w3.org/2001/XMLSchema" xmlns:xs="http://www.w3.org/2001/XMLSchema" xmlns:p="http://schemas.microsoft.com/office/2006/metadata/properties" xmlns:ns3="3b8e2fe7-57f7-46eb-a3a7-4565216e3ee9" xmlns:ns4="79413178-3547-4fef-a8b5-ad7ee22e3a1f" targetNamespace="http://schemas.microsoft.com/office/2006/metadata/properties" ma:root="true" ma:fieldsID="706203121090aa711ca163c3ddc648af" ns3:_="" ns4:_="">
    <xsd:import namespace="3b8e2fe7-57f7-46eb-a3a7-4565216e3ee9"/>
    <xsd:import namespace="79413178-3547-4fef-a8b5-ad7ee22e3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e2fe7-57f7-46eb-a3a7-4565216e3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13178-3547-4fef-a8b5-ad7ee22e3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2C054C-7642-4735-9D81-3F0AC6243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e2fe7-57f7-46eb-a3a7-4565216e3ee9"/>
    <ds:schemaRef ds:uri="79413178-3547-4fef-a8b5-ad7ee22e3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B58F8-835F-4212-9EA8-646A446FC43E}">
  <ds:schemaRefs>
    <ds:schemaRef ds:uri="3b8e2fe7-57f7-46eb-a3a7-4565216e3ee9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9413178-3547-4fef-a8b5-ad7ee22e3a1f"/>
  </ds:schemaRefs>
</ds:datastoreItem>
</file>

<file path=customXml/itemProps3.xml><?xml version="1.0" encoding="utf-8"?>
<ds:datastoreItem xmlns:ds="http://schemas.openxmlformats.org/officeDocument/2006/customXml" ds:itemID="{9C2D9472-DB3A-4D90-9C3B-2AD0C7B3C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67</vt:i4>
      </vt:variant>
      <vt:variant>
        <vt:lpstr>Diagrammer</vt:lpstr>
      </vt:variant>
      <vt:variant>
        <vt:i4>10</vt:i4>
      </vt:variant>
    </vt:vector>
  </HeadingPairs>
  <TitlesOfParts>
    <vt:vector size="77" baseType="lpstr">
      <vt:lpstr>Inngang</vt:lpstr>
      <vt:lpstr>Tabeller fylkesko 2021</vt:lpstr>
      <vt:lpstr>Tabeller fylkesko 2022</vt:lpstr>
      <vt:lpstr>Tabeller fylkesko 2023</vt:lpstr>
      <vt:lpstr>2021 Korreksjoner</vt:lpstr>
      <vt:lpstr>2021 Nto driftsutg landet</vt:lpstr>
      <vt:lpstr>2021 Nto driftsutg</vt:lpstr>
      <vt:lpstr>2021 Avskrivning</vt:lpstr>
      <vt:lpstr>2021 Nto driftsutg eks avskriv</vt:lpstr>
      <vt:lpstr>2021 Inntektsnivå</vt:lpstr>
      <vt:lpstr>2021 Lønnsand og arbavg landet</vt:lpstr>
      <vt:lpstr>2021 Lønnsand og pensjon landet</vt:lpstr>
      <vt:lpstr>2021 Lønnsgr arbavg tjeneste</vt:lpstr>
      <vt:lpstr>2021 Arbavg tjeneste</vt:lpstr>
      <vt:lpstr>2021 Lønnsgr pensjon tjeneste</vt:lpstr>
      <vt:lpstr>2021 Pensjon tjeneste</vt:lpstr>
      <vt:lpstr>2021 Revekting utgiftsbehov</vt:lpstr>
      <vt:lpstr>2021 Korr med revekting pensjon</vt:lpstr>
      <vt:lpstr>2021 Korr med revekting arbavg</vt:lpstr>
      <vt:lpstr>2021 Korr med revekt premieavv</vt:lpstr>
      <vt:lpstr>2021 Korr med revekting eiend</vt:lpstr>
      <vt:lpstr>2021 Grunnlag korreksjoner</vt:lpstr>
      <vt:lpstr>2021 Bto driftsutg</vt:lpstr>
      <vt:lpstr>2021 Bto driftsutg eks avskriv</vt:lpstr>
      <vt:lpstr>2021 Nøkkel revektet</vt:lpstr>
      <vt:lpstr>2022 Korreksjoner</vt:lpstr>
      <vt:lpstr>2022 Nto driftsutg landet</vt:lpstr>
      <vt:lpstr>2022 Nto driftsutg</vt:lpstr>
      <vt:lpstr>2022 Avskrivning</vt:lpstr>
      <vt:lpstr>2022 Nto driftsutg eks avskriv</vt:lpstr>
      <vt:lpstr>2022 Inntektsnivå</vt:lpstr>
      <vt:lpstr>2022 Lønnsand og arbavg landet</vt:lpstr>
      <vt:lpstr>2022 Lønnsand og pensjon landet</vt:lpstr>
      <vt:lpstr>2022 Lønnsgr arbavg tjeneste</vt:lpstr>
      <vt:lpstr>2022 Arbavg tjeneste</vt:lpstr>
      <vt:lpstr>2022 Lønnsgr pensjon tjeneste</vt:lpstr>
      <vt:lpstr>2022 Pensjon tjeneste</vt:lpstr>
      <vt:lpstr>2022 Revekting utgiftsbehov</vt:lpstr>
      <vt:lpstr>2022 Korr med revekting pensjon</vt:lpstr>
      <vt:lpstr>2022 Korr med revekting arbavg</vt:lpstr>
      <vt:lpstr>2022 Korr med revekt premieavv</vt:lpstr>
      <vt:lpstr>2022 Korr med revekting eiendom</vt:lpstr>
      <vt:lpstr>2022 Grunnlag korreksjoner</vt:lpstr>
      <vt:lpstr>2022 Bto driftsutg</vt:lpstr>
      <vt:lpstr>2022 Bto driftsutg eks avskriv</vt:lpstr>
      <vt:lpstr>2023 Korreksjoner</vt:lpstr>
      <vt:lpstr>2023 Nto driftsutg landet</vt:lpstr>
      <vt:lpstr>2023 Nto driftsutg</vt:lpstr>
      <vt:lpstr>2023 Avskrivning</vt:lpstr>
      <vt:lpstr>2023 Nto driftsutg eks avskriv</vt:lpstr>
      <vt:lpstr>2023 Inntektsnivå</vt:lpstr>
      <vt:lpstr>2023 Lønnsand og arbavg landet</vt:lpstr>
      <vt:lpstr>2023 Lønnsand og pensjon landet</vt:lpstr>
      <vt:lpstr>2023 Lønnsgr arbavg tjeneste</vt:lpstr>
      <vt:lpstr>2023 Arbavg tjeneste</vt:lpstr>
      <vt:lpstr>2023 Lønnsgr pensjon tjeneste</vt:lpstr>
      <vt:lpstr>2023 Pensjon tjeneste</vt:lpstr>
      <vt:lpstr>2023 Revekting utgiftsbehov</vt:lpstr>
      <vt:lpstr>2023 Korr med revekting pensjon</vt:lpstr>
      <vt:lpstr>2023 Korr med revekting arbavg</vt:lpstr>
      <vt:lpstr>2023 Korr med revekt premieavv</vt:lpstr>
      <vt:lpstr>2023 Korr med revekting eiendom</vt:lpstr>
      <vt:lpstr>2023 Grunnlag korreksjoner</vt:lpstr>
      <vt:lpstr>2023 Bto driftsutg</vt:lpstr>
      <vt:lpstr>2023 Bto driftsutg eks avskriv</vt:lpstr>
      <vt:lpstr>2023 Nøkkel revektet</vt:lpstr>
      <vt:lpstr>Fylkeskommuner</vt:lpstr>
      <vt:lpstr>1. Kostratall</vt:lpstr>
      <vt:lpstr>2. Inntektssyst kostnadsnøkler</vt:lpstr>
      <vt:lpstr>Utgiftskorrigering</vt:lpstr>
      <vt:lpstr>3. Disp inntekt og ressursbruk</vt:lpstr>
      <vt:lpstr>4. Ressursbruk tjenest INNTSYS</vt:lpstr>
      <vt:lpstr>Ressurbruk øvrige tjenester</vt:lpstr>
      <vt:lpstr>Inntekts og utgiftskorrigering</vt:lpstr>
      <vt:lpstr>5. Inntektskorr ressursbruk</vt:lpstr>
      <vt:lpstr>6. Inntkorr ressursb  INNTSYS </vt:lpstr>
      <vt:lpstr>7. Inntkorr ressursb øvr tjenes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Engdal</dc:creator>
  <cp:lastModifiedBy>Sigmund Engdal</cp:lastModifiedBy>
  <cp:lastPrinted>2024-04-30T07:37:13Z</cp:lastPrinted>
  <dcterms:created xsi:type="dcterms:W3CDTF">2014-09-26T17:14:53Z</dcterms:created>
  <dcterms:modified xsi:type="dcterms:W3CDTF">2024-05-06T12:29:16Z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0x010100DCF8DE93290B924CA20853804BC29465</vt:lpwstr>
  </property>
</Properties>
</file>