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iskyen-my.sharepoint.com/personal/sigmund_engdal_ks_no/Documents/Dokumenter/Modell sammenligning mellom kommuner/Fylkeskommune/2023 - Kostrapublisering 15032024/Publisert/"/>
    </mc:Choice>
  </mc:AlternateContent>
  <xr:revisionPtr revIDLastSave="48" documentId="8_{EC4A14AA-3D9B-47C8-9B3D-ABA19CB84F91}" xr6:coauthVersionLast="47" xr6:coauthVersionMax="47" xr10:uidLastSave="{89060958-0255-4D60-8CCC-E05D5EDCC4B6}"/>
  <bookViews>
    <workbookView xWindow="-108" yWindow="-108" windowWidth="41496" windowHeight="16896" tabRatio="855" xr2:uid="{00000000-000D-0000-FFFF-FFFF00000000}"/>
  </bookViews>
  <sheets>
    <sheet name="Inngang" sheetId="10" r:id="rId1"/>
    <sheet name="1 Kostratall" sheetId="47" r:id="rId2"/>
    <sheet name="2 Inntektsyst kostandsnøkler" sheetId="40" r:id="rId3"/>
    <sheet name=" Utgiftskorrigering" sheetId="51" r:id="rId4"/>
    <sheet name="3 Disp innt og ressursbruk" sheetId="39" r:id="rId5"/>
    <sheet name="4 Ressursbruk tjenest INNTSYS" sheetId="41" r:id="rId6"/>
    <sheet name="Ressursbruk øvrige tjenester" sheetId="42" state="hidden" r:id="rId7"/>
    <sheet name=" Inntekts og utgiftskorrigering" sheetId="50" r:id="rId8"/>
    <sheet name="5 Inntektskorr ressursbruk" sheetId="48" r:id="rId9"/>
    <sheet name="6 Inntkorr ressursbruk INNTSYS" sheetId="12" r:id="rId10"/>
    <sheet name="7 Inntkorr ressursb øvr tjenes" sheetId="11" r:id="rId11"/>
    <sheet name="Tabeller fylkeskom 1" sheetId="94" state="hidden" r:id="rId12"/>
    <sheet name="Tabeller fylkeskom 2" sheetId="1" state="hidden" r:id="rId13"/>
    <sheet name="Tabeller fylkeskom 3" sheetId="44" state="hidden" r:id="rId14"/>
    <sheet name="Tabeller fylkeskom 4" sheetId="96" state="hidden" r:id="rId15"/>
    <sheet name="2023 Korreksjoner" sheetId="73" state="hidden" r:id="rId16"/>
    <sheet name="2023 Nto driftsutg landet" sheetId="74" state="hidden" r:id="rId17"/>
    <sheet name="2023 Nto driftsutg" sheetId="75" state="hidden" r:id="rId18"/>
    <sheet name="2023 Avskrivning" sheetId="76" state="hidden" r:id="rId19"/>
    <sheet name="2023 Nto driftsutg eks avskriv" sheetId="77" state="hidden" r:id="rId20"/>
    <sheet name="2023 Inntektsnivå" sheetId="78" state="hidden" r:id="rId21"/>
    <sheet name="2023 Lønnsand og arbavg landet" sheetId="79" state="hidden" r:id="rId22"/>
    <sheet name="2023 Lønnsand og pensjon landet" sheetId="80" state="hidden" r:id="rId23"/>
    <sheet name="2023 Lønnsgr arbavg tjeneste" sheetId="81" state="hidden" r:id="rId24"/>
    <sheet name="2023 Arbavg tjeneste" sheetId="82" state="hidden" r:id="rId25"/>
    <sheet name="2023 Lønnsgr pensjon tjeneste" sheetId="83" state="hidden" r:id="rId26"/>
    <sheet name="2023 Pensjon tjeneste" sheetId="84" state="hidden" r:id="rId27"/>
    <sheet name="2023 Revekting utgiftsbehov" sheetId="85" state="hidden" r:id="rId28"/>
    <sheet name="2023 Korr med revekting pensjon" sheetId="86" state="hidden" r:id="rId29"/>
    <sheet name="2023 Korr med revekting arbavg" sheetId="95" state="hidden" r:id="rId30"/>
    <sheet name="2023 Korr med revekt premieavv" sheetId="88" state="hidden" r:id="rId31"/>
    <sheet name="2023 Korr med revekting eiendom" sheetId="89" state="hidden" r:id="rId32"/>
    <sheet name="2023 Grunnlag korreksjoner" sheetId="90" state="hidden" r:id="rId33"/>
    <sheet name="2023 Bto driftsutg" sheetId="91" state="hidden" r:id="rId34"/>
    <sheet name="2023 Bto driftsutg eks avskriv" sheetId="92" state="hidden" r:id="rId35"/>
    <sheet name="2023 Nøkkel revektet" sheetId="93" state="hidden" r:id="rId36"/>
    <sheet name="Fylkeskommuner" sheetId="97" state="hidden" r:id="rId3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" i="75" l="1"/>
  <c r="R20" i="75" l="1"/>
  <c r="R21" i="75" s="1"/>
  <c r="B3" i="97" l="1"/>
  <c r="R6" i="92" l="1"/>
  <c r="R7" i="92"/>
  <c r="R8" i="92"/>
  <c r="R9" i="92"/>
  <c r="R10" i="92"/>
  <c r="R11" i="92"/>
  <c r="R12" i="92"/>
  <c r="R13" i="92"/>
  <c r="R14" i="92"/>
  <c r="R15" i="92"/>
  <c r="R5" i="92"/>
  <c r="D17" i="91" l="1"/>
  <c r="E17" i="91"/>
  <c r="F17" i="91"/>
  <c r="G17" i="91"/>
  <c r="H17" i="91"/>
  <c r="I1" i="10" l="1"/>
  <c r="C5" i="10" l="1"/>
  <c r="C11" i="10"/>
  <c r="C12" i="10" s="1"/>
  <c r="C9" i="10"/>
  <c r="C10" i="10" s="1"/>
  <c r="C13" i="10"/>
  <c r="C14" i="10" s="1"/>
  <c r="C6" i="10" l="1"/>
  <c r="AM15" i="90"/>
  <c r="AL15" i="90"/>
  <c r="AK15" i="90"/>
  <c r="AJ15" i="90"/>
  <c r="AI15" i="90"/>
  <c r="AH15" i="90"/>
  <c r="AG15" i="90"/>
  <c r="AF15" i="90"/>
  <c r="AD15" i="90"/>
  <c r="AC15" i="90"/>
  <c r="AB15" i="90"/>
  <c r="AA15" i="90"/>
  <c r="Z15" i="90"/>
  <c r="AM14" i="90"/>
  <c r="AL14" i="90"/>
  <c r="AK14" i="90"/>
  <c r="AJ14" i="90"/>
  <c r="AI14" i="90"/>
  <c r="AH14" i="90"/>
  <c r="AG14" i="90"/>
  <c r="AF14" i="90"/>
  <c r="AD14" i="90"/>
  <c r="AC14" i="90"/>
  <c r="AB14" i="90"/>
  <c r="AA14" i="90"/>
  <c r="Z14" i="90"/>
  <c r="AM13" i="90"/>
  <c r="AL13" i="90"/>
  <c r="AK13" i="90"/>
  <c r="AJ13" i="90"/>
  <c r="AI13" i="90"/>
  <c r="AH13" i="90"/>
  <c r="AG13" i="90"/>
  <c r="AF13" i="90"/>
  <c r="AD13" i="90"/>
  <c r="AC13" i="90"/>
  <c r="AB13" i="90"/>
  <c r="AA13" i="90"/>
  <c r="Z13" i="90"/>
  <c r="AM12" i="90"/>
  <c r="AL12" i="90"/>
  <c r="AK12" i="90"/>
  <c r="AJ12" i="90"/>
  <c r="AI12" i="90"/>
  <c r="AH12" i="90"/>
  <c r="AG12" i="90"/>
  <c r="AF12" i="90"/>
  <c r="AD12" i="90"/>
  <c r="AC12" i="90"/>
  <c r="AB12" i="90"/>
  <c r="AA12" i="90"/>
  <c r="Z12" i="90"/>
  <c r="AM11" i="90"/>
  <c r="AL11" i="90"/>
  <c r="AK11" i="90"/>
  <c r="AJ11" i="90"/>
  <c r="AI11" i="90"/>
  <c r="AH11" i="90"/>
  <c r="AG11" i="90"/>
  <c r="AF11" i="90"/>
  <c r="AD11" i="90"/>
  <c r="AC11" i="90"/>
  <c r="AB11" i="90"/>
  <c r="AA11" i="90"/>
  <c r="Z11" i="90"/>
  <c r="AM10" i="90"/>
  <c r="AL10" i="90"/>
  <c r="AK10" i="90"/>
  <c r="AJ10" i="90"/>
  <c r="AI10" i="90"/>
  <c r="AH10" i="90"/>
  <c r="AG10" i="90"/>
  <c r="AF10" i="90"/>
  <c r="AD10" i="90"/>
  <c r="AC10" i="90"/>
  <c r="AB10" i="90"/>
  <c r="AA10" i="90"/>
  <c r="Z10" i="90"/>
  <c r="AM9" i="90"/>
  <c r="AL9" i="90"/>
  <c r="AK9" i="90"/>
  <c r="AJ9" i="90"/>
  <c r="AI9" i="90"/>
  <c r="AH9" i="90"/>
  <c r="AG9" i="90"/>
  <c r="AF9" i="90"/>
  <c r="AD9" i="90"/>
  <c r="AC9" i="90"/>
  <c r="AB9" i="90"/>
  <c r="AA9" i="90"/>
  <c r="Z9" i="90"/>
  <c r="AM8" i="90"/>
  <c r="AL8" i="90"/>
  <c r="AK8" i="90"/>
  <c r="AJ8" i="90"/>
  <c r="AI8" i="90"/>
  <c r="AH8" i="90"/>
  <c r="AG8" i="90"/>
  <c r="AF8" i="90"/>
  <c r="AD8" i="90"/>
  <c r="AC8" i="90"/>
  <c r="AB8" i="90"/>
  <c r="AA8" i="90"/>
  <c r="Z8" i="90"/>
  <c r="AM7" i="90"/>
  <c r="AL7" i="90"/>
  <c r="AK7" i="90"/>
  <c r="AJ7" i="90"/>
  <c r="AI7" i="90"/>
  <c r="AH7" i="90"/>
  <c r="AG7" i="90"/>
  <c r="AF7" i="90"/>
  <c r="AD7" i="90"/>
  <c r="AC7" i="90"/>
  <c r="AB7" i="90"/>
  <c r="AA7" i="90"/>
  <c r="Z7" i="90"/>
  <c r="AM6" i="90"/>
  <c r="AL6" i="90"/>
  <c r="AK6" i="90"/>
  <c r="AJ6" i="90"/>
  <c r="AI6" i="90"/>
  <c r="AH6" i="90"/>
  <c r="AG6" i="90"/>
  <c r="AF6" i="90"/>
  <c r="AD6" i="90"/>
  <c r="AC6" i="90"/>
  <c r="AB6" i="90"/>
  <c r="AA6" i="90"/>
  <c r="Z6" i="90"/>
  <c r="AM5" i="90"/>
  <c r="AL5" i="90"/>
  <c r="AK5" i="90"/>
  <c r="AJ5" i="90"/>
  <c r="AI5" i="90"/>
  <c r="AH5" i="90"/>
  <c r="AG5" i="90"/>
  <c r="AF5" i="90"/>
  <c r="AD5" i="90"/>
  <c r="AC5" i="90"/>
  <c r="AB5" i="90"/>
  <c r="AA5" i="90"/>
  <c r="Z5" i="90"/>
  <c r="C64" i="96" l="1"/>
  <c r="C63" i="96"/>
  <c r="C62" i="96"/>
  <c r="C61" i="96"/>
  <c r="C60" i="96"/>
  <c r="C59" i="96"/>
  <c r="C53" i="96"/>
  <c r="C52" i="96"/>
  <c r="C51" i="96"/>
  <c r="C50" i="96"/>
  <c r="C49" i="96"/>
  <c r="C48" i="96"/>
  <c r="C39" i="96"/>
  <c r="C38" i="96"/>
  <c r="C37" i="96"/>
  <c r="C36" i="96"/>
  <c r="C35" i="96"/>
  <c r="C34" i="96"/>
  <c r="C33" i="96"/>
  <c r="C32" i="96"/>
  <c r="C31" i="96"/>
  <c r="C7" i="96"/>
  <c r="C64" i="44"/>
  <c r="C63" i="44"/>
  <c r="C62" i="44"/>
  <c r="C61" i="44"/>
  <c r="C60" i="44"/>
  <c r="C59" i="44"/>
  <c r="C53" i="44"/>
  <c r="C52" i="44"/>
  <c r="C51" i="44"/>
  <c r="C50" i="44"/>
  <c r="C49" i="44"/>
  <c r="C48" i="44"/>
  <c r="C39" i="44"/>
  <c r="C38" i="44"/>
  <c r="C37" i="44"/>
  <c r="C36" i="44"/>
  <c r="C35" i="44"/>
  <c r="C34" i="44"/>
  <c r="C33" i="44"/>
  <c r="C32" i="44"/>
  <c r="C31" i="44"/>
  <c r="C7" i="44"/>
  <c r="C64" i="1"/>
  <c r="C63" i="1"/>
  <c r="C62" i="1"/>
  <c r="C61" i="1"/>
  <c r="C60" i="1"/>
  <c r="C59" i="1"/>
  <c r="C53" i="1"/>
  <c r="C52" i="1"/>
  <c r="C51" i="1"/>
  <c r="C50" i="1"/>
  <c r="C49" i="1"/>
  <c r="C48" i="1"/>
  <c r="C39" i="1"/>
  <c r="C38" i="1"/>
  <c r="C37" i="1"/>
  <c r="C36" i="1"/>
  <c r="C35" i="1"/>
  <c r="C34" i="1"/>
  <c r="C33" i="1"/>
  <c r="C32" i="1"/>
  <c r="C31" i="1"/>
  <c r="C7" i="1"/>
  <c r="C64" i="94"/>
  <c r="C54" i="96" l="1"/>
  <c r="C30" i="96"/>
  <c r="C47" i="96"/>
  <c r="C40" i="96"/>
  <c r="B1" i="96"/>
  <c r="B1" i="44"/>
  <c r="B1" i="1"/>
  <c r="B1" i="94"/>
  <c r="S17" i="73" l="1"/>
  <c r="BP15" i="95" l="1"/>
  <c r="BS15" i="95" s="1"/>
  <c r="BO15" i="95"/>
  <c r="BW14" i="95"/>
  <c r="BZ14" i="95" s="1"/>
  <c r="BV14" i="95"/>
  <c r="BP14" i="95"/>
  <c r="BS14" i="95" s="1"/>
  <c r="BO14" i="95"/>
  <c r="BP13" i="95"/>
  <c r="BT13" i="95" s="1"/>
  <c r="W13" i="73" s="1"/>
  <c r="BO13" i="95"/>
  <c r="Z13" i="95"/>
  <c r="AD13" i="95" s="1"/>
  <c r="O13" i="73" s="1"/>
  <c r="Y13" i="95"/>
  <c r="BP12" i="95"/>
  <c r="BT12" i="95" s="1"/>
  <c r="BO12" i="95"/>
  <c r="Z11" i="95"/>
  <c r="AD11" i="95" s="1"/>
  <c r="Y11" i="95"/>
  <c r="BW8" i="95"/>
  <c r="BZ8" i="95" s="1"/>
  <c r="BV8" i="95"/>
  <c r="BP8" i="95"/>
  <c r="BS8" i="95" s="1"/>
  <c r="BO8" i="95"/>
  <c r="BW7" i="95"/>
  <c r="CA7" i="95" s="1"/>
  <c r="BV7" i="95"/>
  <c r="BP7" i="95"/>
  <c r="BT7" i="95" s="1"/>
  <c r="W7" i="73" s="1"/>
  <c r="BO7" i="95"/>
  <c r="BP6" i="95"/>
  <c r="BT6" i="95" s="1"/>
  <c r="BO6" i="95"/>
  <c r="BW5" i="95"/>
  <c r="CA5" i="95" s="1"/>
  <c r="BV5" i="95"/>
  <c r="Z5" i="95"/>
  <c r="AD5" i="95" s="1"/>
  <c r="O5" i="73" s="1"/>
  <c r="Y5" i="95"/>
  <c r="B3" i="95"/>
  <c r="C3" i="95" s="1"/>
  <c r="D3" i="95" s="1"/>
  <c r="E3" i="95" s="1"/>
  <c r="F3" i="95" s="1"/>
  <c r="G3" i="95" s="1"/>
  <c r="H3" i="95" s="1"/>
  <c r="I3" i="95" s="1"/>
  <c r="J3" i="95" s="1"/>
  <c r="K3" i="95" s="1"/>
  <c r="L3" i="95" s="1"/>
  <c r="M3" i="95" s="1"/>
  <c r="N3" i="95" s="1"/>
  <c r="O3" i="95" s="1"/>
  <c r="P3" i="95" s="1"/>
  <c r="Q3" i="95" s="1"/>
  <c r="R3" i="95" s="1"/>
  <c r="S3" i="95" s="1"/>
  <c r="T3" i="95" s="1"/>
  <c r="U3" i="95" s="1"/>
  <c r="V3" i="95" s="1"/>
  <c r="W3" i="95" s="1"/>
  <c r="X3" i="95" s="1"/>
  <c r="Y3" i="95" s="1"/>
  <c r="Z3" i="95" s="1"/>
  <c r="AA3" i="95" s="1"/>
  <c r="AB3" i="95" s="1"/>
  <c r="AC3" i="95" s="1"/>
  <c r="AD3" i="95" s="1"/>
  <c r="AE3" i="95" s="1"/>
  <c r="AF3" i="95" s="1"/>
  <c r="AG3" i="95" s="1"/>
  <c r="AH3" i="95" s="1"/>
  <c r="AI3" i="95" s="1"/>
  <c r="AJ3" i="95" s="1"/>
  <c r="AK3" i="95" s="1"/>
  <c r="AL3" i="95" s="1"/>
  <c r="AM3" i="95" s="1"/>
  <c r="AN3" i="95" s="1"/>
  <c r="AO3" i="95" s="1"/>
  <c r="AP3" i="95" s="1"/>
  <c r="AQ3" i="95" s="1"/>
  <c r="AR3" i="95" s="1"/>
  <c r="AS3" i="95" s="1"/>
  <c r="AT3" i="95" s="1"/>
  <c r="AU3" i="95" s="1"/>
  <c r="AV3" i="95" s="1"/>
  <c r="AW3" i="95" s="1"/>
  <c r="AX3" i="95" s="1"/>
  <c r="AY3" i="95" s="1"/>
  <c r="AZ3" i="95" s="1"/>
  <c r="BA3" i="95" s="1"/>
  <c r="BB3" i="95" s="1"/>
  <c r="BC3" i="95" s="1"/>
  <c r="BD3" i="95" s="1"/>
  <c r="BE3" i="95" s="1"/>
  <c r="BF3" i="95" s="1"/>
  <c r="BG3" i="95" s="1"/>
  <c r="BH3" i="95" s="1"/>
  <c r="BI3" i="95" s="1"/>
  <c r="BJ3" i="95" s="1"/>
  <c r="BK3" i="95" s="1"/>
  <c r="BL3" i="95" s="1"/>
  <c r="BM3" i="95" s="1"/>
  <c r="BN3" i="95" s="1"/>
  <c r="BW7" i="86"/>
  <c r="BZ7" i="86" s="1"/>
  <c r="BW8" i="86"/>
  <c r="BW14" i="86"/>
  <c r="BW5" i="86"/>
  <c r="BV7" i="86"/>
  <c r="BV8" i="86"/>
  <c r="BV14" i="86"/>
  <c r="BV5" i="86"/>
  <c r="BP6" i="86"/>
  <c r="BT6" i="86" s="1"/>
  <c r="AM6" i="73" s="1"/>
  <c r="BP7" i="86"/>
  <c r="BT7" i="86" s="1"/>
  <c r="BP8" i="86"/>
  <c r="BP12" i="86"/>
  <c r="BP13" i="86"/>
  <c r="BT13" i="86" s="1"/>
  <c r="AM13" i="73" s="1"/>
  <c r="BP14" i="86"/>
  <c r="BS14" i="86" s="1"/>
  <c r="BP15" i="86"/>
  <c r="BT15" i="86" s="1"/>
  <c r="BO6" i="86"/>
  <c r="BO7" i="86"/>
  <c r="BO8" i="86"/>
  <c r="BO12" i="86"/>
  <c r="BO13" i="86"/>
  <c r="BO14" i="86"/>
  <c r="BO15" i="86"/>
  <c r="Z5" i="86"/>
  <c r="AC5" i="86" s="1"/>
  <c r="Y5" i="86"/>
  <c r="Z11" i="86"/>
  <c r="AC11" i="86" s="1"/>
  <c r="Z13" i="86"/>
  <c r="Y11" i="86"/>
  <c r="Y13" i="86"/>
  <c r="CA8" i="95" l="1"/>
  <c r="X8" i="73" s="1"/>
  <c r="BT14" i="95"/>
  <c r="W14" i="73" s="1"/>
  <c r="CA7" i="86"/>
  <c r="AN7" i="73" s="1"/>
  <c r="BT15" i="95"/>
  <c r="W15" i="73" s="1"/>
  <c r="BT8" i="95"/>
  <c r="W8" i="73" s="1"/>
  <c r="CA14" i="95"/>
  <c r="X14" i="73" s="1"/>
  <c r="BT14" i="86"/>
  <c r="AM14" i="73" s="1"/>
  <c r="AC11" i="95"/>
  <c r="AC13" i="95"/>
  <c r="BS13" i="95"/>
  <c r="AC5" i="95"/>
  <c r="BS7" i="95"/>
  <c r="BS12" i="95"/>
  <c r="BS6" i="95"/>
  <c r="BZ5" i="95"/>
  <c r="BZ7" i="95"/>
  <c r="CA14" i="86"/>
  <c r="BZ14" i="86"/>
  <c r="W12" i="73"/>
  <c r="CA5" i="86"/>
  <c r="BZ5" i="86"/>
  <c r="X7" i="73"/>
  <c r="CA8" i="86"/>
  <c r="BZ8" i="86"/>
  <c r="W6" i="73"/>
  <c r="X5" i="73"/>
  <c r="BS6" i="86"/>
  <c r="O11" i="73"/>
  <c r="BS13" i="86"/>
  <c r="BS3" i="95"/>
  <c r="BT3" i="95" s="1"/>
  <c r="BU3" i="95" s="1"/>
  <c r="BV3" i="95" s="1"/>
  <c r="BW3" i="95" s="1"/>
  <c r="BX3" i="95" s="1"/>
  <c r="BY3" i="95" s="1"/>
  <c r="BZ3" i="95" s="1"/>
  <c r="CA3" i="95" s="1"/>
  <c r="CB3" i="95" s="1"/>
  <c r="CC3" i="95" s="1"/>
  <c r="CD3" i="95" s="1"/>
  <c r="CE3" i="95" s="1"/>
  <c r="BO3" i="95"/>
  <c r="BP3" i="95" s="1"/>
  <c r="BQ3" i="95" s="1"/>
  <c r="BR3" i="95" s="1"/>
  <c r="AM15" i="73"/>
  <c r="AM7" i="73"/>
  <c r="BS12" i="86"/>
  <c r="BS8" i="86"/>
  <c r="BT12" i="86"/>
  <c r="BT8" i="86"/>
  <c r="BS15" i="86"/>
  <c r="BS7" i="86"/>
  <c r="AD5" i="86"/>
  <c r="AC13" i="86"/>
  <c r="AD13" i="86"/>
  <c r="AD11" i="86"/>
  <c r="AN5" i="73" l="1"/>
  <c r="AN8" i="73"/>
  <c r="AN14" i="73"/>
  <c r="AM12" i="73"/>
  <c r="AM8" i="73"/>
  <c r="AE5" i="73"/>
  <c r="AE13" i="73"/>
  <c r="AE11" i="73"/>
  <c r="B3" i="93" l="1"/>
  <c r="C3" i="93" s="1"/>
  <c r="D3" i="93" s="1"/>
  <c r="E3" i="93" s="1"/>
  <c r="F3" i="93" s="1"/>
  <c r="G3" i="93" s="1"/>
  <c r="H3" i="93" s="1"/>
  <c r="R17" i="92"/>
  <c r="Q15" i="92"/>
  <c r="P15" i="92"/>
  <c r="O15" i="92"/>
  <c r="N15" i="92"/>
  <c r="M15" i="92"/>
  <c r="L15" i="92"/>
  <c r="K15" i="92"/>
  <c r="J15" i="92"/>
  <c r="H15" i="92"/>
  <c r="G15" i="92"/>
  <c r="F15" i="92"/>
  <c r="E15" i="92"/>
  <c r="D15" i="92"/>
  <c r="Q14" i="92"/>
  <c r="P14" i="92"/>
  <c r="O14" i="92"/>
  <c r="N14" i="92"/>
  <c r="M14" i="92"/>
  <c r="L14" i="92"/>
  <c r="K14" i="92"/>
  <c r="J14" i="92"/>
  <c r="H14" i="92"/>
  <c r="G14" i="92"/>
  <c r="F14" i="92"/>
  <c r="E14" i="92"/>
  <c r="D14" i="92"/>
  <c r="Q13" i="92"/>
  <c r="P13" i="92"/>
  <c r="O13" i="92"/>
  <c r="N13" i="92"/>
  <c r="M13" i="92"/>
  <c r="L13" i="92"/>
  <c r="K13" i="92"/>
  <c r="J13" i="92"/>
  <c r="H13" i="92"/>
  <c r="G13" i="92"/>
  <c r="F13" i="92"/>
  <c r="E13" i="92"/>
  <c r="D13" i="92"/>
  <c r="Q12" i="92"/>
  <c r="P12" i="92"/>
  <c r="O12" i="92"/>
  <c r="N12" i="92"/>
  <c r="M12" i="92"/>
  <c r="L12" i="92"/>
  <c r="K12" i="92"/>
  <c r="J12" i="92"/>
  <c r="H12" i="92"/>
  <c r="G12" i="92"/>
  <c r="F12" i="92"/>
  <c r="E12" i="92"/>
  <c r="D12" i="92"/>
  <c r="Q11" i="92"/>
  <c r="P11" i="92"/>
  <c r="O11" i="92"/>
  <c r="N11" i="92"/>
  <c r="M11" i="92"/>
  <c r="L11" i="92"/>
  <c r="K11" i="92"/>
  <c r="J11" i="92"/>
  <c r="H11" i="92"/>
  <c r="G11" i="92"/>
  <c r="F11" i="92"/>
  <c r="E11" i="92"/>
  <c r="D11" i="92"/>
  <c r="Q10" i="92"/>
  <c r="P10" i="92"/>
  <c r="O10" i="92"/>
  <c r="N10" i="92"/>
  <c r="M10" i="92"/>
  <c r="L10" i="92"/>
  <c r="K10" i="92"/>
  <c r="J10" i="92"/>
  <c r="H10" i="92"/>
  <c r="G10" i="92"/>
  <c r="F10" i="92"/>
  <c r="E10" i="92"/>
  <c r="D10" i="92"/>
  <c r="Q9" i="92"/>
  <c r="P9" i="92"/>
  <c r="O9" i="92"/>
  <c r="N9" i="92"/>
  <c r="M9" i="92"/>
  <c r="L9" i="92"/>
  <c r="K9" i="92"/>
  <c r="J9" i="92"/>
  <c r="H9" i="92"/>
  <c r="G9" i="92"/>
  <c r="F9" i="92"/>
  <c r="E9" i="92"/>
  <c r="D9" i="92"/>
  <c r="Q8" i="92"/>
  <c r="P8" i="92"/>
  <c r="O8" i="92"/>
  <c r="N8" i="92"/>
  <c r="M8" i="92"/>
  <c r="L8" i="92"/>
  <c r="K8" i="92"/>
  <c r="J8" i="92"/>
  <c r="H8" i="92"/>
  <c r="G8" i="92"/>
  <c r="F8" i="92"/>
  <c r="E8" i="92"/>
  <c r="D8" i="92"/>
  <c r="Q7" i="92"/>
  <c r="P7" i="92"/>
  <c r="O7" i="92"/>
  <c r="N7" i="92"/>
  <c r="M7" i="92"/>
  <c r="L7" i="92"/>
  <c r="K7" i="92"/>
  <c r="J7" i="92"/>
  <c r="H7" i="92"/>
  <c r="G7" i="92"/>
  <c r="F7" i="92"/>
  <c r="E7" i="92"/>
  <c r="D7" i="92"/>
  <c r="Q6" i="92"/>
  <c r="P6" i="92"/>
  <c r="O6" i="92"/>
  <c r="N6" i="92"/>
  <c r="M6" i="92"/>
  <c r="L6" i="92"/>
  <c r="K6" i="92"/>
  <c r="J6" i="92"/>
  <c r="H6" i="92"/>
  <c r="G6" i="92"/>
  <c r="F6" i="92"/>
  <c r="E6" i="92"/>
  <c r="D6" i="92"/>
  <c r="Q5" i="92"/>
  <c r="P5" i="92"/>
  <c r="O5" i="92"/>
  <c r="N5" i="92"/>
  <c r="M5" i="92"/>
  <c r="L5" i="92"/>
  <c r="K5" i="92"/>
  <c r="J5" i="92"/>
  <c r="H5" i="92"/>
  <c r="G5" i="92"/>
  <c r="F5" i="92"/>
  <c r="E5" i="92"/>
  <c r="D5" i="92"/>
  <c r="B3" i="92"/>
  <c r="C3" i="92" s="1"/>
  <c r="D3" i="92" s="1"/>
  <c r="E3" i="92" s="1"/>
  <c r="F3" i="92" s="1"/>
  <c r="G3" i="92" s="1"/>
  <c r="H3" i="92" s="1"/>
  <c r="I3" i="92" s="1"/>
  <c r="J3" i="92" s="1"/>
  <c r="K3" i="92" s="1"/>
  <c r="L3" i="92" s="1"/>
  <c r="M3" i="92" s="1"/>
  <c r="N3" i="92" s="1"/>
  <c r="O3" i="92" s="1"/>
  <c r="P3" i="92" s="1"/>
  <c r="Q3" i="92" s="1"/>
  <c r="R3" i="92" s="1"/>
  <c r="S3" i="92" s="1"/>
  <c r="T3" i="92" s="1"/>
  <c r="U3" i="92" s="1"/>
  <c r="Y17" i="91"/>
  <c r="X17" i="91"/>
  <c r="R17" i="91"/>
  <c r="Q17" i="91"/>
  <c r="P17" i="91"/>
  <c r="O17" i="91"/>
  <c r="N17" i="91"/>
  <c r="M17" i="91"/>
  <c r="L17" i="91"/>
  <c r="K17" i="91"/>
  <c r="J17" i="91"/>
  <c r="I15" i="91"/>
  <c r="C15" i="91" s="1"/>
  <c r="I14" i="91"/>
  <c r="C14" i="91" s="1"/>
  <c r="I13" i="91"/>
  <c r="C13" i="91" s="1"/>
  <c r="I12" i="91"/>
  <c r="C12" i="91" s="1"/>
  <c r="I11" i="91"/>
  <c r="C11" i="91" s="1"/>
  <c r="I10" i="91"/>
  <c r="C10" i="91" s="1"/>
  <c r="I9" i="91"/>
  <c r="C9" i="91" s="1"/>
  <c r="I8" i="91"/>
  <c r="C8" i="91" s="1"/>
  <c r="I7" i="91"/>
  <c r="C7" i="91" s="1"/>
  <c r="I6" i="91"/>
  <c r="C6" i="91" s="1"/>
  <c r="I5" i="91"/>
  <c r="C5" i="91" s="1"/>
  <c r="B3" i="91"/>
  <c r="C3" i="91" s="1"/>
  <c r="D3" i="91" s="1"/>
  <c r="E3" i="91" s="1"/>
  <c r="F3" i="91" s="1"/>
  <c r="G3" i="91" s="1"/>
  <c r="H3" i="91" s="1"/>
  <c r="I3" i="91" s="1"/>
  <c r="J3" i="91" s="1"/>
  <c r="K3" i="91" s="1"/>
  <c r="L3" i="91" s="1"/>
  <c r="M3" i="91" s="1"/>
  <c r="N3" i="91" s="1"/>
  <c r="O3" i="91" s="1"/>
  <c r="P3" i="91" s="1"/>
  <c r="Q3" i="91" s="1"/>
  <c r="R3" i="91" s="1"/>
  <c r="S3" i="91" s="1"/>
  <c r="T3" i="91" s="1"/>
  <c r="U3" i="91" s="1"/>
  <c r="V3" i="91" s="1"/>
  <c r="W3" i="91" s="1"/>
  <c r="X3" i="91" s="1"/>
  <c r="Y3" i="91" s="1"/>
  <c r="C17" i="90"/>
  <c r="X15" i="90"/>
  <c r="W15" i="90"/>
  <c r="V15" i="90"/>
  <c r="U15" i="90"/>
  <c r="T15" i="90"/>
  <c r="S15" i="90"/>
  <c r="R15" i="90"/>
  <c r="Q15" i="90"/>
  <c r="P15" i="90"/>
  <c r="N15" i="90"/>
  <c r="M15" i="90"/>
  <c r="L15" i="90"/>
  <c r="K15" i="90"/>
  <c r="J15" i="90"/>
  <c r="X14" i="90"/>
  <c r="W14" i="90"/>
  <c r="V14" i="90"/>
  <c r="U14" i="90"/>
  <c r="T14" i="90"/>
  <c r="S14" i="90"/>
  <c r="R14" i="90"/>
  <c r="Q14" i="90"/>
  <c r="P14" i="90"/>
  <c r="N14" i="90"/>
  <c r="M14" i="90"/>
  <c r="L14" i="90"/>
  <c r="K14" i="90"/>
  <c r="J14" i="90"/>
  <c r="X13" i="90"/>
  <c r="W13" i="90"/>
  <c r="V13" i="90"/>
  <c r="U13" i="90"/>
  <c r="T13" i="90"/>
  <c r="S13" i="90"/>
  <c r="R13" i="90"/>
  <c r="Q13" i="90"/>
  <c r="P13" i="90"/>
  <c r="N13" i="90"/>
  <c r="M13" i="90"/>
  <c r="L13" i="90"/>
  <c r="K13" i="90"/>
  <c r="J13" i="90"/>
  <c r="X12" i="90"/>
  <c r="W12" i="90"/>
  <c r="V12" i="90"/>
  <c r="U12" i="90"/>
  <c r="T12" i="90"/>
  <c r="S12" i="90"/>
  <c r="R12" i="90"/>
  <c r="Q12" i="90"/>
  <c r="P12" i="90"/>
  <c r="N12" i="90"/>
  <c r="M12" i="90"/>
  <c r="L12" i="90"/>
  <c r="K12" i="90"/>
  <c r="J12" i="90"/>
  <c r="X11" i="90"/>
  <c r="W11" i="90"/>
  <c r="V11" i="90"/>
  <c r="U11" i="90"/>
  <c r="T11" i="90"/>
  <c r="S11" i="90"/>
  <c r="R11" i="90"/>
  <c r="Q11" i="90"/>
  <c r="P11" i="90"/>
  <c r="N11" i="90"/>
  <c r="M11" i="90"/>
  <c r="L11" i="90"/>
  <c r="K11" i="90"/>
  <c r="J11" i="90"/>
  <c r="X10" i="90"/>
  <c r="W10" i="90"/>
  <c r="V10" i="90"/>
  <c r="U10" i="90"/>
  <c r="T10" i="90"/>
  <c r="S10" i="90"/>
  <c r="R10" i="90"/>
  <c r="Q10" i="90"/>
  <c r="P10" i="90"/>
  <c r="N10" i="90"/>
  <c r="M10" i="90"/>
  <c r="L10" i="90"/>
  <c r="K10" i="90"/>
  <c r="J10" i="90"/>
  <c r="X9" i="90"/>
  <c r="W9" i="90"/>
  <c r="V9" i="90"/>
  <c r="U9" i="90"/>
  <c r="T9" i="90"/>
  <c r="S9" i="90"/>
  <c r="R9" i="90"/>
  <c r="Q9" i="90"/>
  <c r="P9" i="90"/>
  <c r="N9" i="90"/>
  <c r="M9" i="90"/>
  <c r="L9" i="90"/>
  <c r="K9" i="90"/>
  <c r="J9" i="90"/>
  <c r="X8" i="90"/>
  <c r="W8" i="90"/>
  <c r="V8" i="90"/>
  <c r="U8" i="90"/>
  <c r="T8" i="90"/>
  <c r="S8" i="90"/>
  <c r="R8" i="90"/>
  <c r="Q8" i="90"/>
  <c r="P8" i="90"/>
  <c r="N8" i="90"/>
  <c r="M8" i="90"/>
  <c r="L8" i="90"/>
  <c r="K8" i="90"/>
  <c r="J8" i="90"/>
  <c r="X7" i="90"/>
  <c r="W7" i="90"/>
  <c r="V7" i="90"/>
  <c r="U7" i="90"/>
  <c r="T7" i="90"/>
  <c r="S7" i="90"/>
  <c r="R7" i="90"/>
  <c r="Q7" i="90"/>
  <c r="P7" i="90"/>
  <c r="N7" i="90"/>
  <c r="M7" i="90"/>
  <c r="L7" i="90"/>
  <c r="K7" i="90"/>
  <c r="J7" i="90"/>
  <c r="X6" i="90"/>
  <c r="W6" i="90"/>
  <c r="V6" i="90"/>
  <c r="U6" i="90"/>
  <c r="T6" i="90"/>
  <c r="S6" i="90"/>
  <c r="R6" i="90"/>
  <c r="Q6" i="90"/>
  <c r="P6" i="90"/>
  <c r="N6" i="90"/>
  <c r="M6" i="90"/>
  <c r="L6" i="90"/>
  <c r="K6" i="90"/>
  <c r="J6" i="90"/>
  <c r="X5" i="90"/>
  <c r="W5" i="90"/>
  <c r="V5" i="90"/>
  <c r="U5" i="90"/>
  <c r="T5" i="90"/>
  <c r="S5" i="90"/>
  <c r="R5" i="90"/>
  <c r="Q5" i="90"/>
  <c r="P5" i="90"/>
  <c r="N5" i="90"/>
  <c r="M5" i="90"/>
  <c r="L5" i="90"/>
  <c r="K5" i="90"/>
  <c r="J5" i="90"/>
  <c r="B3" i="90"/>
  <c r="C3" i="90" s="1"/>
  <c r="D3" i="90" s="1"/>
  <c r="E3" i="90" s="1"/>
  <c r="F3" i="90" s="1"/>
  <c r="G3" i="90" s="1"/>
  <c r="H3" i="90" s="1"/>
  <c r="I3" i="90" s="1"/>
  <c r="J3" i="90" s="1"/>
  <c r="K3" i="90" s="1"/>
  <c r="L3" i="90" s="1"/>
  <c r="M3" i="90" s="1"/>
  <c r="N3" i="90" s="1"/>
  <c r="O3" i="90" s="1"/>
  <c r="P3" i="90" s="1"/>
  <c r="Q3" i="90" s="1"/>
  <c r="R3" i="90" s="1"/>
  <c r="S3" i="90" s="1"/>
  <c r="T3" i="90" s="1"/>
  <c r="U3" i="90" s="1"/>
  <c r="V3" i="90" s="1"/>
  <c r="W3" i="90" s="1"/>
  <c r="X3" i="90" s="1"/>
  <c r="Y3" i="90" s="1"/>
  <c r="Z3" i="90" s="1"/>
  <c r="AA3" i="90" s="1"/>
  <c r="AB3" i="90" s="1"/>
  <c r="AC3" i="90" s="1"/>
  <c r="AD3" i="90" s="1"/>
  <c r="AE3" i="90" s="1"/>
  <c r="AF3" i="90" s="1"/>
  <c r="AG3" i="90" s="1"/>
  <c r="AH3" i="90" s="1"/>
  <c r="AI3" i="90" s="1"/>
  <c r="AJ3" i="90" s="1"/>
  <c r="AK3" i="90" s="1"/>
  <c r="AL3" i="90" s="1"/>
  <c r="AM3" i="90" s="1"/>
  <c r="B3" i="89"/>
  <c r="C3" i="89" s="1"/>
  <c r="D3" i="89" s="1"/>
  <c r="E3" i="89" s="1"/>
  <c r="F3" i="89" s="1"/>
  <c r="G3" i="89" s="1"/>
  <c r="H3" i="89" s="1"/>
  <c r="I3" i="89" s="1"/>
  <c r="J3" i="89" s="1"/>
  <c r="K3" i="89" s="1"/>
  <c r="L3" i="89" s="1"/>
  <c r="M3" i="89" s="1"/>
  <c r="B3" i="88"/>
  <c r="C3" i="88" s="1"/>
  <c r="D3" i="88" s="1"/>
  <c r="E3" i="88" s="1"/>
  <c r="F3" i="88" s="1"/>
  <c r="G3" i="88" s="1"/>
  <c r="H3" i="88" s="1"/>
  <c r="I3" i="88" s="1"/>
  <c r="J3" i="88" s="1"/>
  <c r="K3" i="88" s="1"/>
  <c r="B3" i="86"/>
  <c r="C3" i="86" s="1"/>
  <c r="H15" i="85"/>
  <c r="G15" i="85"/>
  <c r="F15" i="85"/>
  <c r="E15" i="85"/>
  <c r="D15" i="85"/>
  <c r="H14" i="85"/>
  <c r="G14" i="85"/>
  <c r="G14" i="89" s="1"/>
  <c r="F14" i="85"/>
  <c r="E14" i="85"/>
  <c r="E14" i="89" s="1"/>
  <c r="D14" i="85"/>
  <c r="H13" i="85"/>
  <c r="G13" i="85"/>
  <c r="G13" i="89" s="1"/>
  <c r="F13" i="85"/>
  <c r="F13" i="89" s="1"/>
  <c r="E13" i="85"/>
  <c r="E13" i="89" s="1"/>
  <c r="D13" i="85"/>
  <c r="H12" i="85"/>
  <c r="G12" i="85"/>
  <c r="F12" i="85"/>
  <c r="E12" i="85"/>
  <c r="D12" i="85"/>
  <c r="D12" i="89" s="1"/>
  <c r="H11" i="85"/>
  <c r="G11" i="85"/>
  <c r="G11" i="89" s="1"/>
  <c r="F11" i="85"/>
  <c r="E11" i="85"/>
  <c r="D11" i="85"/>
  <c r="H10" i="85"/>
  <c r="G10" i="85"/>
  <c r="F10" i="85"/>
  <c r="E10" i="85"/>
  <c r="D10" i="85"/>
  <c r="H9" i="85"/>
  <c r="G9" i="85"/>
  <c r="G9" i="89" s="1"/>
  <c r="F9" i="85"/>
  <c r="F9" i="89" s="1"/>
  <c r="E9" i="85"/>
  <c r="D9" i="85"/>
  <c r="H8" i="85"/>
  <c r="H8" i="89" s="1"/>
  <c r="G8" i="85"/>
  <c r="F8" i="85"/>
  <c r="F8" i="89" s="1"/>
  <c r="E8" i="85"/>
  <c r="D8" i="85"/>
  <c r="D8" i="89" s="1"/>
  <c r="H7" i="85"/>
  <c r="G7" i="85"/>
  <c r="F7" i="85"/>
  <c r="E7" i="85"/>
  <c r="E7" i="89" s="1"/>
  <c r="D7" i="85"/>
  <c r="H6" i="85"/>
  <c r="G6" i="85"/>
  <c r="F6" i="85"/>
  <c r="F6" i="89" s="1"/>
  <c r="E6" i="85"/>
  <c r="E6" i="89" s="1"/>
  <c r="D6" i="85"/>
  <c r="H5" i="85"/>
  <c r="G5" i="85"/>
  <c r="G5" i="89" s="1"/>
  <c r="F5" i="85"/>
  <c r="F5" i="89" s="1"/>
  <c r="E5" i="85"/>
  <c r="D5" i="85"/>
  <c r="B3" i="85"/>
  <c r="C3" i="85" s="1"/>
  <c r="D3" i="85" s="1"/>
  <c r="E3" i="85" s="1"/>
  <c r="F3" i="85" s="1"/>
  <c r="G3" i="85" s="1"/>
  <c r="H3" i="85" s="1"/>
  <c r="I3" i="85" s="1"/>
  <c r="J3" i="85" s="1"/>
  <c r="K3" i="85" s="1"/>
  <c r="L3" i="85" s="1"/>
  <c r="M3" i="85" s="1"/>
  <c r="N3" i="85" s="1"/>
  <c r="O3" i="85" s="1"/>
  <c r="P3" i="85" s="1"/>
  <c r="Q3" i="85" s="1"/>
  <c r="R3" i="85" s="1"/>
  <c r="S3" i="85" s="1"/>
  <c r="T3" i="85" s="1"/>
  <c r="U3" i="85" s="1"/>
  <c r="V3" i="85" s="1"/>
  <c r="W3" i="85" s="1"/>
  <c r="X3" i="85" s="1"/>
  <c r="Y3" i="85" s="1"/>
  <c r="Z3" i="85" s="1"/>
  <c r="AA3" i="85" s="1"/>
  <c r="AB3" i="85" s="1"/>
  <c r="AC3" i="85" s="1"/>
  <c r="AD3" i="85" s="1"/>
  <c r="R17" i="84"/>
  <c r="Q17" i="84"/>
  <c r="P17" i="84"/>
  <c r="O17" i="84"/>
  <c r="N17" i="84"/>
  <c r="M17" i="84"/>
  <c r="L17" i="84"/>
  <c r="K17" i="84"/>
  <c r="J17" i="84"/>
  <c r="H17" i="84"/>
  <c r="G17" i="84"/>
  <c r="F17" i="84"/>
  <c r="E17" i="84"/>
  <c r="D17" i="84"/>
  <c r="I15" i="84"/>
  <c r="C15" i="84" s="1"/>
  <c r="I14" i="84"/>
  <c r="C14" i="84" s="1"/>
  <c r="I13" i="84"/>
  <c r="C13" i="84" s="1"/>
  <c r="I12" i="84"/>
  <c r="C12" i="84" s="1"/>
  <c r="I11" i="84"/>
  <c r="C11" i="84" s="1"/>
  <c r="I10" i="84"/>
  <c r="C10" i="84" s="1"/>
  <c r="I9" i="84"/>
  <c r="C9" i="84" s="1"/>
  <c r="I8" i="84"/>
  <c r="C8" i="84" s="1"/>
  <c r="I7" i="84"/>
  <c r="C7" i="84" s="1"/>
  <c r="I6" i="84"/>
  <c r="C6" i="84" s="1"/>
  <c r="I5" i="84"/>
  <c r="C5" i="84" s="1"/>
  <c r="D3" i="84"/>
  <c r="E3" i="84" s="1"/>
  <c r="F3" i="84" s="1"/>
  <c r="G3" i="84" s="1"/>
  <c r="H3" i="84" s="1"/>
  <c r="I3" i="84" s="1"/>
  <c r="J3" i="84" s="1"/>
  <c r="K3" i="84" s="1"/>
  <c r="L3" i="84" s="1"/>
  <c r="M3" i="84" s="1"/>
  <c r="N3" i="84" s="1"/>
  <c r="O3" i="84" s="1"/>
  <c r="P3" i="84" s="1"/>
  <c r="Q3" i="84" s="1"/>
  <c r="R3" i="84" s="1"/>
  <c r="R17" i="83"/>
  <c r="Q17" i="83"/>
  <c r="AM17" i="90" s="1"/>
  <c r="P17" i="83"/>
  <c r="O17" i="83"/>
  <c r="N17" i="83"/>
  <c r="M17" i="83"/>
  <c r="L17" i="83"/>
  <c r="K17" i="83"/>
  <c r="J17" i="83"/>
  <c r="AF17" i="90" s="1"/>
  <c r="H17" i="83"/>
  <c r="E10" i="80" s="1"/>
  <c r="G17" i="83"/>
  <c r="F17" i="83"/>
  <c r="E17" i="83"/>
  <c r="D17" i="83"/>
  <c r="I15" i="83"/>
  <c r="I14" i="83"/>
  <c r="I13" i="83"/>
  <c r="I12" i="83"/>
  <c r="I11" i="83"/>
  <c r="I10" i="83"/>
  <c r="I9" i="83"/>
  <c r="I8" i="83"/>
  <c r="I7" i="83"/>
  <c r="I6" i="83"/>
  <c r="I5" i="83"/>
  <c r="D3" i="83"/>
  <c r="E3" i="83" s="1"/>
  <c r="F3" i="83" s="1"/>
  <c r="G3" i="83" s="1"/>
  <c r="H3" i="83" s="1"/>
  <c r="I3" i="83" s="1"/>
  <c r="J3" i="83" s="1"/>
  <c r="K3" i="83" s="1"/>
  <c r="L3" i="83" s="1"/>
  <c r="M3" i="83" s="1"/>
  <c r="N3" i="83" s="1"/>
  <c r="O3" i="83" s="1"/>
  <c r="P3" i="83" s="1"/>
  <c r="Q3" i="83" s="1"/>
  <c r="R3" i="83" s="1"/>
  <c r="R17" i="82"/>
  <c r="Q17" i="82"/>
  <c r="P17" i="82"/>
  <c r="O17" i="82"/>
  <c r="N17" i="82"/>
  <c r="M17" i="82"/>
  <c r="L17" i="82"/>
  <c r="K17" i="82"/>
  <c r="J17" i="82"/>
  <c r="H17" i="82"/>
  <c r="G17" i="82"/>
  <c r="F17" i="82"/>
  <c r="E17" i="82"/>
  <c r="D17" i="82"/>
  <c r="I15" i="82"/>
  <c r="C15" i="82" s="1"/>
  <c r="I14" i="82"/>
  <c r="C14" i="82" s="1"/>
  <c r="I13" i="82"/>
  <c r="C13" i="82" s="1"/>
  <c r="I12" i="82"/>
  <c r="C12" i="82" s="1"/>
  <c r="I11" i="82"/>
  <c r="C11" i="82" s="1"/>
  <c r="I10" i="82"/>
  <c r="C10" i="82" s="1"/>
  <c r="I9" i="82"/>
  <c r="C9" i="82" s="1"/>
  <c r="I8" i="82"/>
  <c r="C8" i="82" s="1"/>
  <c r="I7" i="82"/>
  <c r="C7" i="82" s="1"/>
  <c r="I6" i="82"/>
  <c r="C6" i="82" s="1"/>
  <c r="I5" i="82"/>
  <c r="C3" i="82"/>
  <c r="D3" i="82" s="1"/>
  <c r="E3" i="82" s="1"/>
  <c r="F3" i="82" s="1"/>
  <c r="G3" i="82" s="1"/>
  <c r="H3" i="82" s="1"/>
  <c r="I3" i="82" s="1"/>
  <c r="J3" i="82" s="1"/>
  <c r="K3" i="82" s="1"/>
  <c r="L3" i="82" s="1"/>
  <c r="M3" i="82" s="1"/>
  <c r="N3" i="82" s="1"/>
  <c r="O3" i="82" s="1"/>
  <c r="P3" i="82" s="1"/>
  <c r="Q3" i="82" s="1"/>
  <c r="R3" i="82" s="1"/>
  <c r="R17" i="81"/>
  <c r="Q17" i="81"/>
  <c r="P17" i="81"/>
  <c r="O17" i="81"/>
  <c r="N17" i="81"/>
  <c r="M17" i="81"/>
  <c r="L17" i="81"/>
  <c r="K17" i="81"/>
  <c r="J17" i="81"/>
  <c r="H17" i="81"/>
  <c r="G17" i="81"/>
  <c r="F17" i="81"/>
  <c r="E17" i="81"/>
  <c r="D17" i="81"/>
  <c r="I15" i="81"/>
  <c r="C15" i="81" s="1"/>
  <c r="I14" i="81"/>
  <c r="C14" i="81" s="1"/>
  <c r="I13" i="81"/>
  <c r="C13" i="81" s="1"/>
  <c r="I12" i="81"/>
  <c r="I11" i="81"/>
  <c r="C11" i="81" s="1"/>
  <c r="I10" i="81"/>
  <c r="C10" i="81" s="1"/>
  <c r="I9" i="81"/>
  <c r="C9" i="81" s="1"/>
  <c r="I8" i="81"/>
  <c r="C8" i="81" s="1"/>
  <c r="I7" i="81"/>
  <c r="C7" i="81" s="1"/>
  <c r="I6" i="81"/>
  <c r="C6" i="81" s="1"/>
  <c r="I5" i="81"/>
  <c r="I3" i="81"/>
  <c r="J3" i="81" s="1"/>
  <c r="K3" i="81" s="1"/>
  <c r="L3" i="81" s="1"/>
  <c r="M3" i="81" s="1"/>
  <c r="N3" i="81" s="1"/>
  <c r="O3" i="81" s="1"/>
  <c r="P3" i="81" s="1"/>
  <c r="Q3" i="81" s="1"/>
  <c r="R3" i="81" s="1"/>
  <c r="D4" i="80"/>
  <c r="E4" i="80" s="1"/>
  <c r="B4" i="80"/>
  <c r="C4" i="80" s="1"/>
  <c r="B4" i="79"/>
  <c r="C4" i="79" s="1"/>
  <c r="D4" i="79" s="1"/>
  <c r="E4" i="79" s="1"/>
  <c r="B3" i="78"/>
  <c r="C3" i="78" s="1"/>
  <c r="D3" i="78" s="1"/>
  <c r="T15" i="77"/>
  <c r="S15" i="77"/>
  <c r="R15" i="77"/>
  <c r="D15" i="88" s="1"/>
  <c r="Q15" i="77"/>
  <c r="P15" i="77"/>
  <c r="O15" i="77"/>
  <c r="N15" i="77"/>
  <c r="M15" i="77"/>
  <c r="L15" i="77"/>
  <c r="K15" i="77"/>
  <c r="J15" i="77"/>
  <c r="H15" i="77"/>
  <c r="G15" i="77"/>
  <c r="F15" i="77"/>
  <c r="E15" i="77"/>
  <c r="D15" i="77"/>
  <c r="T14" i="77"/>
  <c r="S14" i="77"/>
  <c r="R14" i="77"/>
  <c r="D14" i="88" s="1"/>
  <c r="Q14" i="77"/>
  <c r="P14" i="77"/>
  <c r="O14" i="77"/>
  <c r="N14" i="77"/>
  <c r="M14" i="77"/>
  <c r="L14" i="77"/>
  <c r="K14" i="77"/>
  <c r="J14" i="77"/>
  <c r="H14" i="77"/>
  <c r="G14" i="77"/>
  <c r="F14" i="77"/>
  <c r="E14" i="77"/>
  <c r="D14" i="77"/>
  <c r="T13" i="77"/>
  <c r="S13" i="77"/>
  <c r="R13" i="77"/>
  <c r="D13" i="88" s="1"/>
  <c r="Q13" i="77"/>
  <c r="P13" i="77"/>
  <c r="O13" i="77"/>
  <c r="N13" i="77"/>
  <c r="M13" i="77"/>
  <c r="L13" i="77"/>
  <c r="K13" i="77"/>
  <c r="J13" i="77"/>
  <c r="H13" i="77"/>
  <c r="G13" i="77"/>
  <c r="F13" i="77"/>
  <c r="E13" i="77"/>
  <c r="D13" i="77"/>
  <c r="T12" i="77"/>
  <c r="S12" i="77"/>
  <c r="R12" i="77"/>
  <c r="D12" i="88" s="1"/>
  <c r="Q12" i="77"/>
  <c r="P12" i="77"/>
  <c r="O12" i="77"/>
  <c r="N12" i="77"/>
  <c r="M12" i="77"/>
  <c r="L12" i="77"/>
  <c r="K12" i="77"/>
  <c r="J12" i="77"/>
  <c r="H12" i="77"/>
  <c r="G12" i="77"/>
  <c r="F12" i="77"/>
  <c r="E12" i="77"/>
  <c r="D12" i="77"/>
  <c r="T11" i="77"/>
  <c r="S11" i="77"/>
  <c r="R11" i="77"/>
  <c r="D11" i="88" s="1"/>
  <c r="Q11" i="77"/>
  <c r="P11" i="77"/>
  <c r="O11" i="77"/>
  <c r="N11" i="77"/>
  <c r="M11" i="77"/>
  <c r="L11" i="77"/>
  <c r="K11" i="77"/>
  <c r="J11" i="77"/>
  <c r="H11" i="77"/>
  <c r="G11" i="77"/>
  <c r="F11" i="77"/>
  <c r="E11" i="77"/>
  <c r="D11" i="77"/>
  <c r="T10" i="77"/>
  <c r="S10" i="77"/>
  <c r="R10" i="77"/>
  <c r="Q10" i="77"/>
  <c r="P10" i="77"/>
  <c r="O10" i="77"/>
  <c r="N10" i="77"/>
  <c r="M10" i="77"/>
  <c r="L10" i="77"/>
  <c r="K10" i="77"/>
  <c r="J10" i="77"/>
  <c r="H10" i="77"/>
  <c r="G10" i="77"/>
  <c r="F10" i="77"/>
  <c r="E10" i="77"/>
  <c r="D10" i="77"/>
  <c r="T9" i="77"/>
  <c r="S9" i="77"/>
  <c r="R9" i="77"/>
  <c r="D9" i="88" s="1"/>
  <c r="Q9" i="77"/>
  <c r="P9" i="77"/>
  <c r="O9" i="77"/>
  <c r="N9" i="77"/>
  <c r="M9" i="77"/>
  <c r="L9" i="77"/>
  <c r="K9" i="77"/>
  <c r="J9" i="77"/>
  <c r="H9" i="77"/>
  <c r="G9" i="77"/>
  <c r="F9" i="77"/>
  <c r="E9" i="77"/>
  <c r="D9" i="77"/>
  <c r="T8" i="77"/>
  <c r="S8" i="77"/>
  <c r="R8" i="77"/>
  <c r="D8" i="88" s="1"/>
  <c r="Q8" i="77"/>
  <c r="P8" i="77"/>
  <c r="O8" i="77"/>
  <c r="N8" i="77"/>
  <c r="M8" i="77"/>
  <c r="L8" i="77"/>
  <c r="K8" i="77"/>
  <c r="J8" i="77"/>
  <c r="H8" i="77"/>
  <c r="G8" i="77"/>
  <c r="F8" i="77"/>
  <c r="E8" i="77"/>
  <c r="D8" i="77"/>
  <c r="T7" i="77"/>
  <c r="S7" i="77"/>
  <c r="R7" i="77"/>
  <c r="D7" i="88" s="1"/>
  <c r="Q7" i="77"/>
  <c r="P7" i="77"/>
  <c r="O7" i="77"/>
  <c r="N7" i="77"/>
  <c r="M7" i="77"/>
  <c r="L7" i="77"/>
  <c r="K7" i="77"/>
  <c r="J7" i="77"/>
  <c r="H7" i="77"/>
  <c r="G7" i="77"/>
  <c r="F7" i="77"/>
  <c r="E7" i="77"/>
  <c r="D7" i="77"/>
  <c r="T6" i="77"/>
  <c r="S6" i="77"/>
  <c r="R6" i="77"/>
  <c r="D6" i="88" s="1"/>
  <c r="Q6" i="77"/>
  <c r="P6" i="77"/>
  <c r="O6" i="77"/>
  <c r="N6" i="77"/>
  <c r="M6" i="77"/>
  <c r="L6" i="77"/>
  <c r="K6" i="77"/>
  <c r="J6" i="77"/>
  <c r="H6" i="77"/>
  <c r="G6" i="77"/>
  <c r="F6" i="77"/>
  <c r="E6" i="77"/>
  <c r="D6" i="77"/>
  <c r="T5" i="77"/>
  <c r="S5" i="77"/>
  <c r="R5" i="77"/>
  <c r="D5" i="88" s="1"/>
  <c r="Q5" i="77"/>
  <c r="P5" i="77"/>
  <c r="O5" i="77"/>
  <c r="N5" i="77"/>
  <c r="M5" i="77"/>
  <c r="L5" i="77"/>
  <c r="K5" i="77"/>
  <c r="J5" i="77"/>
  <c r="H5" i="77"/>
  <c r="G5" i="77"/>
  <c r="F5" i="77"/>
  <c r="E5" i="77"/>
  <c r="D5" i="77"/>
  <c r="B3" i="77"/>
  <c r="C3" i="77" s="1"/>
  <c r="D3" i="77" s="1"/>
  <c r="E3" i="77" s="1"/>
  <c r="F3" i="77" s="1"/>
  <c r="G3" i="77" s="1"/>
  <c r="H3" i="77" s="1"/>
  <c r="I3" i="77" s="1"/>
  <c r="J3" i="77" s="1"/>
  <c r="K3" i="77" s="1"/>
  <c r="L3" i="77" s="1"/>
  <c r="M3" i="77" s="1"/>
  <c r="N3" i="77" s="1"/>
  <c r="O3" i="77" s="1"/>
  <c r="P3" i="77" s="1"/>
  <c r="Q3" i="77" s="1"/>
  <c r="R3" i="77" s="1"/>
  <c r="S3" i="77" s="1"/>
  <c r="T3" i="77" s="1"/>
  <c r="U3" i="77" s="1"/>
  <c r="R17" i="76"/>
  <c r="Q17" i="76"/>
  <c r="P17" i="76"/>
  <c r="O17" i="76"/>
  <c r="N17" i="76"/>
  <c r="M17" i="76"/>
  <c r="L17" i="76"/>
  <c r="K17" i="76"/>
  <c r="J17" i="76"/>
  <c r="H17" i="76"/>
  <c r="G17" i="76"/>
  <c r="F17" i="76"/>
  <c r="E17" i="76"/>
  <c r="D17" i="76"/>
  <c r="I15" i="76"/>
  <c r="I14" i="76"/>
  <c r="C14" i="76" s="1"/>
  <c r="I13" i="76"/>
  <c r="C13" i="76" s="1"/>
  <c r="I12" i="76"/>
  <c r="C12" i="76" s="1"/>
  <c r="I11" i="76"/>
  <c r="I10" i="76"/>
  <c r="I9" i="76"/>
  <c r="C9" i="76" s="1"/>
  <c r="I8" i="76"/>
  <c r="C8" i="76" s="1"/>
  <c r="I7" i="76"/>
  <c r="I6" i="76"/>
  <c r="C6" i="76" s="1"/>
  <c r="I5" i="76"/>
  <c r="B3" i="76"/>
  <c r="C3" i="76" s="1"/>
  <c r="D3" i="76" s="1"/>
  <c r="E3" i="76" s="1"/>
  <c r="F3" i="76" s="1"/>
  <c r="G3" i="76" s="1"/>
  <c r="H3" i="76" s="1"/>
  <c r="I3" i="76" s="1"/>
  <c r="J3" i="76" s="1"/>
  <c r="K3" i="76" s="1"/>
  <c r="L3" i="76" s="1"/>
  <c r="M3" i="76" s="1"/>
  <c r="N3" i="76" s="1"/>
  <c r="O3" i="76" s="1"/>
  <c r="P3" i="76" s="1"/>
  <c r="Q3" i="76" s="1"/>
  <c r="R3" i="76" s="1"/>
  <c r="S3" i="76" s="1"/>
  <c r="T3" i="76" s="1"/>
  <c r="U3" i="76" s="1"/>
  <c r="T17" i="75"/>
  <c r="S17" i="75"/>
  <c r="R17" i="75"/>
  <c r="Q17" i="75"/>
  <c r="P17" i="75"/>
  <c r="O17" i="75"/>
  <c r="N17" i="75"/>
  <c r="M17" i="75"/>
  <c r="L17" i="75"/>
  <c r="K17" i="75"/>
  <c r="J17" i="75"/>
  <c r="H17" i="75"/>
  <c r="G17" i="75"/>
  <c r="F17" i="75"/>
  <c r="E17" i="75"/>
  <c r="D17" i="75"/>
  <c r="C15" i="95"/>
  <c r="I15" i="75"/>
  <c r="C15" i="75" s="1"/>
  <c r="V15" i="75" s="1"/>
  <c r="T15" i="91" s="1"/>
  <c r="C14" i="95"/>
  <c r="I14" i="75"/>
  <c r="C14" i="75" s="1"/>
  <c r="V14" i="75" s="1"/>
  <c r="T14" i="91" s="1"/>
  <c r="C13" i="95"/>
  <c r="I13" i="75"/>
  <c r="C13" i="75" s="1"/>
  <c r="V13" i="75" s="1"/>
  <c r="T13" i="91" s="1"/>
  <c r="C12" i="95"/>
  <c r="I12" i="75"/>
  <c r="C12" i="75" s="1"/>
  <c r="V12" i="75" s="1"/>
  <c r="T12" i="91" s="1"/>
  <c r="C11" i="95"/>
  <c r="I11" i="75"/>
  <c r="C11" i="75" s="1"/>
  <c r="V11" i="75" s="1"/>
  <c r="T11" i="91" s="1"/>
  <c r="C10" i="95"/>
  <c r="I10" i="75"/>
  <c r="C10" i="75" s="1"/>
  <c r="V10" i="75" s="1"/>
  <c r="T10" i="91" s="1"/>
  <c r="C9" i="95"/>
  <c r="BP9" i="95" s="1"/>
  <c r="I9" i="75"/>
  <c r="C9" i="75" s="1"/>
  <c r="V9" i="75" s="1"/>
  <c r="T9" i="91" s="1"/>
  <c r="C8" i="95"/>
  <c r="I8" i="75"/>
  <c r="C8" i="75" s="1"/>
  <c r="V8" i="75" s="1"/>
  <c r="T8" i="91" s="1"/>
  <c r="I7" i="75"/>
  <c r="C7" i="75" s="1"/>
  <c r="V7" i="75" s="1"/>
  <c r="T7" i="91" s="1"/>
  <c r="I6" i="75"/>
  <c r="C6" i="75" s="1"/>
  <c r="V6" i="75" s="1"/>
  <c r="C5" i="95"/>
  <c r="L5" i="95" s="1"/>
  <c r="I5" i="75"/>
  <c r="C5" i="75" s="1"/>
  <c r="V5" i="75" s="1"/>
  <c r="T5" i="91" s="1"/>
  <c r="B3" i="75"/>
  <c r="C3" i="75" s="1"/>
  <c r="D3" i="75" s="1"/>
  <c r="E3" i="75" s="1"/>
  <c r="F3" i="75" s="1"/>
  <c r="G3" i="75" s="1"/>
  <c r="H3" i="75" s="1"/>
  <c r="I3" i="75" s="1"/>
  <c r="J3" i="75" s="1"/>
  <c r="K3" i="75" s="1"/>
  <c r="L3" i="75" s="1"/>
  <c r="M3" i="75" s="1"/>
  <c r="N3" i="75" s="1"/>
  <c r="O3" i="75" s="1"/>
  <c r="P3" i="75" s="1"/>
  <c r="Q3" i="75" s="1"/>
  <c r="R3" i="75" s="1"/>
  <c r="S3" i="75" s="1"/>
  <c r="T3" i="75" s="1"/>
  <c r="U3" i="75" s="1"/>
  <c r="V3" i="75" s="1"/>
  <c r="W3" i="75" s="1"/>
  <c r="X3" i="75" s="1"/>
  <c r="Y3" i="75" s="1"/>
  <c r="B4" i="74"/>
  <c r="C4" i="74" s="1"/>
  <c r="B3" i="73"/>
  <c r="C3" i="73" s="1"/>
  <c r="D3" i="73" s="1"/>
  <c r="E3" i="73" s="1"/>
  <c r="F3" i="73" s="1"/>
  <c r="G3" i="73" s="1"/>
  <c r="H3" i="73" s="1"/>
  <c r="I3" i="73" s="1"/>
  <c r="J3" i="73" s="1"/>
  <c r="K3" i="73" s="1"/>
  <c r="L3" i="73" s="1"/>
  <c r="M3" i="73" s="1"/>
  <c r="N3" i="73" s="1"/>
  <c r="O3" i="73" s="1"/>
  <c r="P3" i="73" s="1"/>
  <c r="Q3" i="73" s="1"/>
  <c r="R3" i="73" s="1"/>
  <c r="S3" i="73" s="1"/>
  <c r="T3" i="73" s="1"/>
  <c r="U3" i="73" s="1"/>
  <c r="V3" i="73" s="1"/>
  <c r="W3" i="73" s="1"/>
  <c r="X3" i="73" s="1"/>
  <c r="Y3" i="73" s="1"/>
  <c r="Z3" i="73" s="1"/>
  <c r="AA3" i="73" s="1"/>
  <c r="AB3" i="73" s="1"/>
  <c r="AC3" i="73" s="1"/>
  <c r="AD3" i="73" s="1"/>
  <c r="AE3" i="73" s="1"/>
  <c r="AF3" i="73" s="1"/>
  <c r="AG3" i="73" s="1"/>
  <c r="AH3" i="73" s="1"/>
  <c r="AI3" i="73" s="1"/>
  <c r="AJ3" i="73" s="1"/>
  <c r="AK3" i="73" s="1"/>
  <c r="AL3" i="73" s="1"/>
  <c r="AM3" i="73" s="1"/>
  <c r="AN3" i="73" s="1"/>
  <c r="AO3" i="73" s="1"/>
  <c r="AP3" i="73" s="1"/>
  <c r="AQ3" i="73" s="1"/>
  <c r="AR3" i="73" s="1"/>
  <c r="AS3" i="73" s="1"/>
  <c r="AT3" i="73" s="1"/>
  <c r="AU3" i="73" s="1"/>
  <c r="AV3" i="73" s="1"/>
  <c r="Z10" i="95" l="1"/>
  <c r="BW10" i="95"/>
  <c r="E5" i="89"/>
  <c r="Z12" i="95"/>
  <c r="BW12" i="95"/>
  <c r="BW11" i="95"/>
  <c r="L9" i="95"/>
  <c r="BW9" i="95"/>
  <c r="V17" i="75"/>
  <c r="T6" i="91"/>
  <c r="T17" i="91" s="1"/>
  <c r="C60" i="94"/>
  <c r="Z8" i="95"/>
  <c r="L8" i="95"/>
  <c r="BW13" i="95"/>
  <c r="BP11" i="95"/>
  <c r="S11" i="95"/>
  <c r="L11" i="95"/>
  <c r="BW15" i="95"/>
  <c r="G6" i="89"/>
  <c r="G8" i="89"/>
  <c r="C61" i="94"/>
  <c r="E8" i="89"/>
  <c r="G7" i="89"/>
  <c r="E9" i="89"/>
  <c r="G12" i="89"/>
  <c r="F11" i="89"/>
  <c r="E11" i="89"/>
  <c r="E6" i="80"/>
  <c r="C12" i="73"/>
  <c r="L15" i="95"/>
  <c r="Z15" i="95"/>
  <c r="S15" i="95"/>
  <c r="I6" i="92"/>
  <c r="C6" i="92" s="1"/>
  <c r="E15" i="79"/>
  <c r="E15" i="89"/>
  <c r="E9" i="80"/>
  <c r="C9" i="73"/>
  <c r="S17" i="77"/>
  <c r="B15" i="74" s="1"/>
  <c r="AI17" i="90"/>
  <c r="Z17" i="90"/>
  <c r="AD17" i="90"/>
  <c r="E14" i="80"/>
  <c r="E18" i="80"/>
  <c r="AG17" i="90"/>
  <c r="AH17" i="90"/>
  <c r="AL17" i="90"/>
  <c r="AB17" i="90"/>
  <c r="AC17" i="90"/>
  <c r="E7" i="79"/>
  <c r="C5" i="85"/>
  <c r="C5" i="73"/>
  <c r="C8" i="73"/>
  <c r="C9" i="88"/>
  <c r="G10" i="89"/>
  <c r="C62" i="94"/>
  <c r="D10" i="89"/>
  <c r="C59" i="94"/>
  <c r="H10" i="89"/>
  <c r="C63" i="94"/>
  <c r="AJ17" i="90"/>
  <c r="C9" i="83"/>
  <c r="E9" i="88" s="1"/>
  <c r="F9" i="88" s="1"/>
  <c r="AE9" i="90"/>
  <c r="E7" i="80"/>
  <c r="AA17" i="90"/>
  <c r="C6" i="83"/>
  <c r="E6" i="88" s="1"/>
  <c r="F6" i="88" s="1"/>
  <c r="AE6" i="90"/>
  <c r="C14" i="83"/>
  <c r="E14" i="88" s="1"/>
  <c r="F14" i="88" s="1"/>
  <c r="AE14" i="90"/>
  <c r="E17" i="80"/>
  <c r="AK17" i="90"/>
  <c r="C8" i="83"/>
  <c r="E8" i="88" s="1"/>
  <c r="F8" i="88" s="1"/>
  <c r="AE8" i="90"/>
  <c r="C12" i="83"/>
  <c r="E12" i="88" s="1"/>
  <c r="F12" i="88" s="1"/>
  <c r="AE12" i="90"/>
  <c r="C5" i="83"/>
  <c r="E5" i="88" s="1"/>
  <c r="AE5" i="90"/>
  <c r="C13" i="83"/>
  <c r="E13" i="88" s="1"/>
  <c r="F13" i="88" s="1"/>
  <c r="AE13" i="90"/>
  <c r="C10" i="83"/>
  <c r="E10" i="88" s="1"/>
  <c r="AE10" i="90"/>
  <c r="C7" i="83"/>
  <c r="E7" i="88" s="1"/>
  <c r="F7" i="88" s="1"/>
  <c r="AE7" i="90"/>
  <c r="C11" i="83"/>
  <c r="E11" i="88" s="1"/>
  <c r="F11" i="88" s="1"/>
  <c r="AE11" i="90"/>
  <c r="C15" i="83"/>
  <c r="E15" i="88" s="1"/>
  <c r="F15" i="88" s="1"/>
  <c r="AE15" i="90"/>
  <c r="I6" i="77"/>
  <c r="C6" i="77" s="1"/>
  <c r="I14" i="77"/>
  <c r="C14" i="77" s="1"/>
  <c r="BI13" i="95"/>
  <c r="AU13" i="95"/>
  <c r="AG13" i="95"/>
  <c r="L13" i="95"/>
  <c r="BB13" i="95"/>
  <c r="AN13" i="95"/>
  <c r="S13" i="95"/>
  <c r="E13" i="95"/>
  <c r="BU13" i="95"/>
  <c r="AE13" i="95"/>
  <c r="C15" i="73"/>
  <c r="BP10" i="95"/>
  <c r="BB10" i="95"/>
  <c r="AN10" i="95"/>
  <c r="S10" i="95"/>
  <c r="E10" i="95"/>
  <c r="BI10" i="95"/>
  <c r="AU10" i="95"/>
  <c r="AG10" i="95"/>
  <c r="L10" i="95"/>
  <c r="BI12" i="95"/>
  <c r="AU12" i="95"/>
  <c r="AG12" i="95"/>
  <c r="L12" i="95"/>
  <c r="BB12" i="95"/>
  <c r="AN12" i="95"/>
  <c r="S12" i="95"/>
  <c r="E12" i="95"/>
  <c r="BU12" i="95"/>
  <c r="BB14" i="95"/>
  <c r="AN14" i="95"/>
  <c r="Z14" i="95"/>
  <c r="L14" i="95"/>
  <c r="BI14" i="95"/>
  <c r="AU14" i="95"/>
  <c r="AG14" i="95"/>
  <c r="S14" i="95"/>
  <c r="E14" i="95"/>
  <c r="BU14" i="95"/>
  <c r="CB14" i="95"/>
  <c r="C31" i="94"/>
  <c r="C35" i="94"/>
  <c r="C50" i="94"/>
  <c r="C15" i="85"/>
  <c r="C13" i="86"/>
  <c r="C10" i="73"/>
  <c r="BP5" i="95"/>
  <c r="BB5" i="95"/>
  <c r="AN5" i="95"/>
  <c r="S5" i="95"/>
  <c r="BI5" i="95"/>
  <c r="AU5" i="95"/>
  <c r="AG5" i="95"/>
  <c r="E5" i="95"/>
  <c r="AE5" i="95"/>
  <c r="CB5" i="95"/>
  <c r="C7" i="85"/>
  <c r="C7" i="95"/>
  <c r="BB9" i="95"/>
  <c r="AN9" i="95"/>
  <c r="Z9" i="95"/>
  <c r="E9" i="95"/>
  <c r="BI9" i="95"/>
  <c r="AU9" i="95"/>
  <c r="AG9" i="95"/>
  <c r="S9" i="95"/>
  <c r="C32" i="94"/>
  <c r="C51" i="94"/>
  <c r="D10" i="88"/>
  <c r="D17" i="88" s="1"/>
  <c r="C37" i="94"/>
  <c r="C13" i="85"/>
  <c r="C15" i="86"/>
  <c r="C12" i="88"/>
  <c r="BI11" i="95"/>
  <c r="AU11" i="95"/>
  <c r="AG11" i="95"/>
  <c r="BB11" i="95"/>
  <c r="AN11" i="95"/>
  <c r="E11" i="95"/>
  <c r="AE11" i="95"/>
  <c r="BB15" i="95"/>
  <c r="AN15" i="95"/>
  <c r="E15" i="95"/>
  <c r="BI15" i="95"/>
  <c r="AU15" i="95"/>
  <c r="AG15" i="95"/>
  <c r="BU15" i="95"/>
  <c r="C33" i="94"/>
  <c r="C48" i="94"/>
  <c r="C52" i="94"/>
  <c r="C38" i="94"/>
  <c r="C13" i="73"/>
  <c r="C6" i="73"/>
  <c r="C6" i="95"/>
  <c r="BB8" i="95"/>
  <c r="AN8" i="95"/>
  <c r="S8" i="95"/>
  <c r="BI8" i="95"/>
  <c r="AU8" i="95"/>
  <c r="AG8" i="95"/>
  <c r="E8" i="95"/>
  <c r="BU8" i="95"/>
  <c r="CB8" i="95"/>
  <c r="C34" i="94"/>
  <c r="C49" i="94"/>
  <c r="C53" i="94"/>
  <c r="C39" i="94"/>
  <c r="I11" i="77"/>
  <c r="C11" i="77" s="1"/>
  <c r="D3" i="86"/>
  <c r="E3" i="86" s="1"/>
  <c r="E13" i="80"/>
  <c r="I10" i="92"/>
  <c r="C10" i="92" s="1"/>
  <c r="J17" i="92"/>
  <c r="N17" i="92"/>
  <c r="L17" i="92"/>
  <c r="I14" i="92"/>
  <c r="C14" i="92" s="1"/>
  <c r="P17" i="92"/>
  <c r="C17" i="91"/>
  <c r="I17" i="84"/>
  <c r="E16" i="80"/>
  <c r="E15" i="80"/>
  <c r="I17" i="82"/>
  <c r="C5" i="82"/>
  <c r="C17" i="82" s="1"/>
  <c r="E20" i="79"/>
  <c r="E16" i="79"/>
  <c r="E8" i="79"/>
  <c r="E6" i="79"/>
  <c r="E10" i="79"/>
  <c r="J17" i="77"/>
  <c r="O17" i="92"/>
  <c r="C10" i="76"/>
  <c r="I10" i="77"/>
  <c r="I15" i="77"/>
  <c r="C15" i="77" s="1"/>
  <c r="M17" i="92"/>
  <c r="Q17" i="92"/>
  <c r="N17" i="77"/>
  <c r="I7" i="77"/>
  <c r="C7" i="77" s="1"/>
  <c r="K17" i="92"/>
  <c r="I9" i="77"/>
  <c r="C9" i="77" s="1"/>
  <c r="I13" i="77"/>
  <c r="C13" i="77" s="1"/>
  <c r="H17" i="92"/>
  <c r="G17" i="92"/>
  <c r="D17" i="92"/>
  <c r="E17" i="92"/>
  <c r="I12" i="77"/>
  <c r="C12" i="77" s="1"/>
  <c r="I5" i="77"/>
  <c r="I8" i="77"/>
  <c r="C8" i="77" s="1"/>
  <c r="P17" i="77"/>
  <c r="K17" i="77"/>
  <c r="O17" i="77"/>
  <c r="F17" i="77"/>
  <c r="B7" i="74" s="1"/>
  <c r="G17" i="77"/>
  <c r="B8" i="74" s="1"/>
  <c r="H17" i="77"/>
  <c r="B9" i="74" s="1"/>
  <c r="I7" i="92"/>
  <c r="C7" i="92" s="1"/>
  <c r="C7" i="76"/>
  <c r="I15" i="92"/>
  <c r="C15" i="92" s="1"/>
  <c r="C15" i="76"/>
  <c r="F10" i="89"/>
  <c r="D13" i="89"/>
  <c r="H13" i="89"/>
  <c r="G15" i="89"/>
  <c r="I17" i="76"/>
  <c r="C5" i="76"/>
  <c r="O12" i="90"/>
  <c r="C12" i="81"/>
  <c r="Q17" i="90"/>
  <c r="E13" i="79"/>
  <c r="U17" i="90"/>
  <c r="E17" i="79"/>
  <c r="E8" i="80"/>
  <c r="E12" i="89"/>
  <c r="C17" i="75"/>
  <c r="I17" i="75"/>
  <c r="I11" i="92"/>
  <c r="C11" i="92" s="1"/>
  <c r="C11" i="76"/>
  <c r="D17" i="77"/>
  <c r="L17" i="77"/>
  <c r="T17" i="77"/>
  <c r="B16" i="74" s="1"/>
  <c r="D14" i="89"/>
  <c r="H14" i="89"/>
  <c r="U8" i="91"/>
  <c r="C8" i="89"/>
  <c r="C8" i="88"/>
  <c r="C8" i="86"/>
  <c r="C8" i="85"/>
  <c r="U11" i="91"/>
  <c r="C11" i="89"/>
  <c r="C11" i="88"/>
  <c r="C11" i="86"/>
  <c r="C11" i="85"/>
  <c r="C11" i="73"/>
  <c r="E17" i="77"/>
  <c r="M17" i="77"/>
  <c r="Q17" i="77"/>
  <c r="C14" i="89"/>
  <c r="C14" i="88"/>
  <c r="U14" i="91"/>
  <c r="C14" i="86"/>
  <c r="C14" i="85"/>
  <c r="I17" i="81"/>
  <c r="O10" i="90"/>
  <c r="M17" i="90"/>
  <c r="E9" i="79"/>
  <c r="R17" i="90"/>
  <c r="V17" i="90"/>
  <c r="E14" i="79"/>
  <c r="E18" i="79"/>
  <c r="C17" i="84"/>
  <c r="F7" i="89"/>
  <c r="C14" i="73"/>
  <c r="C10" i="89"/>
  <c r="C10" i="88"/>
  <c r="U10" i="91"/>
  <c r="C10" i="86"/>
  <c r="C10" i="85"/>
  <c r="O8" i="90"/>
  <c r="J17" i="90"/>
  <c r="N17" i="90"/>
  <c r="D5" i="89"/>
  <c r="H5" i="89"/>
  <c r="D6" i="89"/>
  <c r="H6" i="89"/>
  <c r="U7" i="91"/>
  <c r="C7" i="89"/>
  <c r="C7" i="88"/>
  <c r="C7" i="86"/>
  <c r="W17" i="75"/>
  <c r="C7" i="73"/>
  <c r="C6" i="89"/>
  <c r="C6" i="88"/>
  <c r="U6" i="91"/>
  <c r="C6" i="86"/>
  <c r="C6" i="85"/>
  <c r="U12" i="91"/>
  <c r="C12" i="89"/>
  <c r="C12" i="86"/>
  <c r="C12" i="85"/>
  <c r="U15" i="91"/>
  <c r="C15" i="89"/>
  <c r="C15" i="88"/>
  <c r="O6" i="90"/>
  <c r="O14" i="90"/>
  <c r="I17" i="83"/>
  <c r="E10" i="89"/>
  <c r="D11" i="89"/>
  <c r="H11" i="89"/>
  <c r="H12" i="89"/>
  <c r="F15" i="89"/>
  <c r="U5" i="91"/>
  <c r="C5" i="88"/>
  <c r="C5" i="89"/>
  <c r="C5" i="86"/>
  <c r="L5" i="86" s="1"/>
  <c r="U9" i="91"/>
  <c r="C9" i="89"/>
  <c r="C9" i="86"/>
  <c r="BP9" i="86" s="1"/>
  <c r="U13" i="91"/>
  <c r="C13" i="89"/>
  <c r="C13" i="88"/>
  <c r="R17" i="77"/>
  <c r="B14" i="74" s="1"/>
  <c r="C5" i="81"/>
  <c r="K17" i="90"/>
  <c r="S17" i="90"/>
  <c r="W17" i="90"/>
  <c r="D7" i="89"/>
  <c r="H7" i="89"/>
  <c r="C9" i="85"/>
  <c r="F12" i="89"/>
  <c r="D15" i="89"/>
  <c r="H15" i="89"/>
  <c r="O5" i="90"/>
  <c r="O7" i="90"/>
  <c r="O9" i="90"/>
  <c r="O11" i="90"/>
  <c r="O13" i="90"/>
  <c r="O15" i="90"/>
  <c r="L17" i="90"/>
  <c r="P17" i="90"/>
  <c r="T17" i="90"/>
  <c r="X17" i="90"/>
  <c r="D9" i="89"/>
  <c r="H9" i="89"/>
  <c r="F14" i="89"/>
  <c r="F17" i="92"/>
  <c r="I5" i="92"/>
  <c r="C5" i="92" s="1"/>
  <c r="I8" i="92"/>
  <c r="C8" i="92" s="1"/>
  <c r="I9" i="92"/>
  <c r="C9" i="92" s="1"/>
  <c r="I12" i="92"/>
  <c r="C12" i="92" s="1"/>
  <c r="I13" i="92"/>
  <c r="C13" i="92" s="1"/>
  <c r="I17" i="91"/>
  <c r="BW10" i="86" l="1"/>
  <c r="H18" i="83"/>
  <c r="C18" i="83"/>
  <c r="Z12" i="86"/>
  <c r="BW12" i="86"/>
  <c r="E18" i="83"/>
  <c r="BW11" i="86"/>
  <c r="I18" i="83"/>
  <c r="L9" i="86"/>
  <c r="BW9" i="86"/>
  <c r="F18" i="83"/>
  <c r="D18" i="83"/>
  <c r="G18" i="83"/>
  <c r="I18" i="77"/>
  <c r="Z6" i="95"/>
  <c r="BW6" i="95"/>
  <c r="BB7" i="95"/>
  <c r="AU7" i="95"/>
  <c r="Z7" i="95"/>
  <c r="BW6" i="86"/>
  <c r="Z6" i="86"/>
  <c r="L8" i="86"/>
  <c r="Z8" i="86"/>
  <c r="AU7" i="86"/>
  <c r="Z7" i="86"/>
  <c r="BB7" i="86"/>
  <c r="L11" i="86"/>
  <c r="BP11" i="86"/>
  <c r="S11" i="86"/>
  <c r="Z10" i="86"/>
  <c r="AN13" i="86"/>
  <c r="BW13" i="86"/>
  <c r="BW15" i="86"/>
  <c r="C36" i="94"/>
  <c r="C40" i="94" s="1"/>
  <c r="AG13" i="86"/>
  <c r="AN15" i="86"/>
  <c r="S15" i="86"/>
  <c r="Z15" i="86"/>
  <c r="L15" i="86"/>
  <c r="AG15" i="86"/>
  <c r="C17" i="95"/>
  <c r="BI13" i="86"/>
  <c r="L13" i="86"/>
  <c r="AU13" i="86"/>
  <c r="S13" i="86"/>
  <c r="E13" i="86"/>
  <c r="AE13" i="86"/>
  <c r="AE17" i="90"/>
  <c r="C17" i="83"/>
  <c r="F10" i="88"/>
  <c r="C30" i="94"/>
  <c r="C54" i="94"/>
  <c r="D52" i="1"/>
  <c r="D52" i="44"/>
  <c r="D52" i="96"/>
  <c r="E52" i="96" s="1"/>
  <c r="BU15" i="86"/>
  <c r="BU14" i="86"/>
  <c r="CB14" i="86"/>
  <c r="D49" i="44"/>
  <c r="D49" i="96"/>
  <c r="E49" i="96" s="1"/>
  <c r="D49" i="1"/>
  <c r="C10" i="77"/>
  <c r="D48" i="1"/>
  <c r="D48" i="96"/>
  <c r="D48" i="44"/>
  <c r="BI15" i="86"/>
  <c r="BH8" i="95"/>
  <c r="BI7" i="95"/>
  <c r="AG7" i="95"/>
  <c r="L7" i="95"/>
  <c r="AN7" i="95"/>
  <c r="S7" i="95"/>
  <c r="E7" i="95"/>
  <c r="BU7" i="95"/>
  <c r="CB7" i="95"/>
  <c r="BU13" i="86"/>
  <c r="D50" i="96"/>
  <c r="E50" i="96" s="1"/>
  <c r="D50" i="44"/>
  <c r="D50" i="1"/>
  <c r="D53" i="44"/>
  <c r="D53" i="1"/>
  <c r="D53" i="96"/>
  <c r="E53" i="96" s="1"/>
  <c r="D53" i="94"/>
  <c r="D51" i="96"/>
  <c r="E51" i="96" s="1"/>
  <c r="D51" i="1"/>
  <c r="D51" i="44"/>
  <c r="E15" i="86"/>
  <c r="BB15" i="86"/>
  <c r="BI6" i="95"/>
  <c r="AU6" i="95"/>
  <c r="AG6" i="95"/>
  <c r="L6" i="95"/>
  <c r="BB6" i="95"/>
  <c r="AN6" i="95"/>
  <c r="S6" i="95"/>
  <c r="E6" i="95"/>
  <c r="BH6" i="95"/>
  <c r="BU6" i="95"/>
  <c r="BP17" i="95"/>
  <c r="D10" i="95"/>
  <c r="BP5" i="86"/>
  <c r="CB5" i="86"/>
  <c r="BU12" i="86"/>
  <c r="BU6" i="86"/>
  <c r="BU7" i="86"/>
  <c r="CB7" i="86"/>
  <c r="B26" i="74"/>
  <c r="C26" i="74" s="1"/>
  <c r="BU8" i="86"/>
  <c r="CB8" i="86"/>
  <c r="AU15" i="86"/>
  <c r="BB13" i="86"/>
  <c r="BI5" i="86"/>
  <c r="BP10" i="86"/>
  <c r="BI11" i="86"/>
  <c r="BI12" i="86"/>
  <c r="BI8" i="86"/>
  <c r="BI9" i="86"/>
  <c r="BB5" i="86"/>
  <c r="BI6" i="86"/>
  <c r="BI7" i="86"/>
  <c r="BI10" i="86"/>
  <c r="BI14" i="86"/>
  <c r="BB6" i="86"/>
  <c r="BB11" i="86"/>
  <c r="BB9" i="86"/>
  <c r="BB10" i="86"/>
  <c r="BB14" i="86"/>
  <c r="AU5" i="86"/>
  <c r="BB12" i="86"/>
  <c r="BB8" i="86"/>
  <c r="AU6" i="86"/>
  <c r="AU11" i="86"/>
  <c r="AU9" i="86"/>
  <c r="AN5" i="86"/>
  <c r="AU10" i="86"/>
  <c r="AU14" i="86"/>
  <c r="AU12" i="86"/>
  <c r="AU8" i="86"/>
  <c r="AN7" i="86"/>
  <c r="AN10" i="86"/>
  <c r="AN14" i="86"/>
  <c r="AN6" i="86"/>
  <c r="AN11" i="86"/>
  <c r="AN12" i="86"/>
  <c r="AN8" i="86"/>
  <c r="AN9" i="86"/>
  <c r="AG5" i="86"/>
  <c r="AG7" i="86"/>
  <c r="AG10" i="86"/>
  <c r="AG14" i="86"/>
  <c r="AG12" i="86"/>
  <c r="AG8" i="86"/>
  <c r="AG6" i="86"/>
  <c r="AG11" i="86"/>
  <c r="AE11" i="86"/>
  <c r="AG9" i="86"/>
  <c r="AE5" i="86"/>
  <c r="Z9" i="86"/>
  <c r="S5" i="86"/>
  <c r="Z14" i="86"/>
  <c r="S9" i="86"/>
  <c r="S6" i="86"/>
  <c r="S7" i="86"/>
  <c r="S10" i="86"/>
  <c r="S14" i="86"/>
  <c r="S12" i="86"/>
  <c r="S8" i="86"/>
  <c r="L14" i="86"/>
  <c r="L12" i="86"/>
  <c r="L6" i="86"/>
  <c r="L7" i="86"/>
  <c r="L10" i="86"/>
  <c r="E5" i="86"/>
  <c r="F3" i="86"/>
  <c r="G3" i="86" s="1"/>
  <c r="H3" i="86" s="1"/>
  <c r="I3" i="86" s="1"/>
  <c r="J3" i="86" s="1"/>
  <c r="E8" i="86"/>
  <c r="E7" i="86"/>
  <c r="E10" i="86"/>
  <c r="E14" i="86"/>
  <c r="E6" i="86"/>
  <c r="E11" i="86"/>
  <c r="E12" i="86"/>
  <c r="E9" i="86"/>
  <c r="I18" i="92"/>
  <c r="I17" i="77"/>
  <c r="B13" i="74" s="1"/>
  <c r="B17" i="74" s="1"/>
  <c r="C9" i="80"/>
  <c r="B27" i="74"/>
  <c r="C27" i="74" s="1"/>
  <c r="C5" i="77"/>
  <c r="B23" i="74"/>
  <c r="C23" i="74" s="1"/>
  <c r="B28" i="74"/>
  <c r="C28" i="74" s="1"/>
  <c r="C47" i="94"/>
  <c r="B8" i="79"/>
  <c r="D8" i="79" s="1"/>
  <c r="B8" i="80"/>
  <c r="D8" i="80" s="1"/>
  <c r="C17" i="85"/>
  <c r="C17" i="81"/>
  <c r="E22" i="79" s="1"/>
  <c r="C17" i="88"/>
  <c r="E17" i="88"/>
  <c r="F17" i="88" s="1"/>
  <c r="F5" i="88"/>
  <c r="C18" i="79"/>
  <c r="I17" i="92"/>
  <c r="C17" i="92"/>
  <c r="C17" i="86"/>
  <c r="BV10" i="86" s="1"/>
  <c r="B18" i="79"/>
  <c r="D18" i="79" s="1"/>
  <c r="B17" i="79"/>
  <c r="D17" i="79" s="1"/>
  <c r="B16" i="79"/>
  <c r="D16" i="79" s="1"/>
  <c r="B15" i="79"/>
  <c r="D15" i="79" s="1"/>
  <c r="B14" i="79"/>
  <c r="D14" i="79" s="1"/>
  <c r="B13" i="79"/>
  <c r="D13" i="79" s="1"/>
  <c r="B10" i="79"/>
  <c r="D10" i="79" s="1"/>
  <c r="B9" i="79"/>
  <c r="D9" i="79" s="1"/>
  <c r="B7" i="79"/>
  <c r="D7" i="79" s="1"/>
  <c r="B6" i="79"/>
  <c r="D6" i="79" s="1"/>
  <c r="B18" i="80"/>
  <c r="D18" i="80" s="1"/>
  <c r="B17" i="80"/>
  <c r="D17" i="80" s="1"/>
  <c r="B16" i="80"/>
  <c r="D16" i="80" s="1"/>
  <c r="B15" i="80"/>
  <c r="D15" i="80" s="1"/>
  <c r="B14" i="80"/>
  <c r="D14" i="80" s="1"/>
  <c r="B13" i="80"/>
  <c r="D13" i="80" s="1"/>
  <c r="B10" i="80"/>
  <c r="D10" i="80" s="1"/>
  <c r="B9" i="80"/>
  <c r="D9" i="80" s="1"/>
  <c r="B7" i="80"/>
  <c r="D7" i="80" s="1"/>
  <c r="B6" i="80"/>
  <c r="D6" i="80" s="1"/>
  <c r="C9" i="79"/>
  <c r="C8" i="74"/>
  <c r="C15" i="74"/>
  <c r="C17" i="79"/>
  <c r="C13" i="79"/>
  <c r="C10" i="80"/>
  <c r="C16" i="80"/>
  <c r="C16" i="79"/>
  <c r="C10" i="79"/>
  <c r="C8" i="80"/>
  <c r="C8" i="79"/>
  <c r="C13" i="80"/>
  <c r="C18" i="80"/>
  <c r="C17" i="80"/>
  <c r="C7" i="80"/>
  <c r="C7" i="79"/>
  <c r="B6" i="74"/>
  <c r="C6" i="74" s="1"/>
  <c r="C16" i="74"/>
  <c r="C9" i="74"/>
  <c r="O17" i="90"/>
  <c r="C7" i="74"/>
  <c r="C15" i="80"/>
  <c r="C15" i="79"/>
  <c r="B25" i="74"/>
  <c r="C25" i="74" s="1"/>
  <c r="C6" i="80"/>
  <c r="B5" i="74"/>
  <c r="C6" i="79"/>
  <c r="C14" i="74"/>
  <c r="U17" i="91"/>
  <c r="C17" i="89"/>
  <c r="C14" i="80"/>
  <c r="B24" i="74"/>
  <c r="C24" i="74" s="1"/>
  <c r="C14" i="79"/>
  <c r="C17" i="76"/>
  <c r="C17" i="77" s="1"/>
  <c r="BV10" i="95" l="1"/>
  <c r="K5" i="95"/>
  <c r="K5" i="86"/>
  <c r="BV6" i="86"/>
  <c r="BV12" i="86"/>
  <c r="BO9" i="86"/>
  <c r="D12" i="95"/>
  <c r="BV12" i="95"/>
  <c r="BO9" i="95"/>
  <c r="AM14" i="95"/>
  <c r="AF12" i="95"/>
  <c r="BV11" i="95"/>
  <c r="BV9" i="95"/>
  <c r="AT15" i="95"/>
  <c r="BV9" i="86"/>
  <c r="AT8" i="95"/>
  <c r="BA9" i="95"/>
  <c r="D9" i="95"/>
  <c r="AT14" i="95"/>
  <c r="BV11" i="86"/>
  <c r="D19" i="83"/>
  <c r="BH12" i="95"/>
  <c r="AT7" i="95"/>
  <c r="BA7" i="95"/>
  <c r="BH10" i="95"/>
  <c r="AF5" i="95"/>
  <c r="BV15" i="95"/>
  <c r="K8" i="95"/>
  <c r="R11" i="95"/>
  <c r="BV13" i="95"/>
  <c r="K11" i="95"/>
  <c r="Y12" i="95"/>
  <c r="BO11" i="95"/>
  <c r="Y8" i="95"/>
  <c r="K9" i="95"/>
  <c r="Y10" i="95"/>
  <c r="Y6" i="95"/>
  <c r="BV6" i="95"/>
  <c r="Y7" i="95"/>
  <c r="BV13" i="86"/>
  <c r="Y12" i="86"/>
  <c r="Y6" i="86"/>
  <c r="AT7" i="86"/>
  <c r="Y10" i="86"/>
  <c r="K8" i="86"/>
  <c r="BO11" i="86"/>
  <c r="K15" i="86"/>
  <c r="Y7" i="86"/>
  <c r="Y8" i="86"/>
  <c r="BV15" i="86"/>
  <c r="K11" i="86"/>
  <c r="BA7" i="86"/>
  <c r="K9" i="86"/>
  <c r="R11" i="86"/>
  <c r="R13" i="95"/>
  <c r="BO5" i="95"/>
  <c r="K14" i="95"/>
  <c r="AT11" i="95"/>
  <c r="K6" i="95"/>
  <c r="AF9" i="95"/>
  <c r="BH15" i="95"/>
  <c r="BA6" i="95"/>
  <c r="AF13" i="95"/>
  <c r="BH7" i="95"/>
  <c r="BH11" i="95"/>
  <c r="AF10" i="95"/>
  <c r="BH13" i="95"/>
  <c r="AM8" i="95"/>
  <c r="R7" i="95"/>
  <c r="BA13" i="95"/>
  <c r="AT10" i="95"/>
  <c r="D11" i="95"/>
  <c r="AM10" i="95"/>
  <c r="D5" i="95"/>
  <c r="AM7" i="95"/>
  <c r="AM13" i="95"/>
  <c r="AT5" i="95"/>
  <c r="BA14" i="95"/>
  <c r="AM15" i="95"/>
  <c r="R10" i="95"/>
  <c r="BA10" i="95"/>
  <c r="AF15" i="95"/>
  <c r="BA11" i="95"/>
  <c r="R8" i="95"/>
  <c r="Y14" i="95"/>
  <c r="AM6" i="95"/>
  <c r="D14" i="95"/>
  <c r="D21" i="80"/>
  <c r="D13" i="95"/>
  <c r="AM12" i="95"/>
  <c r="R9" i="95"/>
  <c r="BH14" i="95"/>
  <c r="BA5" i="95"/>
  <c r="AF6" i="95"/>
  <c r="AT6" i="95"/>
  <c r="AF14" i="95"/>
  <c r="BH5" i="95"/>
  <c r="AF7" i="95"/>
  <c r="AM9" i="95"/>
  <c r="K12" i="95"/>
  <c r="D8" i="95"/>
  <c r="R15" i="86"/>
  <c r="R15" i="95"/>
  <c r="K15" i="95"/>
  <c r="Y15" i="95"/>
  <c r="Y15" i="86"/>
  <c r="BH9" i="95"/>
  <c r="BA12" i="95"/>
  <c r="R5" i="95"/>
  <c r="AF11" i="95"/>
  <c r="AT13" i="95"/>
  <c r="BO10" i="95"/>
  <c r="R12" i="95"/>
  <c r="AM5" i="95"/>
  <c r="D15" i="95"/>
  <c r="D6" i="95"/>
  <c r="R6" i="95"/>
  <c r="K13" i="95"/>
  <c r="AT12" i="95"/>
  <c r="K7" i="95"/>
  <c r="D7" i="95"/>
  <c r="Y9" i="95"/>
  <c r="AM11" i="95"/>
  <c r="BA8" i="95"/>
  <c r="K10" i="95"/>
  <c r="R14" i="95"/>
  <c r="AF8" i="95"/>
  <c r="BA15" i="95"/>
  <c r="AT9" i="95"/>
  <c r="E21" i="80"/>
  <c r="BQ10" i="95"/>
  <c r="BI17" i="95"/>
  <c r="BJ9" i="95" s="1"/>
  <c r="C13" i="74"/>
  <c r="F36" i="44" s="1"/>
  <c r="E17" i="95"/>
  <c r="F13" i="95" s="1"/>
  <c r="BB17" i="95"/>
  <c r="S17" i="95"/>
  <c r="AU17" i="95"/>
  <c r="F53" i="1"/>
  <c r="F53" i="96"/>
  <c r="H53" i="96" s="1"/>
  <c r="F53" i="44"/>
  <c r="C76" i="94"/>
  <c r="F37" i="96"/>
  <c r="H37" i="96" s="1"/>
  <c r="D10" i="96" s="1"/>
  <c r="D37" i="96"/>
  <c r="E37" i="96" s="1"/>
  <c r="C10" i="96" s="1"/>
  <c r="D37" i="1"/>
  <c r="F37" i="44"/>
  <c r="D37" i="44"/>
  <c r="F37" i="1"/>
  <c r="C76" i="96"/>
  <c r="C76" i="1"/>
  <c r="C76" i="44"/>
  <c r="F50" i="44"/>
  <c r="F50" i="96"/>
  <c r="H50" i="96" s="1"/>
  <c r="F50" i="1"/>
  <c r="BH12" i="86"/>
  <c r="F51" i="96"/>
  <c r="H51" i="96" s="1"/>
  <c r="F51" i="44"/>
  <c r="F51" i="1"/>
  <c r="Z17" i="95"/>
  <c r="BO5" i="86"/>
  <c r="D35" i="44"/>
  <c r="C22" i="44"/>
  <c r="F35" i="1"/>
  <c r="D22" i="1"/>
  <c r="C21" i="1"/>
  <c r="F22" i="96"/>
  <c r="D35" i="1"/>
  <c r="C22" i="1"/>
  <c r="D22" i="96"/>
  <c r="C21" i="96"/>
  <c r="D35" i="96"/>
  <c r="E35" i="96" s="1"/>
  <c r="C22" i="96"/>
  <c r="F35" i="44"/>
  <c r="D22" i="44"/>
  <c r="C21" i="44"/>
  <c r="F22" i="1"/>
  <c r="F35" i="96"/>
  <c r="F22" i="44"/>
  <c r="C74" i="1"/>
  <c r="C74" i="44"/>
  <c r="C74" i="96"/>
  <c r="C21" i="94"/>
  <c r="C22" i="94"/>
  <c r="AG17" i="95"/>
  <c r="AN17" i="95"/>
  <c r="BW17" i="86"/>
  <c r="E48" i="96"/>
  <c r="D47" i="96"/>
  <c r="D54" i="96"/>
  <c r="F52" i="96"/>
  <c r="H52" i="96" s="1"/>
  <c r="F52" i="1"/>
  <c r="F52" i="44"/>
  <c r="F49" i="1"/>
  <c r="F49" i="96"/>
  <c r="H49" i="96" s="1"/>
  <c r="F49" i="44"/>
  <c r="F39" i="96"/>
  <c r="H39" i="96" s="1"/>
  <c r="D12" i="96" s="1"/>
  <c r="F39" i="44"/>
  <c r="F39" i="1"/>
  <c r="D39" i="96"/>
  <c r="E39" i="96" s="1"/>
  <c r="C12" i="96" s="1"/>
  <c r="C78" i="96"/>
  <c r="D39" i="1"/>
  <c r="D39" i="44"/>
  <c r="C78" i="1"/>
  <c r="C78" i="44"/>
  <c r="G14" i="88"/>
  <c r="G8" i="88"/>
  <c r="G15" i="88"/>
  <c r="G9" i="88"/>
  <c r="G17" i="88"/>
  <c r="H17" i="88" s="1"/>
  <c r="G7" i="88"/>
  <c r="G10" i="88"/>
  <c r="G5" i="88"/>
  <c r="G11" i="88"/>
  <c r="G12" i="88"/>
  <c r="G6" i="88"/>
  <c r="G13" i="88"/>
  <c r="F33" i="96"/>
  <c r="D20" i="96"/>
  <c r="F20" i="44"/>
  <c r="D33" i="96"/>
  <c r="E33" i="96" s="1"/>
  <c r="C20" i="96"/>
  <c r="F33" i="44"/>
  <c r="D33" i="44"/>
  <c r="C20" i="44"/>
  <c r="D20" i="1"/>
  <c r="F20" i="96"/>
  <c r="D33" i="1"/>
  <c r="C20" i="1"/>
  <c r="D20" i="44"/>
  <c r="F20" i="1"/>
  <c r="F33" i="1"/>
  <c r="C72" i="96"/>
  <c r="C72" i="44"/>
  <c r="C72" i="1"/>
  <c r="C20" i="94"/>
  <c r="D32" i="96"/>
  <c r="E32" i="96" s="1"/>
  <c r="C19" i="96"/>
  <c r="F32" i="44"/>
  <c r="D19" i="44"/>
  <c r="F19" i="1"/>
  <c r="D32" i="44"/>
  <c r="F32" i="1"/>
  <c r="C71" i="96"/>
  <c r="C19" i="1"/>
  <c r="F32" i="96"/>
  <c r="D19" i="96"/>
  <c r="F19" i="44"/>
  <c r="C19" i="44"/>
  <c r="D19" i="1"/>
  <c r="F19" i="96"/>
  <c r="D32" i="1"/>
  <c r="C71" i="1"/>
  <c r="C71" i="44"/>
  <c r="C19" i="94"/>
  <c r="F21" i="96"/>
  <c r="D34" i="1"/>
  <c r="G34" i="96"/>
  <c r="D21" i="96"/>
  <c r="G34" i="44"/>
  <c r="F21" i="1"/>
  <c r="D34" i="44"/>
  <c r="G34" i="1"/>
  <c r="D21" i="1"/>
  <c r="F21" i="44"/>
  <c r="D34" i="96"/>
  <c r="D21" i="44"/>
  <c r="C73" i="1"/>
  <c r="C73" i="44"/>
  <c r="C73" i="96"/>
  <c r="L17" i="95"/>
  <c r="F38" i="1"/>
  <c r="F38" i="96"/>
  <c r="H38" i="96" s="1"/>
  <c r="D11" i="96" s="1"/>
  <c r="F38" i="44"/>
  <c r="D38" i="96"/>
  <c r="E38" i="96" s="1"/>
  <c r="C11" i="96" s="1"/>
  <c r="C77" i="1"/>
  <c r="C77" i="44"/>
  <c r="D38" i="1"/>
  <c r="D38" i="44"/>
  <c r="C77" i="96"/>
  <c r="F48" i="96"/>
  <c r="F48" i="44"/>
  <c r="H48" i="44" s="1"/>
  <c r="F48" i="1"/>
  <c r="BQ5" i="95"/>
  <c r="BQ6" i="95"/>
  <c r="BQ13" i="95"/>
  <c r="BQ7" i="95"/>
  <c r="BQ15" i="95"/>
  <c r="BQ9" i="95"/>
  <c r="BQ14" i="95"/>
  <c r="BQ8" i="95"/>
  <c r="BQ11" i="95"/>
  <c r="BQ12" i="95"/>
  <c r="BJ6" i="95"/>
  <c r="BW17" i="95"/>
  <c r="BH9" i="86"/>
  <c r="BH5" i="86"/>
  <c r="BA12" i="86"/>
  <c r="BH10" i="86"/>
  <c r="BH8" i="86"/>
  <c r="BO10" i="86"/>
  <c r="BP17" i="86"/>
  <c r="BI17" i="86"/>
  <c r="BJ8" i="86" s="1"/>
  <c r="BH7" i="86"/>
  <c r="BH6" i="86"/>
  <c r="BH15" i="86"/>
  <c r="BH13" i="86"/>
  <c r="BA8" i="86"/>
  <c r="BH11" i="86"/>
  <c r="BH14" i="86"/>
  <c r="BA5" i="86"/>
  <c r="BA14" i="86"/>
  <c r="BA9" i="86"/>
  <c r="BA11" i="86"/>
  <c r="BA6" i="86"/>
  <c r="BB17" i="86"/>
  <c r="AT12" i="86"/>
  <c r="AM5" i="86"/>
  <c r="AT5" i="86"/>
  <c r="BA10" i="86"/>
  <c r="BA15" i="86"/>
  <c r="BA13" i="86"/>
  <c r="AT8" i="86"/>
  <c r="AT14" i="86"/>
  <c r="AU17" i="86"/>
  <c r="AV6" i="86" s="1"/>
  <c r="AT11" i="86"/>
  <c r="AT15" i="86"/>
  <c r="AT13" i="86"/>
  <c r="AM12" i="86"/>
  <c r="AT10" i="86"/>
  <c r="AT9" i="86"/>
  <c r="AT6" i="86"/>
  <c r="AF10" i="86"/>
  <c r="AM15" i="86"/>
  <c r="AM13" i="86"/>
  <c r="AN17" i="86"/>
  <c r="AO12" i="86" s="1"/>
  <c r="AM14" i="86"/>
  <c r="AM7" i="86"/>
  <c r="Y9" i="86"/>
  <c r="AF7" i="86"/>
  <c r="AM11" i="86"/>
  <c r="AM10" i="86"/>
  <c r="AF5" i="86"/>
  <c r="AM9" i="86"/>
  <c r="AM8" i="86"/>
  <c r="AM6" i="86"/>
  <c r="AF14" i="86"/>
  <c r="AF9" i="86"/>
  <c r="AF8" i="86"/>
  <c r="AG17" i="86"/>
  <c r="AH6" i="86" s="1"/>
  <c r="AF15" i="86"/>
  <c r="AF13" i="86"/>
  <c r="AF11" i="86"/>
  <c r="AF6" i="86"/>
  <c r="AF12" i="86"/>
  <c r="Y14" i="86"/>
  <c r="Z17" i="86"/>
  <c r="R5" i="86"/>
  <c r="R12" i="86"/>
  <c r="S17" i="86"/>
  <c r="R14" i="86"/>
  <c r="R7" i="86"/>
  <c r="R9" i="86"/>
  <c r="R10" i="86"/>
  <c r="R13" i="86"/>
  <c r="R8" i="86"/>
  <c r="R6" i="86"/>
  <c r="D8" i="86"/>
  <c r="K13" i="86"/>
  <c r="K10" i="86"/>
  <c r="K12" i="86"/>
  <c r="D5" i="86"/>
  <c r="K7" i="86"/>
  <c r="K6" i="86"/>
  <c r="K14" i="86"/>
  <c r="K3" i="86"/>
  <c r="L3" i="86" s="1"/>
  <c r="M3" i="86" s="1"/>
  <c r="N3" i="86" s="1"/>
  <c r="O3" i="86" s="1"/>
  <c r="P3" i="86" s="1"/>
  <c r="Q3" i="86" s="1"/>
  <c r="L17" i="86"/>
  <c r="E17" i="86"/>
  <c r="D6" i="86"/>
  <c r="D10" i="86"/>
  <c r="D15" i="86"/>
  <c r="D13" i="86"/>
  <c r="D9" i="86"/>
  <c r="D12" i="86"/>
  <c r="D14" i="86"/>
  <c r="D11" i="86"/>
  <c r="D7" i="86"/>
  <c r="I5" i="89"/>
  <c r="I6" i="89"/>
  <c r="D39" i="94"/>
  <c r="E39" i="94" s="1"/>
  <c r="C78" i="94"/>
  <c r="D38" i="94"/>
  <c r="E38" i="94" s="1"/>
  <c r="C77" i="94"/>
  <c r="C71" i="94"/>
  <c r="C73" i="94"/>
  <c r="C74" i="94"/>
  <c r="C72" i="94"/>
  <c r="B29" i="74"/>
  <c r="P11" i="85"/>
  <c r="P9" i="85"/>
  <c r="P10" i="85"/>
  <c r="P13" i="85"/>
  <c r="P8" i="85"/>
  <c r="P15" i="85"/>
  <c r="P6" i="85"/>
  <c r="P7" i="85"/>
  <c r="P14" i="85"/>
  <c r="P5" i="85"/>
  <c r="P12" i="85"/>
  <c r="V8" i="85"/>
  <c r="V10" i="85"/>
  <c r="V13" i="85"/>
  <c r="V15" i="85"/>
  <c r="V9" i="85"/>
  <c r="V6" i="85"/>
  <c r="V5" i="85"/>
  <c r="V12" i="85"/>
  <c r="V7" i="85"/>
  <c r="V14" i="85"/>
  <c r="V11" i="85"/>
  <c r="B10" i="74"/>
  <c r="B19" i="74" s="1"/>
  <c r="C19" i="74" s="1"/>
  <c r="C5" i="74"/>
  <c r="I14" i="89"/>
  <c r="I12" i="89"/>
  <c r="I8" i="89"/>
  <c r="I11" i="89"/>
  <c r="I10" i="89"/>
  <c r="I9" i="89"/>
  <c r="I15" i="89"/>
  <c r="I7" i="89"/>
  <c r="I13" i="89"/>
  <c r="C29" i="74"/>
  <c r="M11" i="85"/>
  <c r="M9" i="85"/>
  <c r="F17" i="73"/>
  <c r="M15" i="85"/>
  <c r="M6" i="85"/>
  <c r="M5" i="85"/>
  <c r="M8" i="85"/>
  <c r="I17" i="73"/>
  <c r="M14" i="85"/>
  <c r="M13" i="85"/>
  <c r="M7" i="85"/>
  <c r="G17" i="73"/>
  <c r="M12" i="85"/>
  <c r="M10" i="85"/>
  <c r="S10" i="85"/>
  <c r="S8" i="85"/>
  <c r="S12" i="85"/>
  <c r="S7" i="85"/>
  <c r="H17" i="73"/>
  <c r="S6" i="85"/>
  <c r="S14" i="85"/>
  <c r="S13" i="85"/>
  <c r="S15" i="85"/>
  <c r="S9" i="85"/>
  <c r="S5" i="85"/>
  <c r="S11" i="85"/>
  <c r="D22" i="79"/>
  <c r="M7" i="86" l="1"/>
  <c r="M8" i="86"/>
  <c r="M6" i="86"/>
  <c r="AH7" i="86"/>
  <c r="AV6" i="95"/>
  <c r="BC7" i="95"/>
  <c r="BJ11" i="95"/>
  <c r="BJ10" i="95"/>
  <c r="BJ14" i="95"/>
  <c r="C12" i="94"/>
  <c r="C11" i="94"/>
  <c r="BH17" i="95"/>
  <c r="Y17" i="95"/>
  <c r="AT17" i="95"/>
  <c r="BO17" i="95"/>
  <c r="T7" i="86"/>
  <c r="AF17" i="95"/>
  <c r="D17" i="95"/>
  <c r="BV17" i="95"/>
  <c r="BA17" i="95"/>
  <c r="AM17" i="95"/>
  <c r="F7" i="95"/>
  <c r="K17" i="95"/>
  <c r="R17" i="95"/>
  <c r="BJ7" i="95"/>
  <c r="BJ13" i="95"/>
  <c r="BJ8" i="95"/>
  <c r="BJ5" i="95"/>
  <c r="C75" i="96"/>
  <c r="D36" i="44"/>
  <c r="C17" i="74"/>
  <c r="F36" i="96"/>
  <c r="H36" i="96" s="1"/>
  <c r="D9" i="96" s="1"/>
  <c r="BJ12" i="95"/>
  <c r="BJ15" i="95"/>
  <c r="F6" i="95"/>
  <c r="F14" i="95"/>
  <c r="C75" i="94"/>
  <c r="C75" i="44"/>
  <c r="F36" i="1"/>
  <c r="C75" i="1"/>
  <c r="D36" i="96"/>
  <c r="E36" i="96" s="1"/>
  <c r="C9" i="96" s="1"/>
  <c r="BQ5" i="86"/>
  <c r="M10" i="86"/>
  <c r="F11" i="95"/>
  <c r="F15" i="95"/>
  <c r="F9" i="95"/>
  <c r="F8" i="95"/>
  <c r="F5" i="95"/>
  <c r="M7" i="95"/>
  <c r="F10" i="95"/>
  <c r="F12" i="95"/>
  <c r="D36" i="1"/>
  <c r="BO17" i="86"/>
  <c r="M6" i="95"/>
  <c r="BV17" i="86"/>
  <c r="BC5" i="95"/>
  <c r="H6" i="88"/>
  <c r="T6" i="95"/>
  <c r="T7" i="95"/>
  <c r="BC11" i="95"/>
  <c r="BC10" i="95"/>
  <c r="BC13" i="95"/>
  <c r="BC15" i="95"/>
  <c r="BC9" i="95"/>
  <c r="BC8" i="95"/>
  <c r="BC6" i="95"/>
  <c r="BC12" i="95"/>
  <c r="BC14" i="95"/>
  <c r="I13" i="88"/>
  <c r="I11" i="88"/>
  <c r="I15" i="88"/>
  <c r="BX14" i="95"/>
  <c r="BX12" i="95"/>
  <c r="BX11" i="95"/>
  <c r="BX10" i="95"/>
  <c r="BX5" i="95"/>
  <c r="BX7" i="95"/>
  <c r="BX8" i="95"/>
  <c r="BX9" i="95"/>
  <c r="BX6" i="95"/>
  <c r="BX13" i="95"/>
  <c r="BX15" i="95"/>
  <c r="BQ17" i="95"/>
  <c r="H8" i="88"/>
  <c r="AO8" i="95"/>
  <c r="AO12" i="95"/>
  <c r="AO9" i="95"/>
  <c r="AO10" i="95"/>
  <c r="AO14" i="95"/>
  <c r="AO5" i="95"/>
  <c r="AO13" i="95"/>
  <c r="AO15" i="95"/>
  <c r="AO11" i="95"/>
  <c r="AH15" i="95"/>
  <c r="AH11" i="95"/>
  <c r="AH13" i="95"/>
  <c r="AH8" i="95"/>
  <c r="AH10" i="95"/>
  <c r="AH5" i="95"/>
  <c r="AH12" i="95"/>
  <c r="AH14" i="95"/>
  <c r="AH9" i="95"/>
  <c r="I9" i="88"/>
  <c r="M5" i="95"/>
  <c r="M11" i="95"/>
  <c r="M15" i="95"/>
  <c r="M9" i="95"/>
  <c r="M8" i="95"/>
  <c r="M13" i="95"/>
  <c r="M14" i="95"/>
  <c r="M12" i="95"/>
  <c r="M10" i="95"/>
  <c r="H14" i="88"/>
  <c r="I12" i="88"/>
  <c r="I5" i="88"/>
  <c r="I6" i="88"/>
  <c r="I14" i="88"/>
  <c r="AO7" i="95"/>
  <c r="E19" i="96"/>
  <c r="H19" i="96"/>
  <c r="H13" i="88"/>
  <c r="H7" i="88"/>
  <c r="H15" i="88"/>
  <c r="E54" i="96"/>
  <c r="E47" i="96"/>
  <c r="AV7" i="95"/>
  <c r="AV11" i="95"/>
  <c r="AV13" i="95"/>
  <c r="AV15" i="95"/>
  <c r="AV12" i="95"/>
  <c r="AV8" i="95"/>
  <c r="AV10" i="95"/>
  <c r="AV14" i="95"/>
  <c r="AV5" i="95"/>
  <c r="AV9" i="95"/>
  <c r="D31" i="44"/>
  <c r="C18" i="44"/>
  <c r="F31" i="1"/>
  <c r="D18" i="1"/>
  <c r="D31" i="1"/>
  <c r="F31" i="96"/>
  <c r="D31" i="96"/>
  <c r="C18" i="96"/>
  <c r="F31" i="44"/>
  <c r="D18" i="44"/>
  <c r="F18" i="1"/>
  <c r="F18" i="96"/>
  <c r="C18" i="1"/>
  <c r="D18" i="96"/>
  <c r="F18" i="44"/>
  <c r="C70" i="96"/>
  <c r="C70" i="1"/>
  <c r="C70" i="44"/>
  <c r="C18" i="94"/>
  <c r="F54" i="96"/>
  <c r="H48" i="96"/>
  <c r="F47" i="96"/>
  <c r="E20" i="96"/>
  <c r="H20" i="96"/>
  <c r="BX11" i="86"/>
  <c r="BX13" i="86"/>
  <c r="BX7" i="86"/>
  <c r="BX15" i="86"/>
  <c r="BX9" i="86"/>
  <c r="BX5" i="86"/>
  <c r="BX6" i="86"/>
  <c r="BX14" i="86"/>
  <c r="BX10" i="86"/>
  <c r="BX8" i="86"/>
  <c r="BX12" i="86"/>
  <c r="H22" i="96"/>
  <c r="E22" i="96"/>
  <c r="I10" i="88"/>
  <c r="H11" i="88"/>
  <c r="AA10" i="95"/>
  <c r="AA12" i="95"/>
  <c r="AA8" i="95"/>
  <c r="AA15" i="95"/>
  <c r="AA11" i="95"/>
  <c r="AA5" i="95"/>
  <c r="AA6" i="95"/>
  <c r="AA13" i="95"/>
  <c r="AA7" i="95"/>
  <c r="AA9" i="95"/>
  <c r="AA14" i="95"/>
  <c r="AV11" i="86"/>
  <c r="I8" i="88"/>
  <c r="I7" i="88"/>
  <c r="F34" i="96"/>
  <c r="E34" i="96"/>
  <c r="H12" i="88"/>
  <c r="H5" i="88"/>
  <c r="H10" i="88"/>
  <c r="H9" i="88"/>
  <c r="AO6" i="95"/>
  <c r="AH6" i="95"/>
  <c r="H21" i="96"/>
  <c r="E21" i="96"/>
  <c r="AH7" i="95"/>
  <c r="T10" i="95"/>
  <c r="T11" i="95"/>
  <c r="T15" i="95"/>
  <c r="T9" i="95"/>
  <c r="T12" i="95"/>
  <c r="T8" i="95"/>
  <c r="T5" i="95"/>
  <c r="T13" i="95"/>
  <c r="T14" i="95"/>
  <c r="BJ7" i="86"/>
  <c r="BJ10" i="86"/>
  <c r="BJ5" i="86"/>
  <c r="BJ9" i="86"/>
  <c r="BQ6" i="86"/>
  <c r="BQ14" i="86"/>
  <c r="BQ13" i="86"/>
  <c r="BQ12" i="86"/>
  <c r="BQ11" i="86"/>
  <c r="BQ9" i="86"/>
  <c r="BQ8" i="86"/>
  <c r="BQ15" i="86"/>
  <c r="BQ7" i="86"/>
  <c r="BC10" i="86"/>
  <c r="BJ11" i="86"/>
  <c r="BQ10" i="86"/>
  <c r="BJ12" i="86"/>
  <c r="BJ6" i="86"/>
  <c r="BC11" i="86"/>
  <c r="BC8" i="86"/>
  <c r="AV14" i="86"/>
  <c r="BC12" i="86"/>
  <c r="BC6" i="86"/>
  <c r="BJ15" i="86"/>
  <c r="BJ13" i="86"/>
  <c r="AV9" i="86"/>
  <c r="BC14" i="86"/>
  <c r="BJ14" i="86"/>
  <c r="BH17" i="86"/>
  <c r="BA17" i="86"/>
  <c r="T9" i="86"/>
  <c r="AV8" i="86"/>
  <c r="AV5" i="86"/>
  <c r="BC7" i="86"/>
  <c r="BC15" i="86"/>
  <c r="BC13" i="86"/>
  <c r="BC9" i="86"/>
  <c r="T14" i="86"/>
  <c r="BC5" i="86"/>
  <c r="AV12" i="86"/>
  <c r="AV10" i="86"/>
  <c r="T6" i="86"/>
  <c r="AO5" i="86"/>
  <c r="AT17" i="86"/>
  <c r="AV7" i="86"/>
  <c r="AV13" i="86"/>
  <c r="AV15" i="86"/>
  <c r="AO7" i="86"/>
  <c r="AO11" i="86"/>
  <c r="AO8" i="86"/>
  <c r="AO14" i="86"/>
  <c r="AM17" i="86"/>
  <c r="AO6" i="86"/>
  <c r="AH5" i="86"/>
  <c r="AO13" i="86"/>
  <c r="AO15" i="86"/>
  <c r="AO10" i="86"/>
  <c r="AO9" i="86"/>
  <c r="AH14" i="86"/>
  <c r="AH8" i="86"/>
  <c r="AH12" i="86"/>
  <c r="AH9" i="86"/>
  <c r="AH10" i="86"/>
  <c r="AH11" i="86"/>
  <c r="AA5" i="86"/>
  <c r="AF17" i="86"/>
  <c r="AH13" i="86"/>
  <c r="AH15" i="86"/>
  <c r="Y17" i="86"/>
  <c r="AA14" i="86"/>
  <c r="AA6" i="86"/>
  <c r="AA12" i="86"/>
  <c r="AA8" i="86"/>
  <c r="AA15" i="86"/>
  <c r="AA10" i="86"/>
  <c r="AA13" i="86"/>
  <c r="AA11" i="86"/>
  <c r="AA7" i="86"/>
  <c r="T10" i="86"/>
  <c r="T12" i="86"/>
  <c r="T8" i="86"/>
  <c r="AA9" i="86"/>
  <c r="T5" i="86"/>
  <c r="R3" i="86"/>
  <c r="S3" i="86" s="1"/>
  <c r="T3" i="86" s="1"/>
  <c r="U3" i="86" s="1"/>
  <c r="V3" i="86" s="1"/>
  <c r="W3" i="86" s="1"/>
  <c r="X3" i="86" s="1"/>
  <c r="R17" i="86"/>
  <c r="T15" i="86"/>
  <c r="T11" i="86"/>
  <c r="T13" i="86"/>
  <c r="M14" i="86"/>
  <c r="M5" i="86"/>
  <c r="K17" i="86"/>
  <c r="M9" i="86"/>
  <c r="M15" i="86"/>
  <c r="M11" i="86"/>
  <c r="M13" i="86"/>
  <c r="M12" i="86"/>
  <c r="F7" i="86"/>
  <c r="F11" i="86"/>
  <c r="F9" i="86"/>
  <c r="F8" i="86"/>
  <c r="F12" i="86"/>
  <c r="F15" i="86"/>
  <c r="F13" i="86"/>
  <c r="F6" i="86"/>
  <c r="F10" i="86"/>
  <c r="F14" i="86"/>
  <c r="F5" i="86"/>
  <c r="D17" i="86"/>
  <c r="C70" i="94"/>
  <c r="S17" i="85"/>
  <c r="T5" i="85" s="1"/>
  <c r="U5" i="85" s="1"/>
  <c r="J17" i="73"/>
  <c r="I17" i="89"/>
  <c r="J11" i="89" s="1"/>
  <c r="K11" i="89" s="1"/>
  <c r="L11" i="89" s="1"/>
  <c r="J8" i="85"/>
  <c r="J10" i="85"/>
  <c r="C10" i="74"/>
  <c r="J12" i="85"/>
  <c r="J13" i="85"/>
  <c r="J15" i="85"/>
  <c r="J14" i="85"/>
  <c r="J5" i="85"/>
  <c r="J6" i="85"/>
  <c r="J9" i="85"/>
  <c r="J11" i="85"/>
  <c r="J7" i="85"/>
  <c r="M17" i="85"/>
  <c r="N12" i="85" s="1"/>
  <c r="O12" i="85" s="1"/>
  <c r="AA12" i="85" s="1"/>
  <c r="V17" i="85"/>
  <c r="W11" i="85" s="1"/>
  <c r="X11" i="85" s="1"/>
  <c r="AD11" i="85" s="1"/>
  <c r="P17" i="85"/>
  <c r="Q14" i="85" s="1"/>
  <c r="R14" i="85" s="1"/>
  <c r="AB14" i="85" s="1"/>
  <c r="AV17" i="86" l="1"/>
  <c r="C69" i="96"/>
  <c r="C69" i="94"/>
  <c r="BJ17" i="95"/>
  <c r="BK6" i="95" s="1"/>
  <c r="BL6" i="95" s="1"/>
  <c r="F40" i="96"/>
  <c r="F17" i="95"/>
  <c r="BC17" i="95"/>
  <c r="BD11" i="95" s="1"/>
  <c r="BE11" i="95" s="1"/>
  <c r="T17" i="95"/>
  <c r="T13" i="85"/>
  <c r="U13" i="85" s="1"/>
  <c r="AC13" i="85" s="1"/>
  <c r="G13" i="93" s="1"/>
  <c r="I17" i="88"/>
  <c r="AA17" i="95"/>
  <c r="AB6" i="95" s="1"/>
  <c r="AC6" i="95" s="1"/>
  <c r="AO17" i="95"/>
  <c r="AH17" i="95"/>
  <c r="M17" i="95"/>
  <c r="N15" i="95" s="1"/>
  <c r="O15" i="95" s="1"/>
  <c r="BX17" i="95"/>
  <c r="BY9" i="95" s="1"/>
  <c r="BZ9" i="95" s="1"/>
  <c r="AV17" i="95"/>
  <c r="BX17" i="86"/>
  <c r="BY5" i="86" s="1"/>
  <c r="T12" i="85"/>
  <c r="U12" i="85" s="1"/>
  <c r="AC12" i="85" s="1"/>
  <c r="G12" i="93" s="1"/>
  <c r="H54" i="96"/>
  <c r="H47" i="96"/>
  <c r="D30" i="96"/>
  <c r="E31" i="96"/>
  <c r="D40" i="96"/>
  <c r="BR7" i="95"/>
  <c r="BR10" i="95"/>
  <c r="BS10" i="95" s="1"/>
  <c r="BR13" i="95"/>
  <c r="BR9" i="95"/>
  <c r="BS9" i="95" s="1"/>
  <c r="BR12" i="95"/>
  <c r="BR6" i="95"/>
  <c r="BR14" i="95"/>
  <c r="BR5" i="95"/>
  <c r="BS5" i="95" s="1"/>
  <c r="BR15" i="95"/>
  <c r="BR8" i="95"/>
  <c r="BR11" i="95"/>
  <c r="BS11" i="95" s="1"/>
  <c r="F30" i="96"/>
  <c r="H34" i="96"/>
  <c r="H31" i="96"/>
  <c r="H32" i="96"/>
  <c r="H35" i="96"/>
  <c r="H33" i="96"/>
  <c r="E18" i="96"/>
  <c r="H18" i="96"/>
  <c r="BQ17" i="86"/>
  <c r="BR7" i="86" s="1"/>
  <c r="BJ17" i="86"/>
  <c r="BC17" i="86"/>
  <c r="BD5" i="86" s="1"/>
  <c r="BE5" i="86" s="1"/>
  <c r="AW8" i="86"/>
  <c r="AX8" i="86" s="1"/>
  <c r="AO17" i="86"/>
  <c r="AH17" i="86"/>
  <c r="AP5" i="86" s="1"/>
  <c r="AQ5" i="86" s="1"/>
  <c r="T17" i="86"/>
  <c r="U5" i="86" s="1"/>
  <c r="V5" i="86" s="1"/>
  <c r="Y3" i="86"/>
  <c r="Z3" i="86" s="1"/>
  <c r="AA3" i="86" s="1"/>
  <c r="AB3" i="86" s="1"/>
  <c r="AC3" i="86" s="1"/>
  <c r="AD3" i="86" s="1"/>
  <c r="AE3" i="86" s="1"/>
  <c r="AA17" i="86"/>
  <c r="AB5" i="86" s="1"/>
  <c r="M17" i="86"/>
  <c r="F17" i="86"/>
  <c r="G5" i="86" s="1"/>
  <c r="H5" i="86" s="1"/>
  <c r="Q10" i="85"/>
  <c r="R10" i="85" s="1"/>
  <c r="AB10" i="85" s="1"/>
  <c r="F10" i="93" s="1"/>
  <c r="J6" i="89"/>
  <c r="K6" i="89" s="1"/>
  <c r="L6" i="89" s="1"/>
  <c r="J15" i="89"/>
  <c r="K15" i="89" s="1"/>
  <c r="L15" i="89" s="1"/>
  <c r="M15" i="89" s="1"/>
  <c r="J8" i="89"/>
  <c r="K8" i="89" s="1"/>
  <c r="L8" i="89" s="1"/>
  <c r="M8" i="89" s="1"/>
  <c r="J14" i="89"/>
  <c r="K14" i="89" s="1"/>
  <c r="L14" i="89" s="1"/>
  <c r="M14" i="89" s="1"/>
  <c r="J13" i="89"/>
  <c r="K13" i="89" s="1"/>
  <c r="L13" i="89" s="1"/>
  <c r="M13" i="89" s="1"/>
  <c r="J9" i="89"/>
  <c r="K9" i="89" s="1"/>
  <c r="L9" i="89" s="1"/>
  <c r="M9" i="89" s="1"/>
  <c r="J12" i="89"/>
  <c r="K12" i="89" s="1"/>
  <c r="L12" i="89" s="1"/>
  <c r="M12" i="89" s="1"/>
  <c r="J10" i="89"/>
  <c r="K10" i="89" s="1"/>
  <c r="L10" i="89" s="1"/>
  <c r="Q9" i="85"/>
  <c r="R9" i="85" s="1"/>
  <c r="AB9" i="85" s="1"/>
  <c r="F9" i="93" s="1"/>
  <c r="Q5" i="85"/>
  <c r="R5" i="85" s="1"/>
  <c r="AB5" i="85" s="1"/>
  <c r="Q8" i="85"/>
  <c r="R8" i="85" s="1"/>
  <c r="AB8" i="85" s="1"/>
  <c r="F8" i="93" s="1"/>
  <c r="Q15" i="85"/>
  <c r="R15" i="85" s="1"/>
  <c r="AB15" i="85" s="1"/>
  <c r="G15" i="73" s="1"/>
  <c r="H11" i="93"/>
  <c r="I11" i="73"/>
  <c r="F14" i="93"/>
  <c r="G14" i="73"/>
  <c r="E12" i="93"/>
  <c r="F12" i="73"/>
  <c r="M11" i="89"/>
  <c r="T8" i="85"/>
  <c r="U8" i="85" s="1"/>
  <c r="AC8" i="85" s="1"/>
  <c r="N5" i="85"/>
  <c r="O5" i="85" s="1"/>
  <c r="T9" i="85"/>
  <c r="U9" i="85" s="1"/>
  <c r="AC9" i="85" s="1"/>
  <c r="N11" i="85"/>
  <c r="O11" i="85" s="1"/>
  <c r="AA11" i="85" s="1"/>
  <c r="W13" i="85"/>
  <c r="X13" i="85" s="1"/>
  <c r="AD13" i="85" s="1"/>
  <c r="N9" i="85"/>
  <c r="O9" i="85" s="1"/>
  <c r="AA9" i="85" s="1"/>
  <c r="N8" i="85"/>
  <c r="O8" i="85" s="1"/>
  <c r="AA8" i="85" s="1"/>
  <c r="T7" i="85"/>
  <c r="U7" i="85" s="1"/>
  <c r="AC7" i="85" s="1"/>
  <c r="J17" i="85"/>
  <c r="K13" i="85" s="1"/>
  <c r="L13" i="85" s="1"/>
  <c r="Z13" i="85" s="1"/>
  <c r="T11" i="85"/>
  <c r="U11" i="85" s="1"/>
  <c r="AC11" i="85" s="1"/>
  <c r="W15" i="85"/>
  <c r="X15" i="85" s="1"/>
  <c r="AD15" i="85" s="1"/>
  <c r="Q7" i="85"/>
  <c r="R7" i="85" s="1"/>
  <c r="AB7" i="85" s="1"/>
  <c r="W12" i="85"/>
  <c r="X12" i="85" s="1"/>
  <c r="AD12" i="85" s="1"/>
  <c r="J5" i="89"/>
  <c r="N13" i="85"/>
  <c r="O13" i="85" s="1"/>
  <c r="AA13" i="85" s="1"/>
  <c r="T15" i="85"/>
  <c r="U15" i="85" s="1"/>
  <c r="AC15" i="85" s="1"/>
  <c r="W7" i="85"/>
  <c r="X7" i="85" s="1"/>
  <c r="AD7" i="85" s="1"/>
  <c r="N7" i="85"/>
  <c r="O7" i="85" s="1"/>
  <c r="AA7" i="85" s="1"/>
  <c r="Q6" i="85"/>
  <c r="R6" i="85" s="1"/>
  <c r="AB6" i="85" s="1"/>
  <c r="J7" i="89"/>
  <c r="K7" i="89" s="1"/>
  <c r="L7" i="89" s="1"/>
  <c r="N6" i="85"/>
  <c r="O6" i="85" s="1"/>
  <c r="AA6" i="85" s="1"/>
  <c r="T14" i="85"/>
  <c r="U14" i="85" s="1"/>
  <c r="AC14" i="85" s="1"/>
  <c r="W10" i="85"/>
  <c r="X10" i="85" s="1"/>
  <c r="AD10" i="85" s="1"/>
  <c r="W5" i="85"/>
  <c r="W8" i="85"/>
  <c r="X8" i="85" s="1"/>
  <c r="AD8" i="85" s="1"/>
  <c r="T10" i="85"/>
  <c r="U10" i="85" s="1"/>
  <c r="AC10" i="85" s="1"/>
  <c r="W6" i="85"/>
  <c r="X6" i="85" s="1"/>
  <c r="AD6" i="85" s="1"/>
  <c r="W9" i="85"/>
  <c r="X9" i="85" s="1"/>
  <c r="AD9" i="85" s="1"/>
  <c r="N14" i="85"/>
  <c r="O14" i="85" s="1"/>
  <c r="AA14" i="85" s="1"/>
  <c r="T6" i="85"/>
  <c r="U6" i="85" s="1"/>
  <c r="AC6" i="85" s="1"/>
  <c r="N15" i="85"/>
  <c r="O15" i="85" s="1"/>
  <c r="AA15" i="85" s="1"/>
  <c r="W14" i="85"/>
  <c r="X14" i="85" s="1"/>
  <c r="AD14" i="85" s="1"/>
  <c r="Q11" i="85"/>
  <c r="R11" i="85" s="1"/>
  <c r="AB11" i="85" s="1"/>
  <c r="Q12" i="85"/>
  <c r="R12" i="85" s="1"/>
  <c r="AB12" i="85" s="1"/>
  <c r="N10" i="85"/>
  <c r="O10" i="85" s="1"/>
  <c r="AA10" i="85" s="1"/>
  <c r="Q13" i="85"/>
  <c r="R13" i="85" s="1"/>
  <c r="AB13" i="85" s="1"/>
  <c r="BK15" i="95" l="1"/>
  <c r="BL15" i="95" s="1"/>
  <c r="BK9" i="95"/>
  <c r="BL9" i="95" s="1"/>
  <c r="BK10" i="95"/>
  <c r="BL10" i="95" s="1"/>
  <c r="K5" i="85"/>
  <c r="L5" i="85" s="1"/>
  <c r="Z5" i="85" s="1"/>
  <c r="K10" i="85"/>
  <c r="K7" i="85"/>
  <c r="L7" i="85" s="1"/>
  <c r="Z7" i="85" s="1"/>
  <c r="E7" i="73" s="1"/>
  <c r="AW13" i="95"/>
  <c r="AX13" i="95" s="1"/>
  <c r="BK5" i="95"/>
  <c r="BL5" i="95" s="1"/>
  <c r="BD12" i="95"/>
  <c r="BE12" i="95" s="1"/>
  <c r="AW15" i="95"/>
  <c r="AX15" i="95" s="1"/>
  <c r="BD13" i="95"/>
  <c r="BE13" i="95" s="1"/>
  <c r="BK11" i="95"/>
  <c r="BL11" i="95" s="1"/>
  <c r="BK8" i="95"/>
  <c r="BL8" i="95" s="1"/>
  <c r="BK13" i="95"/>
  <c r="BL13" i="95" s="1"/>
  <c r="G14" i="95"/>
  <c r="H14" i="95" s="1"/>
  <c r="G8" i="95"/>
  <c r="H8" i="95" s="1"/>
  <c r="AW5" i="95"/>
  <c r="AX5" i="95" s="1"/>
  <c r="BK12" i="95"/>
  <c r="BL12" i="95" s="1"/>
  <c r="BK7" i="95"/>
  <c r="BL7" i="95" s="1"/>
  <c r="G12" i="95"/>
  <c r="H12" i="95" s="1"/>
  <c r="G7" i="95"/>
  <c r="H7" i="95" s="1"/>
  <c r="G9" i="95"/>
  <c r="H9" i="95" s="1"/>
  <c r="G13" i="95"/>
  <c r="H13" i="95" s="1"/>
  <c r="BD7" i="95"/>
  <c r="BE7" i="95" s="1"/>
  <c r="BD15" i="95"/>
  <c r="BE15" i="95" s="1"/>
  <c r="BD14" i="95"/>
  <c r="BE14" i="95" s="1"/>
  <c r="BD5" i="95"/>
  <c r="BE5" i="95" s="1"/>
  <c r="BD9" i="95"/>
  <c r="BE9" i="95" s="1"/>
  <c r="BK14" i="95"/>
  <c r="BL14" i="95" s="1"/>
  <c r="G6" i="95"/>
  <c r="H6" i="95" s="1"/>
  <c r="BD6" i="95"/>
  <c r="BE6" i="95" s="1"/>
  <c r="BD8" i="95"/>
  <c r="BE8" i="95" s="1"/>
  <c r="BD10" i="95"/>
  <c r="BE10" i="95" s="1"/>
  <c r="G5" i="95"/>
  <c r="H5" i="95" s="1"/>
  <c r="G10" i="95"/>
  <c r="H10" i="95" s="1"/>
  <c r="G15" i="95"/>
  <c r="H15" i="95" s="1"/>
  <c r="G11" i="95"/>
  <c r="H11" i="95" s="1"/>
  <c r="U14" i="95"/>
  <c r="V14" i="95" s="1"/>
  <c r="U13" i="95"/>
  <c r="V13" i="95" s="1"/>
  <c r="U7" i="95"/>
  <c r="V7" i="95" s="1"/>
  <c r="U11" i="95"/>
  <c r="V11" i="95" s="1"/>
  <c r="U9" i="95"/>
  <c r="V9" i="95" s="1"/>
  <c r="U10" i="95"/>
  <c r="V10" i="95" s="1"/>
  <c r="U12" i="95"/>
  <c r="V12" i="95" s="1"/>
  <c r="BY7" i="86"/>
  <c r="BY12" i="86"/>
  <c r="BZ12" i="86" s="1"/>
  <c r="BY15" i="86"/>
  <c r="BZ15" i="86" s="1"/>
  <c r="U6" i="95"/>
  <c r="V6" i="95" s="1"/>
  <c r="U8" i="95"/>
  <c r="V8" i="95" s="1"/>
  <c r="U5" i="95"/>
  <c r="V5" i="95" s="1"/>
  <c r="H13" i="73"/>
  <c r="AW12" i="95"/>
  <c r="AX12" i="95" s="1"/>
  <c r="U15" i="95"/>
  <c r="V15" i="95" s="1"/>
  <c r="BY13" i="86"/>
  <c r="BZ13" i="86" s="1"/>
  <c r="BY6" i="86"/>
  <c r="BZ6" i="86" s="1"/>
  <c r="AP14" i="95"/>
  <c r="AQ14" i="95" s="1"/>
  <c r="BY9" i="86"/>
  <c r="BZ9" i="86" s="1"/>
  <c r="BY11" i="86"/>
  <c r="BZ11" i="86" s="1"/>
  <c r="AI8" i="95"/>
  <c r="AJ8" i="95" s="1"/>
  <c r="AP11" i="95"/>
  <c r="AQ11" i="95" s="1"/>
  <c r="J14" i="88"/>
  <c r="AR14" i="73" s="1"/>
  <c r="BY10" i="95"/>
  <c r="BZ10" i="95" s="1"/>
  <c r="AB7" i="95"/>
  <c r="AC7" i="95" s="1"/>
  <c r="AB15" i="95"/>
  <c r="AC15" i="95" s="1"/>
  <c r="AB8" i="95"/>
  <c r="AC8" i="95" s="1"/>
  <c r="BY6" i="95"/>
  <c r="BZ6" i="95" s="1"/>
  <c r="AB13" i="95"/>
  <c r="BY11" i="95"/>
  <c r="BZ11" i="95" s="1"/>
  <c r="BY5" i="95"/>
  <c r="BY7" i="95"/>
  <c r="BY8" i="95"/>
  <c r="AB10" i="95"/>
  <c r="AC10" i="95" s="1"/>
  <c r="AB11" i="95"/>
  <c r="AB12" i="95"/>
  <c r="AC12" i="95" s="1"/>
  <c r="AB5" i="95"/>
  <c r="BY12" i="95"/>
  <c r="BZ12" i="95" s="1"/>
  <c r="AB9" i="95"/>
  <c r="AC9" i="95" s="1"/>
  <c r="BY15" i="95"/>
  <c r="BZ15" i="95" s="1"/>
  <c r="BY13" i="95"/>
  <c r="BZ13" i="95" s="1"/>
  <c r="BY14" i="95"/>
  <c r="N6" i="95"/>
  <c r="O6" i="95" s="1"/>
  <c r="AB14" i="95"/>
  <c r="AC14" i="95" s="1"/>
  <c r="J10" i="88"/>
  <c r="K10" i="88" s="1"/>
  <c r="J9" i="88"/>
  <c r="AR9" i="73" s="1"/>
  <c r="J15" i="88"/>
  <c r="K15" i="88" s="1"/>
  <c r="J6" i="88"/>
  <c r="K6" i="88" s="1"/>
  <c r="J11" i="88"/>
  <c r="AR11" i="73" s="1"/>
  <c r="J13" i="88"/>
  <c r="AR13" i="73" s="1"/>
  <c r="J5" i="88"/>
  <c r="K5" i="88" s="1"/>
  <c r="J7" i="88"/>
  <c r="K7" i="88" s="1"/>
  <c r="J12" i="88"/>
  <c r="AR12" i="73" s="1"/>
  <c r="J8" i="88"/>
  <c r="K8" i="88" s="1"/>
  <c r="AP8" i="95"/>
  <c r="AQ8" i="95" s="1"/>
  <c r="AI14" i="95"/>
  <c r="AJ14" i="95" s="1"/>
  <c r="N5" i="95"/>
  <c r="O5" i="95" s="1"/>
  <c r="N8" i="95"/>
  <c r="O8" i="95" s="1"/>
  <c r="N14" i="95"/>
  <c r="O14" i="95" s="1"/>
  <c r="N12" i="95"/>
  <c r="O12" i="95" s="1"/>
  <c r="N13" i="95"/>
  <c r="O13" i="95" s="1"/>
  <c r="N9" i="95"/>
  <c r="O9" i="95" s="1"/>
  <c r="N10" i="95"/>
  <c r="O10" i="95" s="1"/>
  <c r="AP9" i="95"/>
  <c r="AQ9" i="95" s="1"/>
  <c r="AP7" i="95"/>
  <c r="AQ7" i="95" s="1"/>
  <c r="N7" i="95"/>
  <c r="O7" i="95" s="1"/>
  <c r="N11" i="95"/>
  <c r="O11" i="95" s="1"/>
  <c r="AI15" i="95"/>
  <c r="AJ15" i="95" s="1"/>
  <c r="AI7" i="95"/>
  <c r="AJ7" i="95" s="1"/>
  <c r="AP6" i="95"/>
  <c r="AQ6" i="95" s="1"/>
  <c r="AI10" i="95"/>
  <c r="AJ10" i="95" s="1"/>
  <c r="AI12" i="95"/>
  <c r="AJ12" i="95" s="1"/>
  <c r="AP10" i="95"/>
  <c r="AQ10" i="95" s="1"/>
  <c r="AI6" i="95"/>
  <c r="AJ6" i="95" s="1"/>
  <c r="AI9" i="95"/>
  <c r="AJ9" i="95" s="1"/>
  <c r="AP12" i="95"/>
  <c r="AQ12" i="95" s="1"/>
  <c r="AW9" i="95"/>
  <c r="AX9" i="95" s="1"/>
  <c r="AW11" i="95"/>
  <c r="AX11" i="95" s="1"/>
  <c r="AW10" i="95"/>
  <c r="AX10" i="95" s="1"/>
  <c r="AP5" i="95"/>
  <c r="AQ5" i="95" s="1"/>
  <c r="AI13" i="95"/>
  <c r="AJ13" i="95" s="1"/>
  <c r="AP13" i="95"/>
  <c r="AQ13" i="95" s="1"/>
  <c r="AI11" i="95"/>
  <c r="AJ11" i="95" s="1"/>
  <c r="AI5" i="95"/>
  <c r="AJ5" i="95" s="1"/>
  <c r="AP15" i="95"/>
  <c r="AQ15" i="95" s="1"/>
  <c r="AW14" i="95"/>
  <c r="AX14" i="95" s="1"/>
  <c r="AW7" i="95"/>
  <c r="AX7" i="95" s="1"/>
  <c r="AW8" i="95"/>
  <c r="AX8" i="95" s="1"/>
  <c r="AW6" i="95"/>
  <c r="AX6" i="95" s="1"/>
  <c r="AW11" i="86"/>
  <c r="AX11" i="86" s="1"/>
  <c r="BK5" i="86"/>
  <c r="BL5" i="86" s="1"/>
  <c r="BR6" i="86"/>
  <c r="BY14" i="86"/>
  <c r="BY10" i="86"/>
  <c r="BZ10" i="86" s="1"/>
  <c r="BY8" i="86"/>
  <c r="K9" i="85"/>
  <c r="L9" i="85" s="1"/>
  <c r="Z9" i="85" s="1"/>
  <c r="D9" i="93" s="1"/>
  <c r="H12" i="73"/>
  <c r="BK8" i="86"/>
  <c r="BL8" i="86" s="1"/>
  <c r="BR14" i="86"/>
  <c r="BR5" i="86"/>
  <c r="BS5" i="86" s="1"/>
  <c r="BR11" i="86"/>
  <c r="BS11" i="86" s="1"/>
  <c r="BK7" i="86"/>
  <c r="BL7" i="86" s="1"/>
  <c r="BR13" i="86"/>
  <c r="BR8" i="86"/>
  <c r="BR15" i="86"/>
  <c r="AW5" i="86"/>
  <c r="AX5" i="86" s="1"/>
  <c r="AW14" i="86"/>
  <c r="AX14" i="86" s="1"/>
  <c r="BK14" i="86"/>
  <c r="BL14" i="86" s="1"/>
  <c r="BK13" i="86"/>
  <c r="BL13" i="86" s="1"/>
  <c r="AW15" i="86"/>
  <c r="AX15" i="86" s="1"/>
  <c r="AW10" i="86"/>
  <c r="AX10" i="86" s="1"/>
  <c r="BK15" i="86"/>
  <c r="BL15" i="86" s="1"/>
  <c r="BK6" i="86"/>
  <c r="BL6" i="86" s="1"/>
  <c r="BK10" i="86"/>
  <c r="BL10" i="86" s="1"/>
  <c r="BK9" i="86"/>
  <c r="BL9" i="86" s="1"/>
  <c r="BK12" i="86"/>
  <c r="BL12" i="86" s="1"/>
  <c r="BR10" i="86"/>
  <c r="BS10" i="86" s="1"/>
  <c r="BR9" i="86"/>
  <c r="BS9" i="86" s="1"/>
  <c r="BR12" i="86"/>
  <c r="H40" i="96"/>
  <c r="H30" i="96"/>
  <c r="D8" i="96"/>
  <c r="BS17" i="95"/>
  <c r="E40" i="96"/>
  <c r="C8" i="96"/>
  <c r="E30" i="96"/>
  <c r="AW7" i="86"/>
  <c r="AX7" i="86" s="1"/>
  <c r="AW13" i="86"/>
  <c r="AX13" i="86" s="1"/>
  <c r="BK11" i="86"/>
  <c r="BL11" i="86" s="1"/>
  <c r="AW12" i="86"/>
  <c r="AX12" i="86" s="1"/>
  <c r="AW6" i="86"/>
  <c r="AX6" i="86" s="1"/>
  <c r="AW9" i="86"/>
  <c r="AX9" i="86" s="1"/>
  <c r="BD7" i="86"/>
  <c r="BE7" i="86" s="1"/>
  <c r="BD11" i="86"/>
  <c r="BE11" i="86" s="1"/>
  <c r="BD15" i="86"/>
  <c r="BE15" i="86" s="1"/>
  <c r="BD8" i="86"/>
  <c r="BE8" i="86" s="1"/>
  <c r="BD12" i="86"/>
  <c r="BE12" i="86" s="1"/>
  <c r="BD9" i="86"/>
  <c r="BE9" i="86" s="1"/>
  <c r="BD13" i="86"/>
  <c r="BE13" i="86" s="1"/>
  <c r="BD6" i="86"/>
  <c r="BE6" i="86" s="1"/>
  <c r="BD14" i="86"/>
  <c r="BE14" i="86" s="1"/>
  <c r="BD10" i="86"/>
  <c r="BE10" i="86" s="1"/>
  <c r="U9" i="86"/>
  <c r="V9" i="86" s="1"/>
  <c r="U14" i="86"/>
  <c r="V14" i="86" s="1"/>
  <c r="U8" i="86"/>
  <c r="V8" i="86" s="1"/>
  <c r="AP14" i="86"/>
  <c r="AQ14" i="86" s="1"/>
  <c r="AP10" i="86"/>
  <c r="AQ10" i="86" s="1"/>
  <c r="AP6" i="86"/>
  <c r="AQ6" i="86" s="1"/>
  <c r="AP13" i="86"/>
  <c r="AQ13" i="86" s="1"/>
  <c r="AP9" i="86"/>
  <c r="AQ9" i="86" s="1"/>
  <c r="AP12" i="86"/>
  <c r="AQ12" i="86" s="1"/>
  <c r="AP8" i="86"/>
  <c r="AQ8" i="86" s="1"/>
  <c r="AI5" i="86"/>
  <c r="AJ5" i="86" s="1"/>
  <c r="AP15" i="86"/>
  <c r="AQ15" i="86" s="1"/>
  <c r="AP11" i="86"/>
  <c r="AQ11" i="86" s="1"/>
  <c r="AP7" i="86"/>
  <c r="AQ7" i="86" s="1"/>
  <c r="AI15" i="86"/>
  <c r="AJ15" i="86" s="1"/>
  <c r="AI8" i="86"/>
  <c r="AJ8" i="86" s="1"/>
  <c r="AI14" i="86"/>
  <c r="AJ14" i="86" s="1"/>
  <c r="AI7" i="86"/>
  <c r="AJ7" i="86" s="1"/>
  <c r="AI6" i="86"/>
  <c r="AJ6" i="86" s="1"/>
  <c r="AI13" i="86"/>
  <c r="AJ13" i="86" s="1"/>
  <c r="AI12" i="86"/>
  <c r="AJ12" i="86" s="1"/>
  <c r="AI9" i="86"/>
  <c r="AJ9" i="86" s="1"/>
  <c r="AI11" i="86"/>
  <c r="AJ11" i="86" s="1"/>
  <c r="AI10" i="86"/>
  <c r="AJ10" i="86" s="1"/>
  <c r="U6" i="86"/>
  <c r="V6" i="86" s="1"/>
  <c r="U11" i="86"/>
  <c r="V11" i="86" s="1"/>
  <c r="AF3" i="86"/>
  <c r="AG3" i="86" s="1"/>
  <c r="AH3" i="86" s="1"/>
  <c r="AI3" i="86" s="1"/>
  <c r="AJ3" i="86" s="1"/>
  <c r="AK3" i="86" s="1"/>
  <c r="AL3" i="86" s="1"/>
  <c r="N15" i="86"/>
  <c r="O15" i="86" s="1"/>
  <c r="N9" i="86"/>
  <c r="O9" i="86" s="1"/>
  <c r="N12" i="86"/>
  <c r="O12" i="86" s="1"/>
  <c r="N11" i="86"/>
  <c r="O11" i="86" s="1"/>
  <c r="N10" i="86"/>
  <c r="O10" i="86" s="1"/>
  <c r="U13" i="86"/>
  <c r="V13" i="86" s="1"/>
  <c r="U12" i="86"/>
  <c r="V12" i="86" s="1"/>
  <c r="U15" i="86"/>
  <c r="V15" i="86" s="1"/>
  <c r="AB7" i="86"/>
  <c r="AC7" i="86" s="1"/>
  <c r="AB11" i="86"/>
  <c r="AB15" i="86"/>
  <c r="AC15" i="86" s="1"/>
  <c r="AB8" i="86"/>
  <c r="AC8" i="86" s="1"/>
  <c r="AB12" i="86"/>
  <c r="AC12" i="86" s="1"/>
  <c r="AB9" i="86"/>
  <c r="AC9" i="86" s="1"/>
  <c r="AB13" i="86"/>
  <c r="AB14" i="86"/>
  <c r="AC14" i="86" s="1"/>
  <c r="AB6" i="86"/>
  <c r="AC6" i="86" s="1"/>
  <c r="AB10" i="86"/>
  <c r="AC10" i="86" s="1"/>
  <c r="U7" i="86"/>
  <c r="V7" i="86" s="1"/>
  <c r="U10" i="86"/>
  <c r="V10" i="86" s="1"/>
  <c r="N8" i="86"/>
  <c r="O8" i="86" s="1"/>
  <c r="N7" i="86"/>
  <c r="O7" i="86" s="1"/>
  <c r="N13" i="86"/>
  <c r="O13" i="86" s="1"/>
  <c r="N6" i="86"/>
  <c r="O6" i="86" s="1"/>
  <c r="N5" i="86"/>
  <c r="O5" i="86" s="1"/>
  <c r="N14" i="86"/>
  <c r="O14" i="86" s="1"/>
  <c r="G6" i="86"/>
  <c r="H6" i="86" s="1"/>
  <c r="G10" i="86"/>
  <c r="H10" i="86" s="1"/>
  <c r="G14" i="86"/>
  <c r="H14" i="86" s="1"/>
  <c r="G7" i="86"/>
  <c r="H7" i="86" s="1"/>
  <c r="G11" i="86"/>
  <c r="H11" i="86" s="1"/>
  <c r="G15" i="86"/>
  <c r="H15" i="86" s="1"/>
  <c r="G8" i="86"/>
  <c r="H8" i="86" s="1"/>
  <c r="G12" i="86"/>
  <c r="H12" i="86" s="1"/>
  <c r="G9" i="86"/>
  <c r="H9" i="86" s="1"/>
  <c r="G13" i="86"/>
  <c r="H13" i="86" s="1"/>
  <c r="G9" i="73"/>
  <c r="G10" i="73"/>
  <c r="K12" i="85"/>
  <c r="L12" i="85" s="1"/>
  <c r="Z12" i="85" s="1"/>
  <c r="D12" i="93" s="1"/>
  <c r="L10" i="85"/>
  <c r="Z10" i="85" s="1"/>
  <c r="E10" i="73" s="1"/>
  <c r="K15" i="85"/>
  <c r="L15" i="85" s="1"/>
  <c r="Z15" i="85" s="1"/>
  <c r="E15" i="73" s="1"/>
  <c r="K11" i="85"/>
  <c r="L11" i="85" s="1"/>
  <c r="Z11" i="85" s="1"/>
  <c r="E11" i="73" s="1"/>
  <c r="K14" i="85"/>
  <c r="L14" i="85" s="1"/>
  <c r="Z14" i="85" s="1"/>
  <c r="E14" i="73" s="1"/>
  <c r="M6" i="89"/>
  <c r="F15" i="93"/>
  <c r="M10" i="89"/>
  <c r="E53" i="94"/>
  <c r="G8" i="73"/>
  <c r="K6" i="85"/>
  <c r="L6" i="85" s="1"/>
  <c r="Z6" i="85" s="1"/>
  <c r="D6" i="93" s="1"/>
  <c r="D13" i="93"/>
  <c r="E13" i="73"/>
  <c r="E10" i="93"/>
  <c r="F10" i="73"/>
  <c r="E15" i="93"/>
  <c r="F15" i="73"/>
  <c r="G15" i="93"/>
  <c r="H15" i="73"/>
  <c r="H12" i="93"/>
  <c r="I12" i="73"/>
  <c r="G7" i="93"/>
  <c r="H7" i="73"/>
  <c r="H9" i="93"/>
  <c r="I9" i="73"/>
  <c r="W17" i="85"/>
  <c r="X5" i="85"/>
  <c r="AD5" i="85" s="1"/>
  <c r="E6" i="93"/>
  <c r="F6" i="73"/>
  <c r="E9" i="93"/>
  <c r="F9" i="73"/>
  <c r="H13" i="93"/>
  <c r="I13" i="73"/>
  <c r="Q17" i="85"/>
  <c r="H6" i="93"/>
  <c r="I6" i="73"/>
  <c r="H10" i="93"/>
  <c r="I10" i="73"/>
  <c r="E7" i="93"/>
  <c r="F7" i="73"/>
  <c r="E13" i="93"/>
  <c r="F13" i="73"/>
  <c r="E11" i="93"/>
  <c r="F11" i="73"/>
  <c r="G9" i="93"/>
  <c r="H9" i="73"/>
  <c r="N17" i="85"/>
  <c r="AA5" i="85"/>
  <c r="F12" i="93"/>
  <c r="G12" i="73"/>
  <c r="H7" i="93"/>
  <c r="I7" i="73"/>
  <c r="E8" i="93"/>
  <c r="F8" i="73"/>
  <c r="T17" i="85"/>
  <c r="AC5" i="85"/>
  <c r="G5" i="93" s="1"/>
  <c r="F11" i="93"/>
  <c r="G11" i="73"/>
  <c r="H14" i="93"/>
  <c r="I14" i="73"/>
  <c r="E14" i="93"/>
  <c r="F14" i="73"/>
  <c r="G10" i="93"/>
  <c r="H10" i="73"/>
  <c r="J17" i="89"/>
  <c r="K5" i="89"/>
  <c r="F7" i="93"/>
  <c r="G7" i="73"/>
  <c r="H15" i="93"/>
  <c r="I15" i="73"/>
  <c r="F13" i="93"/>
  <c r="G13" i="73"/>
  <c r="G6" i="93"/>
  <c r="H6" i="73"/>
  <c r="F5" i="93"/>
  <c r="G5" i="73"/>
  <c r="H8" i="93"/>
  <c r="I8" i="73"/>
  <c r="G14" i="93"/>
  <c r="H14" i="73"/>
  <c r="M7" i="89"/>
  <c r="F6" i="93"/>
  <c r="G6" i="73"/>
  <c r="G11" i="93"/>
  <c r="H11" i="73"/>
  <c r="K8" i="85"/>
  <c r="L8" i="85" s="1"/>
  <c r="Z8" i="85" s="1"/>
  <c r="G8" i="93"/>
  <c r="H8" i="73"/>
  <c r="BT11" i="95" l="1"/>
  <c r="BU11" i="95" s="1"/>
  <c r="BT9" i="95"/>
  <c r="L5" i="89"/>
  <c r="L17" i="89" s="1"/>
  <c r="K17" i="89"/>
  <c r="BL17" i="95"/>
  <c r="BM6" i="95" s="1"/>
  <c r="BE17" i="95"/>
  <c r="BF11" i="95" s="1"/>
  <c r="H17" i="95"/>
  <c r="I12" i="95" s="1"/>
  <c r="K14" i="88"/>
  <c r="V17" i="95"/>
  <c r="BZ17" i="86"/>
  <c r="E9" i="73"/>
  <c r="J9" i="73" s="1"/>
  <c r="AR7" i="73"/>
  <c r="K9" i="88"/>
  <c r="O17" i="95"/>
  <c r="P5" i="95" s="1"/>
  <c r="AC17" i="95"/>
  <c r="AR10" i="73"/>
  <c r="BZ17" i="95"/>
  <c r="BL17" i="86"/>
  <c r="BM5" i="86" s="1"/>
  <c r="AX17" i="95"/>
  <c r="AR6" i="73"/>
  <c r="AR15" i="73"/>
  <c r="K13" i="88"/>
  <c r="K11" i="88"/>
  <c r="K12" i="88"/>
  <c r="AR8" i="73"/>
  <c r="D10" i="93"/>
  <c r="C10" i="93" s="1"/>
  <c r="J10" i="93" s="1"/>
  <c r="AJ17" i="95"/>
  <c r="AK6" i="95" s="1"/>
  <c r="AQ17" i="95"/>
  <c r="BS17" i="86"/>
  <c r="BT9" i="86" s="1"/>
  <c r="E12" i="73"/>
  <c r="J12" i="73" s="1"/>
  <c r="D11" i="93"/>
  <c r="C11" i="93" s="1"/>
  <c r="J11" i="93" s="1"/>
  <c r="D14" i="93"/>
  <c r="C14" i="93" s="1"/>
  <c r="J14" i="93" s="1"/>
  <c r="BT10" i="95"/>
  <c r="BT5" i="95"/>
  <c r="AX17" i="86"/>
  <c r="BE17" i="86"/>
  <c r="AQ17" i="86"/>
  <c r="AR5" i="86" s="1"/>
  <c r="AJ17" i="86"/>
  <c r="AM3" i="86"/>
  <c r="AN3" i="86" s="1"/>
  <c r="AO3" i="86" s="1"/>
  <c r="AP3" i="86" s="1"/>
  <c r="AQ3" i="86" s="1"/>
  <c r="AR3" i="86" s="1"/>
  <c r="AS3" i="86" s="1"/>
  <c r="V17" i="86"/>
  <c r="W11" i="86" s="1"/>
  <c r="O17" i="86"/>
  <c r="P5" i="86" s="1"/>
  <c r="AC17" i="86"/>
  <c r="H17" i="86"/>
  <c r="I5" i="86" s="1"/>
  <c r="D15" i="93"/>
  <c r="C15" i="93" s="1"/>
  <c r="J15" i="93" s="1"/>
  <c r="D7" i="93"/>
  <c r="C7" i="93" s="1"/>
  <c r="J7" i="93" s="1"/>
  <c r="K17" i="85"/>
  <c r="E6" i="73"/>
  <c r="C12" i="93"/>
  <c r="J12" i="93" s="1"/>
  <c r="J15" i="73"/>
  <c r="J10" i="73"/>
  <c r="H5" i="93"/>
  <c r="I5" i="73"/>
  <c r="C6" i="93"/>
  <c r="J6" i="93" s="1"/>
  <c r="J14" i="73"/>
  <c r="J13" i="73"/>
  <c r="C9" i="93"/>
  <c r="J9" i="93" s="1"/>
  <c r="D8" i="93"/>
  <c r="C8" i="93" s="1"/>
  <c r="J8" i="93" s="1"/>
  <c r="E8" i="73"/>
  <c r="E5" i="93"/>
  <c r="F5" i="73"/>
  <c r="J11" i="73"/>
  <c r="J7" i="73"/>
  <c r="M5" i="89"/>
  <c r="M17" i="89" s="1"/>
  <c r="H5" i="73"/>
  <c r="D5" i="93"/>
  <c r="E5" i="73"/>
  <c r="C13" i="93"/>
  <c r="J13" i="93" s="1"/>
  <c r="CA12" i="86" l="1"/>
  <c r="AN12" i="73" s="1"/>
  <c r="CA10" i="86"/>
  <c r="AC5" i="73"/>
  <c r="Q5" i="86"/>
  <c r="CA12" i="95"/>
  <c r="X12" i="73" s="1"/>
  <c r="CA10" i="95"/>
  <c r="M5" i="73"/>
  <c r="Q5" i="95"/>
  <c r="AM9" i="73"/>
  <c r="BU9" i="86"/>
  <c r="W11" i="73"/>
  <c r="CB12" i="95"/>
  <c r="W9" i="73"/>
  <c r="BU9" i="95"/>
  <c r="C5" i="93"/>
  <c r="J5" i="93" s="1"/>
  <c r="CA11" i="86"/>
  <c r="CA9" i="86"/>
  <c r="CA11" i="95"/>
  <c r="CA9" i="95"/>
  <c r="D37" i="94"/>
  <c r="BT11" i="86"/>
  <c r="BF5" i="86"/>
  <c r="BF7" i="86"/>
  <c r="CA13" i="86"/>
  <c r="CA6" i="86"/>
  <c r="CA15" i="86"/>
  <c r="AY11" i="86"/>
  <c r="AJ11" i="73" s="1"/>
  <c r="AY7" i="86"/>
  <c r="AD11" i="73"/>
  <c r="X11" i="86"/>
  <c r="P15" i="86"/>
  <c r="AC15" i="73" s="1"/>
  <c r="P8" i="86"/>
  <c r="P11" i="86"/>
  <c r="P9" i="86"/>
  <c r="AD10" i="86"/>
  <c r="AD6" i="86"/>
  <c r="AD8" i="86"/>
  <c r="AD7" i="86"/>
  <c r="AD12" i="86"/>
  <c r="BF8" i="95"/>
  <c r="U8" i="73" s="1"/>
  <c r="BF7" i="95"/>
  <c r="AY11" i="95"/>
  <c r="T11" i="73" s="1"/>
  <c r="AY7" i="95"/>
  <c r="CA6" i="95"/>
  <c r="CA13" i="95"/>
  <c r="CA15" i="95"/>
  <c r="W14" i="95"/>
  <c r="N14" i="73" s="1"/>
  <c r="W11" i="95"/>
  <c r="P11" i="95"/>
  <c r="P8" i="95"/>
  <c r="P9" i="95"/>
  <c r="AD8" i="95"/>
  <c r="AD10" i="95"/>
  <c r="AD12" i="95"/>
  <c r="AD6" i="95"/>
  <c r="AD7" i="95"/>
  <c r="BM13" i="95"/>
  <c r="V13" i="73" s="1"/>
  <c r="BM7" i="95"/>
  <c r="BN7" i="95" s="1"/>
  <c r="BF10" i="95"/>
  <c r="U10" i="73" s="1"/>
  <c r="BF12" i="95"/>
  <c r="BG12" i="95" s="1"/>
  <c r="BF9" i="95"/>
  <c r="U9" i="73" s="1"/>
  <c r="BF15" i="95"/>
  <c r="U15" i="73" s="1"/>
  <c r="BF5" i="95"/>
  <c r="BG5" i="95" s="1"/>
  <c r="BM8" i="95"/>
  <c r="BN8" i="95" s="1"/>
  <c r="BM15" i="95"/>
  <c r="V15" i="73" s="1"/>
  <c r="BM5" i="95"/>
  <c r="BN5" i="95" s="1"/>
  <c r="BM10" i="95"/>
  <c r="BN10" i="95" s="1"/>
  <c r="BF6" i="95"/>
  <c r="U6" i="73" s="1"/>
  <c r="BF13" i="95"/>
  <c r="U13" i="73" s="1"/>
  <c r="BF14" i="95"/>
  <c r="U14" i="73" s="1"/>
  <c r="BM11" i="95"/>
  <c r="V11" i="73" s="1"/>
  <c r="BM12" i="95"/>
  <c r="BN12" i="95" s="1"/>
  <c r="BM9" i="95"/>
  <c r="BN9" i="95" s="1"/>
  <c r="BM14" i="95"/>
  <c r="BN14" i="95" s="1"/>
  <c r="I15" i="95"/>
  <c r="J15" i="95" s="1"/>
  <c r="I11" i="95"/>
  <c r="J11" i="95" s="1"/>
  <c r="I7" i="95"/>
  <c r="J7" i="95" s="1"/>
  <c r="I9" i="95"/>
  <c r="L9" i="73" s="1"/>
  <c r="I8" i="95"/>
  <c r="L8" i="73" s="1"/>
  <c r="I13" i="95"/>
  <c r="L13" i="73" s="1"/>
  <c r="I6" i="95"/>
  <c r="L6" i="73" s="1"/>
  <c r="I14" i="95"/>
  <c r="J14" i="95" s="1"/>
  <c r="I10" i="95"/>
  <c r="L10" i="73" s="1"/>
  <c r="I5" i="95"/>
  <c r="J5" i="95" s="1"/>
  <c r="W5" i="86"/>
  <c r="X5" i="86" s="1"/>
  <c r="W15" i="86"/>
  <c r="AD15" i="86"/>
  <c r="W9" i="95"/>
  <c r="N9" i="73" s="1"/>
  <c r="P15" i="95"/>
  <c r="AD15" i="95"/>
  <c r="W6" i="95"/>
  <c r="X6" i="95" s="1"/>
  <c r="W15" i="95"/>
  <c r="W10" i="95"/>
  <c r="X10" i="95" s="1"/>
  <c r="W13" i="95"/>
  <c r="N13" i="73" s="1"/>
  <c r="W7" i="95"/>
  <c r="N7" i="73" s="1"/>
  <c r="W12" i="95"/>
  <c r="N12" i="73" s="1"/>
  <c r="AY6" i="95"/>
  <c r="T6" i="73" s="1"/>
  <c r="P7" i="95"/>
  <c r="M7" i="73" s="1"/>
  <c r="W8" i="95"/>
  <c r="X8" i="95" s="1"/>
  <c r="W5" i="95"/>
  <c r="N5" i="73" s="1"/>
  <c r="P12" i="95"/>
  <c r="M12" i="73" s="1"/>
  <c r="P13" i="95"/>
  <c r="M13" i="73" s="1"/>
  <c r="P6" i="95"/>
  <c r="M6" i="73" s="1"/>
  <c r="P14" i="95"/>
  <c r="Q14" i="95" s="1"/>
  <c r="P10" i="95"/>
  <c r="Q10" i="95" s="1"/>
  <c r="BM9" i="86"/>
  <c r="BN9" i="86" s="1"/>
  <c r="BM8" i="86"/>
  <c r="BN8" i="86" s="1"/>
  <c r="BT5" i="86"/>
  <c r="AM5" i="73" s="1"/>
  <c r="AD14" i="95"/>
  <c r="AE14" i="95" s="1"/>
  <c r="AD9" i="95"/>
  <c r="AE9" i="95" s="1"/>
  <c r="BM12" i="86"/>
  <c r="AL12" i="73" s="1"/>
  <c r="BM6" i="86"/>
  <c r="AL6" i="73" s="1"/>
  <c r="BM15" i="86"/>
  <c r="BN15" i="86" s="1"/>
  <c r="AY8" i="95"/>
  <c r="AZ8" i="95" s="1"/>
  <c r="AK8" i="95"/>
  <c r="P8" i="73" s="1"/>
  <c r="AY9" i="95"/>
  <c r="AZ9" i="95" s="1"/>
  <c r="AK11" i="95"/>
  <c r="P11" i="73" s="1"/>
  <c r="AK9" i="95"/>
  <c r="P9" i="73" s="1"/>
  <c r="AK13" i="95"/>
  <c r="AK14" i="95"/>
  <c r="P14" i="73" s="1"/>
  <c r="AK15" i="95"/>
  <c r="P15" i="73" s="1"/>
  <c r="AK5" i="95"/>
  <c r="P5" i="73" s="1"/>
  <c r="AY10" i="95"/>
  <c r="BM11" i="86"/>
  <c r="AL11" i="73" s="1"/>
  <c r="AY14" i="95"/>
  <c r="AY13" i="95"/>
  <c r="AY12" i="95"/>
  <c r="T12" i="73" s="1"/>
  <c r="BM13" i="86"/>
  <c r="BN13" i="86" s="1"/>
  <c r="AY14" i="86"/>
  <c r="AJ14" i="73" s="1"/>
  <c r="BM14" i="86"/>
  <c r="AL14" i="73" s="1"/>
  <c r="BM10" i="86"/>
  <c r="BN10" i="86" s="1"/>
  <c r="BM7" i="86"/>
  <c r="BN7" i="86" s="1"/>
  <c r="AY5" i="95"/>
  <c r="AY15" i="95"/>
  <c r="T15" i="73" s="1"/>
  <c r="K17" i="88"/>
  <c r="AR17" i="73" s="1"/>
  <c r="P6" i="73"/>
  <c r="AL6" i="95"/>
  <c r="AK12" i="95"/>
  <c r="AK7" i="95"/>
  <c r="AK10" i="95"/>
  <c r="BN6" i="95"/>
  <c r="V6" i="73"/>
  <c r="J12" i="95"/>
  <c r="L12" i="73"/>
  <c r="AR9" i="95"/>
  <c r="AR14" i="95"/>
  <c r="AR5" i="95"/>
  <c r="AR11" i="95"/>
  <c r="AR12" i="95"/>
  <c r="AR10" i="95"/>
  <c r="AR8" i="95"/>
  <c r="AR13" i="95"/>
  <c r="AR7" i="95"/>
  <c r="AR15" i="95"/>
  <c r="AR6" i="95"/>
  <c r="BT10" i="86"/>
  <c r="AM10" i="73" s="1"/>
  <c r="BU5" i="95"/>
  <c r="W5" i="73"/>
  <c r="U11" i="73"/>
  <c r="BG11" i="95"/>
  <c r="BU10" i="95"/>
  <c r="W10" i="73"/>
  <c r="W10" i="86"/>
  <c r="AD10" i="73" s="1"/>
  <c r="AY15" i="86"/>
  <c r="AJ15" i="73" s="1"/>
  <c r="AY12" i="86"/>
  <c r="AZ12" i="86" s="1"/>
  <c r="AY10" i="86"/>
  <c r="AJ10" i="73" s="1"/>
  <c r="AY13" i="86"/>
  <c r="AZ13" i="86" s="1"/>
  <c r="AY8" i="86"/>
  <c r="AZ8" i="86" s="1"/>
  <c r="AY6" i="86"/>
  <c r="AZ6" i="86" s="1"/>
  <c r="AY5" i="86"/>
  <c r="AZ5" i="86" s="1"/>
  <c r="AY9" i="86"/>
  <c r="AJ9" i="73" s="1"/>
  <c r="W6" i="86"/>
  <c r="X6" i="86" s="1"/>
  <c r="W14" i="86"/>
  <c r="X14" i="86" s="1"/>
  <c r="W12" i="86"/>
  <c r="X12" i="86" s="1"/>
  <c r="BN5" i="86"/>
  <c r="AL5" i="73"/>
  <c r="P12" i="86"/>
  <c r="Q12" i="86" s="1"/>
  <c r="P6" i="86"/>
  <c r="Q6" i="86" s="1"/>
  <c r="P14" i="86"/>
  <c r="AC14" i="73" s="1"/>
  <c r="W7" i="86"/>
  <c r="AD7" i="73" s="1"/>
  <c r="P10" i="86"/>
  <c r="AC10" i="73" s="1"/>
  <c r="BF13" i="86"/>
  <c r="BF15" i="86"/>
  <c r="BF9" i="86"/>
  <c r="BF14" i="86"/>
  <c r="BF8" i="86"/>
  <c r="BF11" i="86"/>
  <c r="BF6" i="86"/>
  <c r="BF12" i="86"/>
  <c r="BF10" i="86"/>
  <c r="AT3" i="86"/>
  <c r="AU3" i="86" s="1"/>
  <c r="AV3" i="86" s="1"/>
  <c r="AW3" i="86" s="1"/>
  <c r="AX3" i="86" s="1"/>
  <c r="AY3" i="86" s="1"/>
  <c r="AZ3" i="86" s="1"/>
  <c r="AK15" i="86"/>
  <c r="AL15" i="86" s="1"/>
  <c r="AK5" i="86"/>
  <c r="AL5" i="86" s="1"/>
  <c r="AR13" i="86"/>
  <c r="AR15" i="86"/>
  <c r="AR14" i="86"/>
  <c r="AR12" i="86"/>
  <c r="AR7" i="86"/>
  <c r="AR8" i="86"/>
  <c r="AR11" i="86"/>
  <c r="AR9" i="86"/>
  <c r="AR6" i="86"/>
  <c r="AR10" i="86"/>
  <c r="AK8" i="86"/>
  <c r="AF8" i="73" s="1"/>
  <c r="AK14" i="86"/>
  <c r="AL14" i="86" s="1"/>
  <c r="AK11" i="86"/>
  <c r="AF11" i="73" s="1"/>
  <c r="AK6" i="86"/>
  <c r="AF6" i="73" s="1"/>
  <c r="AK10" i="86"/>
  <c r="AL10" i="86" s="1"/>
  <c r="AK7" i="86"/>
  <c r="AL7" i="86" s="1"/>
  <c r="AK9" i="86"/>
  <c r="AF9" i="73" s="1"/>
  <c r="AK13" i="86"/>
  <c r="AF13" i="73" s="1"/>
  <c r="AK12" i="86"/>
  <c r="AL12" i="86" s="1"/>
  <c r="W9" i="86"/>
  <c r="X9" i="86" s="1"/>
  <c r="W13" i="86"/>
  <c r="AD13" i="73" s="1"/>
  <c r="P7" i="86"/>
  <c r="P13" i="86"/>
  <c r="W8" i="86"/>
  <c r="X8" i="86" s="1"/>
  <c r="AD9" i="86"/>
  <c r="AE9" i="86" s="1"/>
  <c r="AD14" i="86"/>
  <c r="AE14" i="86" s="1"/>
  <c r="I6" i="86"/>
  <c r="J6" i="86" s="1"/>
  <c r="I13" i="86"/>
  <c r="I15" i="86"/>
  <c r="I9" i="86"/>
  <c r="I14" i="86"/>
  <c r="I10" i="86"/>
  <c r="I8" i="86"/>
  <c r="I7" i="86"/>
  <c r="I12" i="86"/>
  <c r="I11" i="86"/>
  <c r="J6" i="73"/>
  <c r="J5" i="73"/>
  <c r="J8" i="73"/>
  <c r="CB12" i="86" l="1"/>
  <c r="AN10" i="73"/>
  <c r="CB10" i="86"/>
  <c r="X10" i="73"/>
  <c r="CB10" i="95"/>
  <c r="AN9" i="73"/>
  <c r="CB9" i="86"/>
  <c r="AN11" i="73"/>
  <c r="CB11" i="86"/>
  <c r="X9" i="73"/>
  <c r="CB9" i="95"/>
  <c r="X11" i="73"/>
  <c r="CB11" i="95"/>
  <c r="V7" i="73"/>
  <c r="AZ11" i="95"/>
  <c r="Q15" i="86"/>
  <c r="AN15" i="73"/>
  <c r="CB15" i="86"/>
  <c r="AN6" i="73"/>
  <c r="CB6" i="86"/>
  <c r="AZ11" i="86"/>
  <c r="AN13" i="73"/>
  <c r="CB13" i="86"/>
  <c r="AK7" i="73"/>
  <c r="BG7" i="86"/>
  <c r="AJ7" i="73"/>
  <c r="AZ7" i="86"/>
  <c r="AM11" i="73"/>
  <c r="BU11" i="86"/>
  <c r="AE10" i="73"/>
  <c r="AE10" i="86"/>
  <c r="AC9" i="73"/>
  <c r="Q9" i="86"/>
  <c r="AC11" i="73"/>
  <c r="Q11" i="86"/>
  <c r="AE6" i="73"/>
  <c r="AE6" i="86"/>
  <c r="AC8" i="73"/>
  <c r="Q8" i="86"/>
  <c r="AE12" i="73"/>
  <c r="AE12" i="86"/>
  <c r="AE7" i="73"/>
  <c r="AE7" i="86"/>
  <c r="AE8" i="73"/>
  <c r="AE8" i="86"/>
  <c r="X14" i="95"/>
  <c r="X15" i="73"/>
  <c r="CB15" i="95"/>
  <c r="X13" i="73"/>
  <c r="CB13" i="95"/>
  <c r="X6" i="73"/>
  <c r="CB6" i="95"/>
  <c r="BG8" i="95"/>
  <c r="T7" i="73"/>
  <c r="AZ7" i="95"/>
  <c r="U7" i="73"/>
  <c r="BG7" i="95"/>
  <c r="O8" i="73"/>
  <c r="AE8" i="95"/>
  <c r="O10" i="73"/>
  <c r="AE10" i="95"/>
  <c r="M9" i="73"/>
  <c r="Q9" i="95"/>
  <c r="M8" i="73"/>
  <c r="Q8" i="95"/>
  <c r="M11" i="73"/>
  <c r="Q11" i="95"/>
  <c r="O7" i="73"/>
  <c r="AE7" i="95"/>
  <c r="O6" i="73"/>
  <c r="AE6" i="95"/>
  <c r="N11" i="73"/>
  <c r="X11" i="95"/>
  <c r="O12" i="73"/>
  <c r="AE12" i="95"/>
  <c r="V9" i="73"/>
  <c r="BN13" i="95"/>
  <c r="BG6" i="95"/>
  <c r="J10" i="95"/>
  <c r="AL8" i="73"/>
  <c r="BG14" i="95"/>
  <c r="U12" i="73"/>
  <c r="V8" i="73"/>
  <c r="BG9" i="95"/>
  <c r="BG10" i="95"/>
  <c r="V14" i="73"/>
  <c r="BN15" i="95"/>
  <c r="V10" i="73"/>
  <c r="V12" i="73"/>
  <c r="U5" i="73"/>
  <c r="BG15" i="95"/>
  <c r="BG13" i="95"/>
  <c r="BN11" i="95"/>
  <c r="V5" i="73"/>
  <c r="L7" i="73"/>
  <c r="AZ6" i="95"/>
  <c r="J13" i="95"/>
  <c r="L15" i="73"/>
  <c r="L14" i="73"/>
  <c r="N6" i="73"/>
  <c r="L5" i="73"/>
  <c r="J8" i="95"/>
  <c r="J6" i="95"/>
  <c r="L11" i="73"/>
  <c r="J9" i="95"/>
  <c r="X9" i="95"/>
  <c r="X13" i="95"/>
  <c r="N10" i="73"/>
  <c r="AD5" i="73"/>
  <c r="AD15" i="73"/>
  <c r="X15" i="86"/>
  <c r="AE15" i="73"/>
  <c r="AE15" i="86"/>
  <c r="N15" i="73"/>
  <c r="X15" i="95"/>
  <c r="O15" i="73"/>
  <c r="AE15" i="95"/>
  <c r="M15" i="73"/>
  <c r="Q15" i="95"/>
  <c r="Q7" i="95"/>
  <c r="X7" i="95"/>
  <c r="X12" i="95"/>
  <c r="N8" i="73"/>
  <c r="O14" i="73"/>
  <c r="Q6" i="95"/>
  <c r="M10" i="73"/>
  <c r="AL9" i="73"/>
  <c r="Q13" i="95"/>
  <c r="O9" i="73"/>
  <c r="X5" i="95"/>
  <c r="Q12" i="95"/>
  <c r="M14" i="73"/>
  <c r="AL15" i="73"/>
  <c r="BU5" i="86"/>
  <c r="AL7" i="73"/>
  <c r="T9" i="73"/>
  <c r="BN12" i="86"/>
  <c r="BN6" i="86"/>
  <c r="AZ14" i="86"/>
  <c r="AL5" i="95"/>
  <c r="BN14" i="86"/>
  <c r="AL14" i="95"/>
  <c r="T8" i="73"/>
  <c r="BN11" i="86"/>
  <c r="AL8" i="95"/>
  <c r="AZ12" i="95"/>
  <c r="AL15" i="95"/>
  <c r="AL9" i="95"/>
  <c r="AL11" i="95"/>
  <c r="D52" i="94"/>
  <c r="BU17" i="95"/>
  <c r="W17" i="73" s="1"/>
  <c r="AL13" i="95"/>
  <c r="P13" i="73"/>
  <c r="AL10" i="73"/>
  <c r="T14" i="73"/>
  <c r="AZ14" i="95"/>
  <c r="AL13" i="73"/>
  <c r="T5" i="73"/>
  <c r="AZ5" i="95"/>
  <c r="T10" i="73"/>
  <c r="AZ10" i="95"/>
  <c r="AZ15" i="95"/>
  <c r="T13" i="73"/>
  <c r="AZ13" i="95"/>
  <c r="AZ9" i="86"/>
  <c r="BU10" i="86"/>
  <c r="P10" i="73"/>
  <c r="AL10" i="95"/>
  <c r="AL7" i="95"/>
  <c r="P7" i="73"/>
  <c r="P12" i="73"/>
  <c r="AL12" i="95"/>
  <c r="S6" i="73"/>
  <c r="AS6" i="95"/>
  <c r="S12" i="73"/>
  <c r="AS12" i="95"/>
  <c r="S5" i="73"/>
  <c r="AS5" i="95"/>
  <c r="AS15" i="95"/>
  <c r="S15" i="73"/>
  <c r="S14" i="73"/>
  <c r="AS14" i="95"/>
  <c r="AS7" i="95"/>
  <c r="S7" i="73"/>
  <c r="AS10" i="95"/>
  <c r="S10" i="73"/>
  <c r="S8" i="73"/>
  <c r="AS8" i="95"/>
  <c r="S13" i="73"/>
  <c r="AS13" i="95"/>
  <c r="S11" i="73"/>
  <c r="AS11" i="95"/>
  <c r="S9" i="73"/>
  <c r="AS9" i="95"/>
  <c r="X10" i="86"/>
  <c r="AF14" i="73"/>
  <c r="AJ12" i="73"/>
  <c r="AJ6" i="73"/>
  <c r="AJ13" i="73"/>
  <c r="AD9" i="73"/>
  <c r="AF15" i="73"/>
  <c r="Q14" i="86"/>
  <c r="AD12" i="73"/>
  <c r="AD14" i="73"/>
  <c r="AJ8" i="73"/>
  <c r="AD6" i="73"/>
  <c r="X7" i="86"/>
  <c r="AJ5" i="73"/>
  <c r="AZ10" i="86"/>
  <c r="AZ15" i="86"/>
  <c r="AC12" i="73"/>
  <c r="AL11" i="86"/>
  <c r="BG6" i="86"/>
  <c r="AK6" i="73"/>
  <c r="BG12" i="86"/>
  <c r="AK12" i="73"/>
  <c r="BG8" i="86"/>
  <c r="AK8" i="73"/>
  <c r="BG15" i="86"/>
  <c r="AK15" i="73"/>
  <c r="BG13" i="86"/>
  <c r="AK13" i="73"/>
  <c r="BG5" i="86"/>
  <c r="AK5" i="73"/>
  <c r="BG9" i="86"/>
  <c r="AK9" i="73"/>
  <c r="BG10" i="86"/>
  <c r="AK10" i="73"/>
  <c r="BG11" i="86"/>
  <c r="AK11" i="73"/>
  <c r="BG14" i="86"/>
  <c r="AK14" i="73"/>
  <c r="AL8" i="86"/>
  <c r="AC6" i="73"/>
  <c r="Q10" i="86"/>
  <c r="BA3" i="86"/>
  <c r="BB3" i="86" s="1"/>
  <c r="BC3" i="86" s="1"/>
  <c r="BD3" i="86" s="1"/>
  <c r="BE3" i="86" s="1"/>
  <c r="BF3" i="86" s="1"/>
  <c r="BG3" i="86" s="1"/>
  <c r="AS7" i="86"/>
  <c r="AI7" i="73"/>
  <c r="AS9" i="86"/>
  <c r="AI9" i="73"/>
  <c r="AS8" i="86"/>
  <c r="AI8" i="73"/>
  <c r="AS6" i="86"/>
  <c r="AI6" i="73"/>
  <c r="AS13" i="86"/>
  <c r="AI13" i="73"/>
  <c r="AS11" i="86"/>
  <c r="AI11" i="73"/>
  <c r="AS14" i="86"/>
  <c r="AI14" i="73"/>
  <c r="AS10" i="86"/>
  <c r="AI10" i="73"/>
  <c r="AS5" i="86"/>
  <c r="AI5" i="73"/>
  <c r="AS12" i="86"/>
  <c r="AI12" i="73"/>
  <c r="AS15" i="86"/>
  <c r="AI15" i="73"/>
  <c r="AF7" i="73"/>
  <c r="AL6" i="86"/>
  <c r="AL9" i="86"/>
  <c r="AF10" i="73"/>
  <c r="AL13" i="86"/>
  <c r="AF12" i="73"/>
  <c r="AF5" i="73"/>
  <c r="AD8" i="73"/>
  <c r="X13" i="86"/>
  <c r="Q13" i="86"/>
  <c r="AC13" i="73"/>
  <c r="AC7" i="73"/>
  <c r="Q7" i="86"/>
  <c r="AE14" i="73"/>
  <c r="AE9" i="73"/>
  <c r="J9" i="86"/>
  <c r="AB9" i="73"/>
  <c r="J13" i="86"/>
  <c r="AB13" i="73"/>
  <c r="J8" i="86"/>
  <c r="AB8" i="73"/>
  <c r="J11" i="86"/>
  <c r="AB11" i="73"/>
  <c r="J5" i="86"/>
  <c r="AB5" i="73"/>
  <c r="J10" i="86"/>
  <c r="AB10" i="73"/>
  <c r="AB6" i="73"/>
  <c r="E22" i="73" s="1"/>
  <c r="J12" i="86"/>
  <c r="AB12" i="73"/>
  <c r="J7" i="86"/>
  <c r="AB7" i="73"/>
  <c r="J14" i="86"/>
  <c r="AB14" i="73"/>
  <c r="J15" i="86"/>
  <c r="AB15" i="73"/>
  <c r="BN17" i="95" l="1"/>
  <c r="V17" i="73" s="1"/>
  <c r="D50" i="94"/>
  <c r="E50" i="94" s="1"/>
  <c r="D33" i="94"/>
  <c r="E33" i="94" s="1"/>
  <c r="D49" i="94"/>
  <c r="E49" i="94" s="1"/>
  <c r="D32" i="94"/>
  <c r="E32" i="94" s="1"/>
  <c r="D21" i="94"/>
  <c r="E21" i="94" s="1"/>
  <c r="D34" i="94"/>
  <c r="E34" i="94" s="1"/>
  <c r="D51" i="94"/>
  <c r="E51" i="94" s="1"/>
  <c r="E52" i="94"/>
  <c r="BG17" i="95"/>
  <c r="U17" i="73" s="1"/>
  <c r="D20" i="94"/>
  <c r="J17" i="95"/>
  <c r="L17" i="73" s="1"/>
  <c r="D19" i="94"/>
  <c r="CB17" i="95"/>
  <c r="X17" i="73" s="1"/>
  <c r="Q17" i="95"/>
  <c r="M17" i="73" s="1"/>
  <c r="X17" i="95"/>
  <c r="N17" i="73" s="1"/>
  <c r="BU17" i="86"/>
  <c r="AM17" i="73" s="1"/>
  <c r="CB17" i="86"/>
  <c r="AN17" i="73" s="1"/>
  <c r="AE17" i="95"/>
  <c r="O17" i="73" s="1"/>
  <c r="BN17" i="86"/>
  <c r="AL17" i="73" s="1"/>
  <c r="AZ17" i="95"/>
  <c r="T17" i="73" s="1"/>
  <c r="AL17" i="95"/>
  <c r="P17" i="73" s="1"/>
  <c r="D48" i="94"/>
  <c r="BG17" i="86"/>
  <c r="AK17" i="73" s="1"/>
  <c r="AS17" i="95"/>
  <c r="D35" i="94"/>
  <c r="D22" i="94"/>
  <c r="D31" i="94"/>
  <c r="D18" i="94"/>
  <c r="AZ17" i="86"/>
  <c r="AJ17" i="73" s="1"/>
  <c r="BH3" i="86"/>
  <c r="BI3" i="86" s="1"/>
  <c r="BJ3" i="86" s="1"/>
  <c r="BK3" i="86" s="1"/>
  <c r="BL3" i="86" s="1"/>
  <c r="BM3" i="86" s="1"/>
  <c r="BN3" i="86" s="1"/>
  <c r="AS17" i="86"/>
  <c r="AI17" i="73" s="1"/>
  <c r="X17" i="86"/>
  <c r="AD17" i="73" s="1"/>
  <c r="J17" i="86"/>
  <c r="AB17" i="73" s="1"/>
  <c r="Q11" i="73"/>
  <c r="Q15" i="73"/>
  <c r="Q8" i="73"/>
  <c r="Q6" i="73"/>
  <c r="Q14" i="73"/>
  <c r="Q13" i="73"/>
  <c r="Q9" i="73"/>
  <c r="Q12" i="73"/>
  <c r="Q7" i="73"/>
  <c r="AG5" i="73"/>
  <c r="AG15" i="73"/>
  <c r="AG10" i="73"/>
  <c r="AG6" i="73"/>
  <c r="AG9" i="73"/>
  <c r="AG14" i="73"/>
  <c r="AG12" i="73"/>
  <c r="AG13" i="73"/>
  <c r="AG8" i="73"/>
  <c r="AG11" i="73"/>
  <c r="AG7" i="73"/>
  <c r="Q17" i="73" l="1"/>
  <c r="E48" i="94"/>
  <c r="E19" i="94"/>
  <c r="E20" i="94"/>
  <c r="BS3" i="86"/>
  <c r="BT3" i="86" s="1"/>
  <c r="BU3" i="86" s="1"/>
  <c r="BO3" i="86"/>
  <c r="BP3" i="86" s="1"/>
  <c r="BQ3" i="86" s="1"/>
  <c r="BR3" i="86" s="1"/>
  <c r="AP5" i="73"/>
  <c r="AL17" i="86"/>
  <c r="AF17" i="73" s="1"/>
  <c r="AE17" i="86"/>
  <c r="AE17" i="73" s="1"/>
  <c r="Q17" i="86"/>
  <c r="AC17" i="73" s="1"/>
  <c r="AP9" i="73"/>
  <c r="AR5" i="73"/>
  <c r="Z6" i="73"/>
  <c r="AP12" i="73"/>
  <c r="AP10" i="73"/>
  <c r="AP7" i="73"/>
  <c r="E37" i="94"/>
  <c r="Q10" i="73"/>
  <c r="E22" i="94"/>
  <c r="E35" i="94"/>
  <c r="E18" i="94"/>
  <c r="AP15" i="73"/>
  <c r="AP11" i="73"/>
  <c r="Z9" i="73"/>
  <c r="AP13" i="73"/>
  <c r="AP6" i="73"/>
  <c r="Q5" i="73"/>
  <c r="Z14" i="73"/>
  <c r="Z11" i="73"/>
  <c r="Z8" i="73"/>
  <c r="AP8" i="73"/>
  <c r="AP14" i="73"/>
  <c r="Z7" i="73"/>
  <c r="Z12" i="73"/>
  <c r="Z13" i="73"/>
  <c r="Z15" i="73"/>
  <c r="C10" i="94" l="1"/>
  <c r="BV3" i="86"/>
  <c r="BW3" i="86" s="1"/>
  <c r="BX3" i="86" s="1"/>
  <c r="BY3" i="86" s="1"/>
  <c r="BZ3" i="86" s="1"/>
  <c r="CA3" i="86" s="1"/>
  <c r="CB3" i="86" s="1"/>
  <c r="CC3" i="86" s="1"/>
  <c r="CD3" i="86" s="1"/>
  <c r="CE3" i="86" s="1"/>
  <c r="Z10" i="73"/>
  <c r="AV10" i="73" s="1"/>
  <c r="AW10" i="73" s="1"/>
  <c r="D36" i="94"/>
  <c r="AV11" i="73"/>
  <c r="AW11" i="73" s="1"/>
  <c r="AP17" i="73"/>
  <c r="AV9" i="73"/>
  <c r="C9" i="78" s="1"/>
  <c r="D9" i="78" s="1"/>
  <c r="AV6" i="73"/>
  <c r="AW6" i="73" s="1"/>
  <c r="AV7" i="73"/>
  <c r="C7" i="78" s="1"/>
  <c r="D7" i="78" s="1"/>
  <c r="AV14" i="73"/>
  <c r="AW14" i="73" s="1"/>
  <c r="AV12" i="73"/>
  <c r="C12" i="78" s="1"/>
  <c r="D12" i="78" s="1"/>
  <c r="D47" i="94"/>
  <c r="D54" i="94"/>
  <c r="D30" i="94"/>
  <c r="E31" i="94"/>
  <c r="Z5" i="73"/>
  <c r="AV5" i="73" s="1"/>
  <c r="AV15" i="73"/>
  <c r="AW15" i="73" s="1"/>
  <c r="AV8" i="73"/>
  <c r="AW8" i="73" s="1"/>
  <c r="AV13" i="73"/>
  <c r="Z17" i="73"/>
  <c r="E36" i="94" l="1"/>
  <c r="E40" i="94" s="1"/>
  <c r="C5" i="78"/>
  <c r="D5" i="78" s="1"/>
  <c r="AW5" i="73"/>
  <c r="C11" i="78"/>
  <c r="D11" i="78" s="1"/>
  <c r="D40" i="94"/>
  <c r="AW12" i="73"/>
  <c r="C10" i="78"/>
  <c r="AW9" i="73"/>
  <c r="AW7" i="73"/>
  <c r="C14" i="78"/>
  <c r="D14" i="78" s="1"/>
  <c r="C6" i="78"/>
  <c r="D6" i="78" s="1"/>
  <c r="C8" i="78"/>
  <c r="D8" i="78" s="1"/>
  <c r="AV17" i="73"/>
  <c r="C17" i="78" s="1"/>
  <c r="D17" i="78" s="1"/>
  <c r="E47" i="94"/>
  <c r="E54" i="94"/>
  <c r="C15" i="78"/>
  <c r="D15" i="78" s="1"/>
  <c r="E30" i="94"/>
  <c r="C8" i="94"/>
  <c r="AW13" i="73"/>
  <c r="C13" i="78"/>
  <c r="D13" i="78" s="1"/>
  <c r="C9" i="94" l="1"/>
  <c r="D10" i="78"/>
  <c r="C7" i="94" s="1"/>
  <c r="F53" i="94"/>
  <c r="F49" i="94"/>
  <c r="F38" i="94"/>
  <c r="F35" i="94"/>
  <c r="F31" i="94"/>
  <c r="F19" i="94"/>
  <c r="F50" i="94"/>
  <c r="F36" i="94"/>
  <c r="F20" i="94"/>
  <c r="F51" i="94"/>
  <c r="F39" i="94"/>
  <c r="F37" i="94"/>
  <c r="F33" i="94"/>
  <c r="F21" i="94"/>
  <c r="F52" i="94"/>
  <c r="F48" i="94"/>
  <c r="G34" i="94"/>
  <c r="F22" i="94"/>
  <c r="F18" i="94"/>
  <c r="F32" i="94"/>
  <c r="AW17" i="73"/>
  <c r="H52" i="94" l="1"/>
  <c r="H50" i="94"/>
  <c r="H38" i="94"/>
  <c r="H22" i="94"/>
  <c r="H21" i="94"/>
  <c r="H51" i="94"/>
  <c r="H19" i="94"/>
  <c r="H49" i="94"/>
  <c r="H18" i="94"/>
  <c r="H39" i="94"/>
  <c r="F34" i="94"/>
  <c r="H33" i="94" s="1"/>
  <c r="H20" i="94"/>
  <c r="H53" i="94"/>
  <c r="H48" i="94"/>
  <c r="H37" i="94"/>
  <c r="H36" i="94"/>
  <c r="F54" i="94"/>
  <c r="F47" i="94"/>
  <c r="F40" i="94" l="1"/>
  <c r="H35" i="94"/>
  <c r="F30" i="94"/>
  <c r="H54" i="94"/>
  <c r="H32" i="94"/>
  <c r="D9" i="94"/>
  <c r="D12" i="94"/>
  <c r="H47" i="94"/>
  <c r="H31" i="94"/>
  <c r="H34" i="94"/>
  <c r="D10" i="94"/>
  <c r="D11" i="94"/>
  <c r="H40" i="94" l="1"/>
  <c r="D8" i="94"/>
  <c r="H30" i="94"/>
  <c r="F34" i="44"/>
  <c r="E21" i="44"/>
  <c r="E34" i="44"/>
  <c r="H21" i="44"/>
  <c r="F54" i="44"/>
  <c r="H34" i="44" l="1"/>
  <c r="E34" i="1" l="1"/>
  <c r="C47" i="44" l="1"/>
  <c r="C40" i="44"/>
  <c r="C54" i="44"/>
  <c r="C30" i="44"/>
  <c r="H33" i="44" s="1"/>
  <c r="H35" i="44" l="1"/>
  <c r="H31" i="44"/>
  <c r="H32" i="44"/>
  <c r="C40" i="1" l="1"/>
  <c r="C47" i="1"/>
  <c r="E53" i="44"/>
  <c r="E52" i="44"/>
  <c r="E51" i="44"/>
  <c r="E49" i="44"/>
  <c r="E50" i="44"/>
  <c r="C30" i="1"/>
  <c r="C54" i="1"/>
  <c r="E36" i="44" l="1"/>
  <c r="C9" i="44" s="1"/>
  <c r="E48" i="44"/>
  <c r="D54" i="44"/>
  <c r="D47" i="44"/>
  <c r="E39" i="44"/>
  <c r="C12" i="44" s="1"/>
  <c r="E38" i="44"/>
  <c r="C11" i="44" s="1"/>
  <c r="E39" i="1"/>
  <c r="C12" i="1" s="1"/>
  <c r="E38" i="1"/>
  <c r="C11" i="1" s="1"/>
  <c r="C69" i="44" l="1"/>
  <c r="E54" i="44"/>
  <c r="E47" i="44"/>
  <c r="C69" i="1"/>
  <c r="E18" i="44" l="1"/>
  <c r="E21" i="1" l="1"/>
  <c r="E35" i="44"/>
  <c r="E22" i="44"/>
  <c r="E33" i="44"/>
  <c r="E20" i="44"/>
  <c r="E19" i="44"/>
  <c r="E32" i="44"/>
  <c r="E19" i="1"/>
  <c r="E31" i="44"/>
  <c r="E37" i="44" l="1"/>
  <c r="C10" i="44" s="1"/>
  <c r="C8" i="44"/>
  <c r="D40" i="44"/>
  <c r="D30" i="44"/>
  <c r="E30" i="44"/>
  <c r="E32" i="1"/>
  <c r="E40" i="44" l="1"/>
  <c r="E49" i="1"/>
  <c r="E48" i="1"/>
  <c r="E50" i="1"/>
  <c r="E52" i="1" l="1"/>
  <c r="E53" i="1"/>
  <c r="E33" i="1"/>
  <c r="E20" i="1"/>
  <c r="E35" i="1"/>
  <c r="E22" i="1"/>
  <c r="E36" i="1"/>
  <c r="C9" i="1" s="1"/>
  <c r="F34" i="1" l="1"/>
  <c r="H50" i="1"/>
  <c r="H21" i="1"/>
  <c r="E18" i="1"/>
  <c r="D40" i="1"/>
  <c r="H53" i="44"/>
  <c r="H50" i="44"/>
  <c r="H39" i="44"/>
  <c r="D12" i="44" s="1"/>
  <c r="H37" i="44"/>
  <c r="D10" i="44" s="1"/>
  <c r="H19" i="44"/>
  <c r="H38" i="44"/>
  <c r="D11" i="44" s="1"/>
  <c r="H22" i="44"/>
  <c r="H36" i="44"/>
  <c r="D9" i="44" s="1"/>
  <c r="H51" i="44"/>
  <c r="H20" i="44"/>
  <c r="H52" i="44"/>
  <c r="H49" i="44"/>
  <c r="H18" i="44"/>
  <c r="E51" i="1"/>
  <c r="F30" i="1" l="1"/>
  <c r="H34" i="1"/>
  <c r="H31" i="1"/>
  <c r="H33" i="1"/>
  <c r="H35" i="1"/>
  <c r="H32" i="1"/>
  <c r="D8" i="44"/>
  <c r="F40" i="44"/>
  <c r="F30" i="44"/>
  <c r="F47" i="44"/>
  <c r="E31" i="1"/>
  <c r="C8" i="1" s="1"/>
  <c r="D30" i="1"/>
  <c r="D54" i="1"/>
  <c r="D47" i="1"/>
  <c r="E37" i="1"/>
  <c r="C10" i="1" s="1"/>
  <c r="H51" i="1" l="1"/>
  <c r="H52" i="1"/>
  <c r="H53" i="1"/>
  <c r="H40" i="44"/>
  <c r="H30" i="44"/>
  <c r="H54" i="44"/>
  <c r="H47" i="44"/>
  <c r="H19" i="1"/>
  <c r="H20" i="1"/>
  <c r="H49" i="1"/>
  <c r="H18" i="1"/>
  <c r="H37" i="1"/>
  <c r="D10" i="1" s="1"/>
  <c r="H22" i="1"/>
  <c r="H36" i="1"/>
  <c r="E30" i="1"/>
  <c r="E40" i="1"/>
  <c r="E54" i="1"/>
  <c r="E47" i="1"/>
  <c r="D9" i="1" l="1"/>
  <c r="H38" i="1"/>
  <c r="D11" i="1" s="1"/>
  <c r="H39" i="1"/>
  <c r="D12" i="1" s="1"/>
  <c r="D8" i="1"/>
  <c r="F54" i="1"/>
  <c r="H48" i="1"/>
  <c r="F40" i="1"/>
  <c r="H30" i="1"/>
  <c r="F47" i="1"/>
  <c r="H40" i="1" l="1"/>
  <c r="H54" i="1"/>
  <c r="H47" i="1"/>
</calcChain>
</file>

<file path=xl/sharedStrings.xml><?xml version="1.0" encoding="utf-8"?>
<sst xmlns="http://schemas.openxmlformats.org/spreadsheetml/2006/main" count="1138" uniqueCount="407">
  <si>
    <t>OSLO</t>
  </si>
  <si>
    <t>Kommune</t>
  </si>
  <si>
    <t>K.nr.</t>
  </si>
  <si>
    <t>Landet</t>
  </si>
  <si>
    <t>Administrasjon</t>
  </si>
  <si>
    <t>Hovedkostnadsnøkkel</t>
  </si>
  <si>
    <t>Netto driftsutgifter, premieavvik, konsern</t>
  </si>
  <si>
    <t>Sum avskrivninger, konsern</t>
  </si>
  <si>
    <t>Avskrivninger, premieavvik, konsern</t>
  </si>
  <si>
    <t>Private statlige skoler (1000 kr)</t>
  </si>
  <si>
    <t>Delområde</t>
  </si>
  <si>
    <t>(1000 kroner)</t>
  </si>
  <si>
    <t>(per innbygger)</t>
  </si>
  <si>
    <t>Nto driftsutg eks avskr, premieavvik, konsern</t>
  </si>
  <si>
    <t>Nto driftsutg eks avskr, fellesutgifter, konsern</t>
  </si>
  <si>
    <t>Nto driftsutg eks avskr, næring, konsern</t>
  </si>
  <si>
    <t>Nto driftsutg eks avskr, tjenester utenf ordinært komm ansvarsområde, konsern</t>
  </si>
  <si>
    <t>Korreksjon statlige private skoler, kr per innbygger</t>
  </si>
  <si>
    <t>Sum</t>
  </si>
  <si>
    <t>Netto finans og avdrag, konsern</t>
  </si>
  <si>
    <t>Netto driftsresultat, konsern</t>
  </si>
  <si>
    <t>Sum inntekt, konsern</t>
  </si>
  <si>
    <t>Inntektsgrunnlag korrigert, andel av landssnitt</t>
  </si>
  <si>
    <t>Tjenester utenfor inntektssystemet</t>
  </si>
  <si>
    <t>Netto finans og avdrag</t>
  </si>
  <si>
    <t>Netto driftsresultat</t>
  </si>
  <si>
    <t>Sum                                       Nto driftsutg eks avskr, konsern + Netto finans og avdrag + Netto driftsresultat</t>
  </si>
  <si>
    <t>Premieavvik</t>
  </si>
  <si>
    <t>Nto driftsutg eks avskr, tjenester utenfor inntektssystemet, konsern</t>
  </si>
  <si>
    <t>Sum netto driftsutgifter, tjenester utenfor inntektssystemet, konsern</t>
  </si>
  <si>
    <t>Sum avskrivninger, tjenester utenfor inntektssystemet, konsern</t>
  </si>
  <si>
    <t>Sum innenfor inntektssystemet</t>
  </si>
  <si>
    <t>Sum øvrige</t>
  </si>
  <si>
    <t>Sum totalt</t>
  </si>
  <si>
    <t>Netto driftsutgift ekskl. avskrivninger</t>
  </si>
  <si>
    <t>Ressursbruk sammenlignet med landsgjennomsnitt korrigert for utgiftsbehov, og landsgjennomsnitt korrigert for utgiftsbehov og inntektsnivå</t>
  </si>
  <si>
    <t>Tjenester utenfor inntektssystemet - spesifisert - Ressursbruk sammenlignet med landsgjennomsnitt, og landsgjennomsnitt korrigert for inntektsnivå</t>
  </si>
  <si>
    <t>Næring</t>
  </si>
  <si>
    <t>Interkommunalt samarbeid</t>
  </si>
  <si>
    <t>Tjenester utenfor ord. komm. ansvarsomr</t>
  </si>
  <si>
    <t>(kr per innb)</t>
  </si>
  <si>
    <t xml:space="preserve">Ressursbruk         </t>
  </si>
  <si>
    <t xml:space="preserve"> (kr per innb)</t>
  </si>
  <si>
    <t xml:space="preserve">Landsgjennomsnitt korrigert for utgiftsbehov og inntektsnivå </t>
  </si>
  <si>
    <t xml:space="preserve">Ressursbruk sammenlignet med landsgjennomsnitt korrigert for utgiftsbehov og inntektsnivå                     </t>
  </si>
  <si>
    <t xml:space="preserve">Landsgjennomsnitt                </t>
  </si>
  <si>
    <t xml:space="preserve">Ressursbruk sammenlignet med landsgjennomsnitt                     </t>
  </si>
  <si>
    <t xml:space="preserve">Landsgjennomsnitt korrigert for inntektsnivå </t>
  </si>
  <si>
    <t xml:space="preserve">Ressursbruk sammenlignet med landsgjennomsnitt korrigert for inntektsnivå                    </t>
  </si>
  <si>
    <t xml:space="preserve">Ressursbruk sammenlignet med landsgjennomsnitt korrigert for utgiftsbehov                     </t>
  </si>
  <si>
    <t xml:space="preserve">Ressursbruk i.f.t landsgjennomsnitt   </t>
  </si>
  <si>
    <t xml:space="preserve">Utgiftsbehov ift landsgjennnomsnitt       </t>
  </si>
  <si>
    <t>Tjenester innenfor inntektssystemet - ressursbruk sammenlignet ned landsgjennomsnitt korrigert for utgiftsbehov og inntektsnivå</t>
  </si>
  <si>
    <t>pst</t>
  </si>
  <si>
    <t xml:space="preserve"> pst</t>
  </si>
  <si>
    <t>pst poeng</t>
  </si>
  <si>
    <t xml:space="preserve">Utgiftsbehov korrigert for inntektsnivå </t>
  </si>
  <si>
    <t>Ressursbruk sammenlignet med utgiftsbehov</t>
  </si>
  <si>
    <t xml:space="preserve">Ressursbruk sammenlignet med utgiftsbehov korrigert for inntektsnivå                     </t>
  </si>
  <si>
    <t>Sum Lønnsgrunnlag, konsern</t>
  </si>
  <si>
    <t>Lønnsgrunnlag, premieavvik, konsern</t>
  </si>
  <si>
    <t>Lønnsgrunnlag, fellesutgifter, konsern</t>
  </si>
  <si>
    <t>Lønnsgrunnlag, næring, konsern</t>
  </si>
  <si>
    <t>Lønnsgrunnlag, interkommunale samarbeid (§ 27-samarbeid), konsern</t>
  </si>
  <si>
    <t>Lønnsgrunnlag, tjenester utenf ordinært komm ansvarsområde, konsern</t>
  </si>
  <si>
    <t>Sum arbeidsgiveravgift, konsern</t>
  </si>
  <si>
    <t>Arbeidsgiveravgift, premieavvik, konsern</t>
  </si>
  <si>
    <t>Arbeidsgiveravgift, fellesutgifter, konsern</t>
  </si>
  <si>
    <t>Arbeidsgiveravgift, næring, konsern</t>
  </si>
  <si>
    <t>Arbeidsgiveravgift, interkommunale samarbeid (§ 27-samarbeid), konsern</t>
  </si>
  <si>
    <t>Arbeidsgiveravgift, tjenester utenf ordinært komm ansvarsområde, konsern</t>
  </si>
  <si>
    <t>Sum lønnsgrunnlag, tjenester utenfor inntektssystemet, konsern</t>
  </si>
  <si>
    <t>Sum arbeidsgiveravgift, tjenester utenfor inntektssystemet, konsern</t>
  </si>
  <si>
    <t>Lønnsandel</t>
  </si>
  <si>
    <t>Sum utenfor inntektssystemet</t>
  </si>
  <si>
    <t>Arbeidsgiveravift av lønnsandel</t>
  </si>
  <si>
    <t>Totalt</t>
  </si>
  <si>
    <t>Tjenester utenfor inntektssystemet, konsern</t>
  </si>
  <si>
    <t>Fellesutgifter, konsern</t>
  </si>
  <si>
    <t>Næring, konsern</t>
  </si>
  <si>
    <t>Interkommunale samarbeid (§ 27-samarbeid), konsern</t>
  </si>
  <si>
    <t>Premieavvik, konsern</t>
  </si>
  <si>
    <t>Utgiftsbehovnøkler</t>
  </si>
  <si>
    <t>Korreksjon arb.avg, tjenester utenfor inntektssystemet, konsern</t>
  </si>
  <si>
    <t>Spesifikasjon tjenester utenfor inntektssystemet</t>
  </si>
  <si>
    <t>Korreksjon arb.avg  fellesutgifter, konsern</t>
  </si>
  <si>
    <t>Korreksjon arb.avg  næring, konsern</t>
  </si>
  <si>
    <t>Korreksjon arb.avg  interkommunale samarbeid (§ 27-samarbeid), konsern</t>
  </si>
  <si>
    <t>Korreksjon arb.avg  tjenester utenf ordinært komm ansvarsområde, konsern</t>
  </si>
  <si>
    <t>Inntektsgrunnlag korrigert, kroner per innbygger</t>
  </si>
  <si>
    <t>Sum korreksjon utgiftsbehov , kr per innbygger</t>
  </si>
  <si>
    <t>Sum korreksjon arb.avg, konsern</t>
  </si>
  <si>
    <t>Sum Pensjon, konsern</t>
  </si>
  <si>
    <t>Sum Pensjon, tjenester utenfor inntektssystemet, konsern</t>
  </si>
  <si>
    <t>Pensjon, fellesutgifter, konsern</t>
  </si>
  <si>
    <t>Pensjon, næring, konsern</t>
  </si>
  <si>
    <t>Pensjon, interkommunale samarbeid (§ 27-samarbeid), konsern</t>
  </si>
  <si>
    <t>Pensjon, tjenester utenf ordinært komm ansvarsområde, konsern</t>
  </si>
  <si>
    <t>Pensjon av lønnsandel</t>
  </si>
  <si>
    <t>Pensjon</t>
  </si>
  <si>
    <t>Korreksjon pensjon, tjenester utenfor inntektssystemet, konsern</t>
  </si>
  <si>
    <t>Korreksjon pensjon  næring, konsern</t>
  </si>
  <si>
    <t>Korreksjon pensjon  interkommunale samarbeid (§ 27-samarbeid), konsern</t>
  </si>
  <si>
    <t>Korreksjon pensjon  tjenester utenf ordinært komm ansvarsområde, konsern</t>
  </si>
  <si>
    <t>Sum korreksjon pensjon, konsern</t>
  </si>
  <si>
    <t>Sum korreksjon, konsern</t>
  </si>
  <si>
    <t>Pensjon, premieavvik, konsern</t>
  </si>
  <si>
    <t>Brutto driftsutgifter, premieavvik, konsern</t>
  </si>
  <si>
    <t>Sum brutto driftsutgifter, konsern</t>
  </si>
  <si>
    <t>Bto driftsutg eks avskr, tjenester utenfor inntektssystemet, konsern</t>
  </si>
  <si>
    <t>Bto driftsutg eks avskr, fellesutgifter, konsern</t>
  </si>
  <si>
    <t>Bto driftsutg eks avskr, næring, konsern</t>
  </si>
  <si>
    <t>Bto driftsutg eks avskr, interkommunale samarbeid (§ 27-samarbeid), konsern</t>
  </si>
  <si>
    <t>Bto driftsutg eks avskr, tjenester utenf ordinært komm ansvarsområde, konsern</t>
  </si>
  <si>
    <t>Bto driftsutg eks avskr, premieavvik, konsern</t>
  </si>
  <si>
    <t>Brutto driftsutgift per innb</t>
  </si>
  <si>
    <t>Netto driftsutgift per innb</t>
  </si>
  <si>
    <t>Lønnsutgiftsbehov pensjon</t>
  </si>
  <si>
    <t>Premieavvik av lønnsutgiftsbehov</t>
  </si>
  <si>
    <t>Korreksjon premieavvik per innb vektet</t>
  </si>
  <si>
    <t>Premieavvik netto driftsutgift</t>
  </si>
  <si>
    <t>Korreksjon av premieavvik</t>
  </si>
  <si>
    <t>Sum korreksjon nøkkel eiendom per innb</t>
  </si>
  <si>
    <t>Eiendom grunnskolenøkkel uvektet</t>
  </si>
  <si>
    <t>Eiendom grunnskole-nøkkel vektet</t>
  </si>
  <si>
    <t>Korr grunnskole.nøkkel eiendom per innb</t>
  </si>
  <si>
    <t>Sum korreksjon eiendom 1000 kroner</t>
  </si>
  <si>
    <t>Tjenester utenfor inntsys</t>
  </si>
  <si>
    <t>Beregnet utgiftsbehov</t>
  </si>
  <si>
    <t>Tj utenfor ord. komm. ansv.</t>
  </si>
  <si>
    <t>Ressursbruk sammenlignet med landet</t>
  </si>
  <si>
    <t>Ressursbruk utgifts- og inntektskorrigert</t>
  </si>
  <si>
    <t>Hovedkostnadsindeks</t>
  </si>
  <si>
    <t>Sum utgiftsbehov</t>
  </si>
  <si>
    <t>Variasjonsmargin</t>
  </si>
  <si>
    <t xml:space="preserve">Ressursbruk </t>
  </si>
  <si>
    <t>DISPONIBEL INNTEKT OG KOMMUNENS PRIORITERINGER</t>
  </si>
  <si>
    <t>Sum øvrige tjenester</t>
  </si>
  <si>
    <t>Interkom. samarbeid</t>
  </si>
  <si>
    <t>Frie disponible inntekter</t>
  </si>
  <si>
    <t>Sum tjenester INNTSYS</t>
  </si>
  <si>
    <t>ROGALAND</t>
  </si>
  <si>
    <t>MØRE OG ROMSDAL</t>
  </si>
  <si>
    <t>NORDLAND</t>
  </si>
  <si>
    <t>Netto driftsutg., videregående opplæring, konsern</t>
  </si>
  <si>
    <t>Netto driftsutg., fylkesveger, konsern</t>
  </si>
  <si>
    <t>Netto driftsutg., tannhelsetjeneste, konsern</t>
  </si>
  <si>
    <t>Netto driftsutg., fellesutgifter, konsern</t>
  </si>
  <si>
    <t>Netto driftsutg., administrasjon, konsern</t>
  </si>
  <si>
    <t>Netto driftsutg., lokal og reg. utvikling, natur og miljø, konsern</t>
  </si>
  <si>
    <t>Netto driftsutg., næring, konsern</t>
  </si>
  <si>
    <t>Netto driftsutg., kultur og idrett, konsern</t>
  </si>
  <si>
    <t>Netto driftsutg., interkommunale samarbeid (§ 27-samarbeid), konsern</t>
  </si>
  <si>
    <t>Netto driftsutg., tjenester utenf ordinært komm ansvarsområde, konsern</t>
  </si>
  <si>
    <t>Netto driftsutg., eiendom, konsern</t>
  </si>
  <si>
    <t>Avskrivning, videregående opplæring, konsern</t>
  </si>
  <si>
    <t>Avskrivning, fylkesveger, konsern</t>
  </si>
  <si>
    <t>Avskrivning, tannhelsetjeneste, konsern</t>
  </si>
  <si>
    <t>Avskrivning, fellesutgifter, konsern</t>
  </si>
  <si>
    <t>Avskrivning, administrasjon, konsern</t>
  </si>
  <si>
    <t>Avskrivning, lokal og reg. utvikling, natur og miljø, konsern</t>
  </si>
  <si>
    <t>Avskrivning, næring, konsern</t>
  </si>
  <si>
    <t>Avskrivning, kultur og idrett, konsern</t>
  </si>
  <si>
    <t>Avskrivning, interkommunale samarbeid (§ 27-samarbeid), konsern</t>
  </si>
  <si>
    <t>Avskrivning, tjenester utenf ordinært komm ansvarsområde, konsern</t>
  </si>
  <si>
    <t>Avskrivninger, eiendom, konsern</t>
  </si>
  <si>
    <t>Nto driftsutg eks avskr, videregående opplæring, konsern</t>
  </si>
  <si>
    <t>Nto driftsutg eks avskr, fylkesveger, konsern</t>
  </si>
  <si>
    <t>Nto driftsutg eks avskr, tannhelsetj, konsern</t>
  </si>
  <si>
    <t>Nto driftsutg administrasjon, konsern</t>
  </si>
  <si>
    <t>Nto driftsutg eks avskr, lokal og reg. utvikling, natur og miljø, konsern</t>
  </si>
  <si>
    <t>Nto driftsutg eks avskr, kultur og idrett, konsern</t>
  </si>
  <si>
    <t>Nto driftsutg eks avskr,  interkommunale samarbeid (§ 27-samarbeid), konsern</t>
  </si>
  <si>
    <t>Nto driftsutg eks avskr, eiendom, konsern</t>
  </si>
  <si>
    <t>Videregående opplæring</t>
  </si>
  <si>
    <t>Fylkesveger</t>
  </si>
  <si>
    <t>Tannhelsetjeneste</t>
  </si>
  <si>
    <t>Lokal og reg. utvikling, natur og miljø</t>
  </si>
  <si>
    <t>Kultur og idrett</t>
  </si>
  <si>
    <t>Korreksjon utg.behov videreående opplæring, kr per innbygger</t>
  </si>
  <si>
    <t>Korreksjon utg.behov fylkesveger, kr per innbygger</t>
  </si>
  <si>
    <t>Korreksjon utg.behov tannhelsetjeneste, kr per innbygger</t>
  </si>
  <si>
    <t>Korreksjon arb.avgift videregående opplæring</t>
  </si>
  <si>
    <t>Korreksjon arb.avgift fylkesveger</t>
  </si>
  <si>
    <t>Korreksjon arb.avgift tannhelsetjeneste</t>
  </si>
  <si>
    <t>Korreksjon arb.avg  administrasjon, konsern</t>
  </si>
  <si>
    <t>Korreksjon arb.avg lokal og reg. utvikling, natur og miljø, konsern</t>
  </si>
  <si>
    <t>Korreksjon arb.avg  kultur og idrett, konsern</t>
  </si>
  <si>
    <t>Korreksjon pensjon videregående opplæring</t>
  </si>
  <si>
    <t>Korreksjon pensjon fylkesveger</t>
  </si>
  <si>
    <t>Korreksjon pensjon tannhelsetjeneste</t>
  </si>
  <si>
    <t>Korreksjon pensjon  administrasjon, konsern</t>
  </si>
  <si>
    <t>Korreksjon pensjon  lokal og reg. utvikling, natur og miljø, konsern</t>
  </si>
  <si>
    <t>Korreksjon pensjon kultur og idrett, konsern</t>
  </si>
  <si>
    <t>Lønnsgrunnlag, videregående opplæring, konsern</t>
  </si>
  <si>
    <t>Lønnsgrunnlag, fylkesveger, konsern</t>
  </si>
  <si>
    <t>Lønnsgrunnlag, tannhelsetjeneste, konsern</t>
  </si>
  <si>
    <t>Lønnsgrunnlag, administrasjon, konsern</t>
  </si>
  <si>
    <t>Lønnsgrunnlag, lokal og reg. utvikling, natur og miljø, konsern</t>
  </si>
  <si>
    <t>Lønnsgrunnlag, kultur og idrett, konsern</t>
  </si>
  <si>
    <t>Lønnsgrunnlag, eiendom, konsern</t>
  </si>
  <si>
    <t>Arbeidsgiveravgift, videregående opplæring, konsern</t>
  </si>
  <si>
    <t>Arbeidsgiveravgift, fylkesveger, konsern</t>
  </si>
  <si>
    <t>Arbeidsgiveravgift, tannhelsetjeneste, konsern</t>
  </si>
  <si>
    <t>Arbeidsgiveravgift, administrasjon, konsern</t>
  </si>
  <si>
    <t>Arbeidsgiveravgift, lokal og reg. utvikling, natur og miljø, konsern</t>
  </si>
  <si>
    <t>Arbeidsgiveravgift, kultur og idrett, konsern</t>
  </si>
  <si>
    <t>Arbeidsgiveravgift, eiendom, konsern</t>
  </si>
  <si>
    <t>Pensjon, videregående opplæring, konsern</t>
  </si>
  <si>
    <t>Pensjon, fylkesveger, konsern</t>
  </si>
  <si>
    <t>Pensjon, tannhelsetjeneste, konsern</t>
  </si>
  <si>
    <t>Pensjon, administrasjon, konsern</t>
  </si>
  <si>
    <t>Pensjon, lokal og reg. utvikling, natur og miljø, konsern</t>
  </si>
  <si>
    <t>Pensjon, kultur og idrett, konsern</t>
  </si>
  <si>
    <t>Pensjon, eiendom, konsern</t>
  </si>
  <si>
    <t>Kostnadsindeks vidergående opplæring</t>
  </si>
  <si>
    <t>Kostnadsindeks fylkesveger</t>
  </si>
  <si>
    <t>Kostnadsindeks tannhelsetjeneste</t>
  </si>
  <si>
    <t>Videregående opplæring uvektet</t>
  </si>
  <si>
    <t>Videregående opplæring vektet</t>
  </si>
  <si>
    <t>Videregående opplæring vektet per innbygger</t>
  </si>
  <si>
    <t>Fylkesveger uvektet</t>
  </si>
  <si>
    <t>Fylkesveger vektet</t>
  </si>
  <si>
    <t>Fylkesveger vektet per innbygger</t>
  </si>
  <si>
    <t>Tannhelsetjeneste uvektet</t>
  </si>
  <si>
    <t>Tannhelsetjeneste vektet</t>
  </si>
  <si>
    <t>Tannhelsetjeneste vektet per innbygger</t>
  </si>
  <si>
    <t>Videregående opplæring vektet indeks</t>
  </si>
  <si>
    <t>Fylkesveger vektet indeks</t>
  </si>
  <si>
    <t>Tannhelsetjeneste vektet indeks</t>
  </si>
  <si>
    <t>Korr pensjon videregående opplæring vektet</t>
  </si>
  <si>
    <t>Korr pensjon videregående opplæring vektet per innbygger</t>
  </si>
  <si>
    <t>Korr pensjon fylkesveger vektet</t>
  </si>
  <si>
    <t>Korr pensjon fylkesveger vektet per innbygger</t>
  </si>
  <si>
    <t>Korr pensjon administrasjon vektet</t>
  </si>
  <si>
    <t>Korr pensjon administrasjon vektet per innbygger</t>
  </si>
  <si>
    <t>Korr pensjon næring vektet</t>
  </si>
  <si>
    <t>Korr pensjon næring vektet per innbygger</t>
  </si>
  <si>
    <t>Korr pensjon kultur og idrett vektet</t>
  </si>
  <si>
    <t>Korr pensjon kultur og idrett vektet per innbygger</t>
  </si>
  <si>
    <t>Tannhelse- tjenester</t>
  </si>
  <si>
    <t>Videregående opplæring, konsern</t>
  </si>
  <si>
    <t>Fylkesveger, konsern</t>
  </si>
  <si>
    <t>Tannhelse-tjenesten, konsern</t>
  </si>
  <si>
    <t>Administrasjon, konsern</t>
  </si>
  <si>
    <t xml:space="preserve"> Lokal og reg. utvikling, natur og miljø, konsern</t>
  </si>
  <si>
    <t>Kultur og idrett, konsern</t>
  </si>
  <si>
    <t>Tjenester utenf ordinært komm ansvarsområde, konsern</t>
  </si>
  <si>
    <t>Eiendom, konsern</t>
  </si>
  <si>
    <t>Arbeidsgiveravgift</t>
  </si>
  <si>
    <t>Brutto driftsutg eks avskr, videregående opplæring, konsern</t>
  </si>
  <si>
    <t>Brutto driftsutg eks avskr, fylkesveger, konsern</t>
  </si>
  <si>
    <t>Brutto driftsutg eks avskr, tannhelsetj, konsern</t>
  </si>
  <si>
    <t>Brutto driftsutg eks avskr, tjenester utenfor inntektssystemet, konsern</t>
  </si>
  <si>
    <t>Brutto driftsutg eks avskr, fellesutgifter, konsern</t>
  </si>
  <si>
    <t>Brutto driftsutg administrasjon, konsern</t>
  </si>
  <si>
    <t>Brutto driftsutg eks avskr, lokal og reg. utvikling, natur og miljø, konsern</t>
  </si>
  <si>
    <t>Brutto driftsutg eks avskr, næring, konsern</t>
  </si>
  <si>
    <t>Brutto driftsutg eks avskr, kultur og idrett, konsern</t>
  </si>
  <si>
    <t>Brutto driftsutg eks avskr,  interkommunale samarbeid (§ 27-samarbeid), konsern</t>
  </si>
  <si>
    <t>Brutto driftsutg eks avskr, tjenester utenf ordinært komm ansvarsområde, konsern</t>
  </si>
  <si>
    <t>Brutto driftsutg eks avskr, eiendom, konsern</t>
  </si>
  <si>
    <t>Bto driftsutg eks avskr, videregående opplæring, konsern</t>
  </si>
  <si>
    <t>Bto driftsutg eks avskr, fylkesveger, konsern</t>
  </si>
  <si>
    <t>Bto driftsutg eks avskr, tannhelsetjenesten, konsern</t>
  </si>
  <si>
    <t>Bto driftsutg eks avskr, administrasjon, konsern</t>
  </si>
  <si>
    <t>Bto driftsutg eks avskr, lokal og reg. utvikling, natur og miljø, konsern</t>
  </si>
  <si>
    <t>Bto driftsutg eks avskr, kultur og idrett, konsern</t>
  </si>
  <si>
    <t>Bto driftsutg eks avskr, eiendom, konsern</t>
  </si>
  <si>
    <t>Tannhelse-tjeneste</t>
  </si>
  <si>
    <t xml:space="preserve">Utgiftsbehov landsgjennnomsnitt       </t>
  </si>
  <si>
    <t>Reg. utvikling, natur og miljø</t>
  </si>
  <si>
    <t>Øvrige tjenester</t>
  </si>
  <si>
    <t>Tjenester innenfor INNTSYS</t>
  </si>
  <si>
    <t>Fylke</t>
  </si>
  <si>
    <t>Fylke utgiftskorrigert</t>
  </si>
  <si>
    <t>Fylke utgifts- og inntektskorrigert</t>
  </si>
  <si>
    <t>Sum                                       Bto driftsutg eks avskr, konsern</t>
  </si>
  <si>
    <t>Ressursbruk korrigert for utgiftsbehov</t>
  </si>
  <si>
    <t>Korreksjoner</t>
  </si>
  <si>
    <t>Videregående</t>
  </si>
  <si>
    <t>Differanse nøkkel GH</t>
  </si>
  <si>
    <t>Beregning gjennomsnitt pensjon, videregående opplæring</t>
  </si>
  <si>
    <t>Revektingsgrunnlag videregående opplæring</t>
  </si>
  <si>
    <t>Revektet kostnadsnøkkel, pensjon videregående opplæring</t>
  </si>
  <si>
    <t>Utgiftsandel pensjon, videregående opplæring</t>
  </si>
  <si>
    <t>Revektet beregning gjennomsnitt pensjon, videregående opplæring</t>
  </si>
  <si>
    <t>Beregning gjennomsnitt pensjon, fylkesveger</t>
  </si>
  <si>
    <t>Revektingsgrunnlag fylkesveger</t>
  </si>
  <si>
    <t>Utgiftsandel pensjon, fylkesveger</t>
  </si>
  <si>
    <t>Revektet kostnadsnøkkel, pensjon fylkesveger</t>
  </si>
  <si>
    <t>Revektet beregning gjennomsnitt pensjon, fylkesveger</t>
  </si>
  <si>
    <t>Beregning gjennomsnitt pensjon, tannhelsetjeneste</t>
  </si>
  <si>
    <t>Revektingsgrunnlag tannhelsetjeneste</t>
  </si>
  <si>
    <t>Utgiftsandel pensjon, tannhelsetjeneste</t>
  </si>
  <si>
    <t>Revektet kostnadsnøkkel, pensjon tannhelsetjeneste</t>
  </si>
  <si>
    <t>Revektet beregning gjennomsnitt pensjon, tannhelsetjeneste</t>
  </si>
  <si>
    <t>Korr pensjon tannhelsetjeneste vektet per innbygger</t>
  </si>
  <si>
    <t>Korr pensjon tannhelsetjeneste vektet</t>
  </si>
  <si>
    <t>Beregning gjennomsnitt pensjon, administrasjon</t>
  </si>
  <si>
    <t>Revektingsgrunnlag administrasjon</t>
  </si>
  <si>
    <t>Utgiftsandel pensjon, administrasjon</t>
  </si>
  <si>
    <t>Revektet kostnadsnøkkel, pensjon administrasjon</t>
  </si>
  <si>
    <t>Revektet beregning gjennomsnitt pensjon, administrasjon</t>
  </si>
  <si>
    <t>Beregning gjennomsnitt pensjon, lokal pg reg.utvikling, natur og miljø</t>
  </si>
  <si>
    <t>Revektingsgrunnlag lokal pg reg.utvikling, natur og miljø</t>
  </si>
  <si>
    <t>Utgiftsandel pensjon, lokal pg reg.utvikling, natur og miljø</t>
  </si>
  <si>
    <t>Revektet kostnadsnøkkel, pensjon lokal pg reg.utvikling, natur og miljø</t>
  </si>
  <si>
    <t>Revektet beregning gjennomsnitt pensjon, lokal pg reg.utvikling, natur og miljø</t>
  </si>
  <si>
    <t>Korr pensjon lokal pg reg.utvikling, natur og miljø vektet per innbygger</t>
  </si>
  <si>
    <t>Korr pensjon lokal pg reg.utvikling, natur og miljø vektet</t>
  </si>
  <si>
    <t>Beregning gjennomsnitt pensjon, næring</t>
  </si>
  <si>
    <t>Revektingsgrunnlag næring</t>
  </si>
  <si>
    <t>Utgiftsandel pensjon, næring</t>
  </si>
  <si>
    <t>Revektet kostnadsnøkkel, pensjon næring</t>
  </si>
  <si>
    <t>Revektet beregning gjennomsnitt pensjon, næring</t>
  </si>
  <si>
    <t>Beregning gjennomsnitt pensjon, kultur og idrett</t>
  </si>
  <si>
    <t>Revektingsgrunnlag kultur og idrett</t>
  </si>
  <si>
    <t>Utgiftsandel pensjon, kultur og idrett</t>
  </si>
  <si>
    <t>Revektet kostnadsnøkkel, pensjon kultur og idrett</t>
  </si>
  <si>
    <t>Revektet beregning gjennomsnitt pensjon, kultur og idrett</t>
  </si>
  <si>
    <t>Beregning gjennomsnitt pensjon, interkommunale samarbeid</t>
  </si>
  <si>
    <t>Revektingsgrunnlag interkommunale samarbeid</t>
  </si>
  <si>
    <t>Utgiftsandel pensjon, interkommunale samarbeid</t>
  </si>
  <si>
    <t>Revektet kostnadsnøkkel, pensjon interkommunale samarbeid</t>
  </si>
  <si>
    <t>Revektet beregning gjennomsnitt pensjon, interkommunale samarbeid</t>
  </si>
  <si>
    <t>Korr pensjon interkommunale samarbeid vektet per innbygger</t>
  </si>
  <si>
    <t>Korr pensjon interkommunale samarbeid vektet</t>
  </si>
  <si>
    <t>Beregning gjennomsnitt pensjon, tjenester utenfor</t>
  </si>
  <si>
    <t>Revektingsgrunnlag tjenester utenfor</t>
  </si>
  <si>
    <t>Utgiftsandel pensjon, tjenester utenfor</t>
  </si>
  <si>
    <t>Revektet kostnadsnøkkel, pensjon tjenester utenfor</t>
  </si>
  <si>
    <t>Revektet beregning gjennomsnitt pensjon, tjenester utenfor</t>
  </si>
  <si>
    <t>Korr pensjon tjenester utenfor vektet per innbygger</t>
  </si>
  <si>
    <t>Korr pensjon tjenester utenfor vektet</t>
  </si>
  <si>
    <t>Lønnsutgiftsbehov kroner per innbygger</t>
  </si>
  <si>
    <t>Indeks lønnsutgiftsbehov</t>
  </si>
  <si>
    <t>Beregning av gjennomsnittlig premieavvik</t>
  </si>
  <si>
    <t>Korreksjon premieavvik, kroner</t>
  </si>
  <si>
    <t>Sammenlignes med:</t>
  </si>
  <si>
    <t>TRØNDELAG</t>
  </si>
  <si>
    <t>VIKEN</t>
  </si>
  <si>
    <t>INNLANDET</t>
  </si>
  <si>
    <t>VESTFOLD OG TELEMARK</t>
  </si>
  <si>
    <t>AGDER</t>
  </si>
  <si>
    <t>VESTLAND</t>
  </si>
  <si>
    <t>TROMS OG FINNMARK</t>
  </si>
  <si>
    <t>VESTFOLD OG TELEMRK</t>
  </si>
  <si>
    <t>Innbyggere 01.07.2021</t>
  </si>
  <si>
    <t>Innbyggere 1.7.2022</t>
  </si>
  <si>
    <t>Innbyggere 1.7.2022 korrigert</t>
  </si>
  <si>
    <t>Netto driftsutg., kollektiv (buss, bane og båt), konsern</t>
  </si>
  <si>
    <t>Netto driftsutg., ferge, konsern</t>
  </si>
  <si>
    <t>Innbyggere 1.7.2023 korrigert</t>
  </si>
  <si>
    <t>Innbyggere 1.7.2023</t>
  </si>
  <si>
    <t>Avskrivning, kollektiv (buss, bane og båt), konsern</t>
  </si>
  <si>
    <t>Avskrivning, ferge, konsern</t>
  </si>
  <si>
    <t>Nto driftsutg eks avskr, ferge, konsern</t>
  </si>
  <si>
    <t>Kollektiv (Buss, bane og båt)</t>
  </si>
  <si>
    <t>Ferge</t>
  </si>
  <si>
    <t>Nto driftsutg eks avskr, kollektiv (buss, bane og båt), konsern</t>
  </si>
  <si>
    <t>Lønnsgrunnlag, kollektiv (buss, bane og båt), konsern</t>
  </si>
  <si>
    <t>Arbeidsgiveravgift, kollektiv (buss, bane og båt), konsern</t>
  </si>
  <si>
    <t>Pensjon, kollektiv (buss, bane og båt), konsern</t>
  </si>
  <si>
    <t>Lønnsgrunnlag, ferge, konsern</t>
  </si>
  <si>
    <t>Arbeidsgiveravgift, ferge, konsern</t>
  </si>
  <si>
    <t>Pensjon, ferge, konsern</t>
  </si>
  <si>
    <t>Kostnadsindeks kollektiv (buss, bane og båt)</t>
  </si>
  <si>
    <t>Kostnadsindeks ferge</t>
  </si>
  <si>
    <t>Kollektiv (buss, bane og båt) uvektet</t>
  </si>
  <si>
    <t>Kollektiv (buss, bane og båt) vektet</t>
  </si>
  <si>
    <t>Kollektiv (buss, bane og båt) vektet per innbygger</t>
  </si>
  <si>
    <t>Ferge uvektet</t>
  </si>
  <si>
    <t>Ferge vektet</t>
  </si>
  <si>
    <t>Ferge vektet per innbygger</t>
  </si>
  <si>
    <t>Kollektiv (buss, bane og båt) vektet indeks</t>
  </si>
  <si>
    <t>Beregning gjennomsnitt pensjon, kollektiv (buss, bane og båt)</t>
  </si>
  <si>
    <t>Revektingsgrunnlag kollektiv (buss, bane og båt)</t>
  </si>
  <si>
    <t>Utgiftsandel pensjon, kollektiv (buss, bane og båt)</t>
  </si>
  <si>
    <t>Revektet kostnadsnøkkel, pensjonkollektiv (buss, bane og båt)</t>
  </si>
  <si>
    <t>Revektet beregning gjennomsnitt pensjon, kollektiv (buss, bane og båt)</t>
  </si>
  <si>
    <t>Korr pensjon kollektiv (buss, bane og båt) vektet per innbygger</t>
  </si>
  <si>
    <t>Korr pensjon kollektiv (buss, bane og båt) vektet</t>
  </si>
  <si>
    <t>Beregning gjennomsnitt pensjon, ferge</t>
  </si>
  <si>
    <t>Revektingsgrunnlag ferge</t>
  </si>
  <si>
    <t>Utgiftsandel pensjon, ferge</t>
  </si>
  <si>
    <t>Revektet kostnadsnøkkel, pensjon ferge</t>
  </si>
  <si>
    <t>Revektet beregning gjennomsnitt pensjon, ferge</t>
  </si>
  <si>
    <t>Korr pensjon ferge vektet per innbygger</t>
  </si>
  <si>
    <t>Korr pensjon ferge vektet</t>
  </si>
  <si>
    <t>Korreksjon utg.behov ferge, kr per innbygger</t>
  </si>
  <si>
    <t>Korreksjon utg.behov kollektiv (buss, bane og båt), kr per innbygger</t>
  </si>
  <si>
    <t>Korreksjon arb.avgift kollektiv (buss, bane og båt)</t>
  </si>
  <si>
    <t>Korreksjon pensjon kollektiv (buss, bane og båt)</t>
  </si>
  <si>
    <t>Korreksjon pensjon ferge</t>
  </si>
  <si>
    <t>Korreksjon arb.avgift ferge</t>
  </si>
  <si>
    <t>Ferge vektet indeks</t>
  </si>
  <si>
    <t>Revektet kostnadsnøkkel, pensjon kollektiv (buss, bane og båt)</t>
  </si>
  <si>
    <t>Kollektiv (buss, bane og båt)</t>
  </si>
  <si>
    <t>Fergee</t>
  </si>
  <si>
    <t>Kollektiv (buss, bane og båt), konsern</t>
  </si>
  <si>
    <t>Ferge, konsern</t>
  </si>
  <si>
    <t>Brutto driftsutg eks avskr, kollektiv (buss, bane og båt), konsern</t>
  </si>
  <si>
    <t>Brutto driftsutg eks avskr, ferge, konsern</t>
  </si>
  <si>
    <t>Bto driftsutg eks avskr, kollektiv (buss, bane og båt), konsern</t>
  </si>
  <si>
    <t>Bto driftsutg eks avskr, ferge, konsern</t>
  </si>
  <si>
    <t>Kollektiv (buss, bane, båt)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</si>
</sst>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0000"/>
    <numFmt numFmtId="166" formatCode="#,##0.000000"/>
    <numFmt numFmtId="167" formatCode="0.00000"/>
    <numFmt numFmtId="168" formatCode="0.0\ %"/>
    <numFmt numFmtId="169" formatCode="#,##0.0000"/>
    <numFmt numFmtId="170" formatCode="0.0000"/>
    <numFmt numFmtId="171" formatCode="0.000000"/>
    <numFmt numFmtId="172" formatCode="#,##0.000000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0"/>
      <color indexed="30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name val="Comic Sans MS"/>
      <family val="4"/>
    </font>
    <font>
      <i/>
      <sz val="9"/>
      <name val="Comic Sans MS"/>
      <family val="4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0" borderId="0"/>
    <xf numFmtId="0" fontId="4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3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8" borderId="3" applyNumberFormat="0" applyAlignment="0" applyProtection="0"/>
    <xf numFmtId="0" fontId="14" fillId="0" borderId="4" applyNumberFormat="0" applyFill="0" applyAlignment="0" applyProtection="0"/>
    <xf numFmtId="164" fontId="4" fillId="0" borderId="0" applyFont="0" applyFill="0" applyBorder="0" applyAlignment="0" applyProtection="0"/>
    <xf numFmtId="0" fontId="15" fillId="18" borderId="5" applyNumberFormat="0" applyAlignment="0" applyProtection="0"/>
    <xf numFmtId="0" fontId="7" fillId="19" borderId="6" applyNumberFormat="0" applyFont="0" applyAlignment="0" applyProtection="0"/>
    <xf numFmtId="0" fontId="7" fillId="0" borderId="0"/>
    <xf numFmtId="0" fontId="7" fillId="0" borderId="0"/>
    <xf numFmtId="0" fontId="16" fillId="2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7" borderId="11" applyNumberForma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3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167" fontId="0" fillId="0" borderId="0" xfId="0" applyNumberFormat="1"/>
    <xf numFmtId="3" fontId="0" fillId="0" borderId="0" xfId="0" applyNumberFormat="1"/>
    <xf numFmtId="0" fontId="3" fillId="2" borderId="0" xfId="1" applyFill="1" applyAlignment="1">
      <alignment horizontal="center" wrapText="1"/>
    </xf>
    <xf numFmtId="0" fontId="2" fillId="0" borderId="0" xfId="0" applyFont="1"/>
    <xf numFmtId="3" fontId="24" fillId="0" borderId="0" xfId="0" applyNumberFormat="1" applyFont="1"/>
    <xf numFmtId="0" fontId="24" fillId="0" borderId="0" xfId="0" applyFont="1"/>
    <xf numFmtId="167" fontId="0" fillId="27" borderId="0" xfId="0" applyNumberFormat="1" applyFill="1"/>
    <xf numFmtId="3" fontId="3" fillId="27" borderId="0" xfId="0" applyNumberFormat="1" applyFont="1" applyFill="1"/>
    <xf numFmtId="0" fontId="3" fillId="27" borderId="2" xfId="1" applyFill="1" applyBorder="1" applyAlignment="1">
      <alignment horizontal="center"/>
    </xf>
    <xf numFmtId="0" fontId="3" fillId="27" borderId="1" xfId="1" applyFill="1" applyBorder="1" applyAlignment="1">
      <alignment horizontal="center" wrapText="1"/>
    </xf>
    <xf numFmtId="3" fontId="0" fillId="0" borderId="13" xfId="0" applyNumberFormat="1" applyBorder="1"/>
    <xf numFmtId="0" fontId="0" fillId="26" borderId="14" xfId="0" applyFill="1" applyBorder="1" applyAlignment="1">
      <alignment horizontal="center" wrapText="1"/>
    </xf>
    <xf numFmtId="3" fontId="0" fillId="27" borderId="16" xfId="0" applyNumberFormat="1" applyFill="1" applyBorder="1"/>
    <xf numFmtId="3" fontId="0" fillId="27" borderId="0" xfId="0" applyNumberFormat="1" applyFill="1"/>
    <xf numFmtId="0" fontId="0" fillId="27" borderId="15" xfId="0" applyFill="1" applyBorder="1" applyAlignment="1">
      <alignment horizontal="center" wrapText="1"/>
    </xf>
    <xf numFmtId="0" fontId="0" fillId="27" borderId="1" xfId="0" applyFill="1" applyBorder="1" applyAlignment="1">
      <alignment horizontal="center" wrapText="1"/>
    </xf>
    <xf numFmtId="0" fontId="0" fillId="26" borderId="1" xfId="0" applyFill="1" applyBorder="1" applyAlignment="1">
      <alignment horizontal="center" wrapText="1"/>
    </xf>
    <xf numFmtId="0" fontId="0" fillId="27" borderId="0" xfId="0" applyFill="1"/>
    <xf numFmtId="3" fontId="0" fillId="0" borderId="2" xfId="0" applyNumberFormat="1" applyBorder="1"/>
    <xf numFmtId="0" fontId="0" fillId="0" borderId="2" xfId="0" applyBorder="1"/>
    <xf numFmtId="0" fontId="3" fillId="2" borderId="1" xfId="1" applyFill="1" applyBorder="1" applyAlignment="1">
      <alignment horizontal="center" wrapText="1"/>
    </xf>
    <xf numFmtId="3" fontId="2" fillId="0" borderId="0" xfId="0" applyNumberFormat="1" applyFont="1"/>
    <xf numFmtId="3" fontId="0" fillId="0" borderId="17" xfId="0" applyNumberFormat="1" applyBorder="1"/>
    <xf numFmtId="3" fontId="0" fillId="27" borderId="18" xfId="0" applyNumberFormat="1" applyFill="1" applyBorder="1"/>
    <xf numFmtId="0" fontId="0" fillId="0" borderId="23" xfId="0" applyBorder="1"/>
    <xf numFmtId="3" fontId="0" fillId="0" borderId="19" xfId="0" applyNumberFormat="1" applyBorder="1"/>
    <xf numFmtId="3" fontId="0" fillId="0" borderId="12" xfId="0" applyNumberFormat="1" applyBorder="1"/>
    <xf numFmtId="3" fontId="0" fillId="27" borderId="12" xfId="0" applyNumberFormat="1" applyFill="1" applyBorder="1"/>
    <xf numFmtId="0" fontId="0" fillId="0" borderId="24" xfId="0" applyBorder="1"/>
    <xf numFmtId="0" fontId="0" fillId="0" borderId="22" xfId="0" applyBorder="1"/>
    <xf numFmtId="3" fontId="0" fillId="27" borderId="20" xfId="0" applyNumberFormat="1" applyFill="1" applyBorder="1"/>
    <xf numFmtId="0" fontId="0" fillId="26" borderId="2" xfId="0" applyFill="1" applyBorder="1" applyAlignment="1">
      <alignment horizontal="center" wrapText="1"/>
    </xf>
    <xf numFmtId="0" fontId="0" fillId="27" borderId="2" xfId="0" applyFill="1" applyBorder="1" applyAlignment="1">
      <alignment horizontal="center" wrapText="1"/>
    </xf>
    <xf numFmtId="0" fontId="0" fillId="27" borderId="18" xfId="0" applyFill="1" applyBorder="1" applyAlignment="1">
      <alignment horizontal="center" wrapText="1"/>
    </xf>
    <xf numFmtId="0" fontId="0" fillId="26" borderId="21" xfId="0" applyFill="1" applyBorder="1"/>
    <xf numFmtId="0" fontId="0" fillId="26" borderId="22" xfId="0" applyFill="1" applyBorder="1"/>
    <xf numFmtId="3" fontId="0" fillId="27" borderId="2" xfId="0" applyNumberFormat="1" applyFill="1" applyBorder="1"/>
    <xf numFmtId="0" fontId="0" fillId="26" borderId="17" xfId="0" applyFill="1" applyBorder="1" applyAlignment="1">
      <alignment horizontal="center" wrapText="1"/>
    </xf>
    <xf numFmtId="0" fontId="25" fillId="0" borderId="0" xfId="0" applyFont="1"/>
    <xf numFmtId="165" fontId="3" fillId="0" borderId="0" xfId="31" applyNumberFormat="1" applyFont="1" applyAlignment="1">
      <alignment horizontal="left"/>
    </xf>
    <xf numFmtId="3" fontId="3" fillId="0" borderId="0" xfId="31" applyNumberFormat="1" applyFont="1"/>
    <xf numFmtId="0" fontId="7" fillId="0" borderId="0" xfId="31"/>
    <xf numFmtId="168" fontId="0" fillId="0" borderId="0" xfId="0" applyNumberFormat="1"/>
    <xf numFmtId="0" fontId="3" fillId="28" borderId="1" xfId="1" applyFill="1" applyBorder="1" applyAlignment="1">
      <alignment horizontal="center" wrapText="1"/>
    </xf>
    <xf numFmtId="0" fontId="3" fillId="28" borderId="2" xfId="1" applyFill="1" applyBorder="1" applyAlignment="1">
      <alignment horizontal="center"/>
    </xf>
    <xf numFmtId="0" fontId="0" fillId="28" borderId="0" xfId="0" applyFill="1"/>
    <xf numFmtId="3" fontId="3" fillId="28" borderId="0" xfId="0" applyNumberFormat="1" applyFont="1" applyFill="1"/>
    <xf numFmtId="167" fontId="0" fillId="28" borderId="0" xfId="0" applyNumberFormat="1" applyFill="1"/>
    <xf numFmtId="0" fontId="3" fillId="0" borderId="1" xfId="1" applyBorder="1" applyAlignment="1">
      <alignment horizontal="center" wrapText="1"/>
    </xf>
    <xf numFmtId="0" fontId="3" fillId="0" borderId="2" xfId="1" applyBorder="1" applyAlignment="1">
      <alignment horizontal="center"/>
    </xf>
    <xf numFmtId="3" fontId="0" fillId="29" borderId="0" xfId="0" applyNumberFormat="1" applyFill="1"/>
    <xf numFmtId="0" fontId="26" fillId="2" borderId="2" xfId="0" applyFont="1" applyFill="1" applyBorder="1" applyAlignment="1">
      <alignment horizontal="center" wrapText="1"/>
    </xf>
    <xf numFmtId="10" fontId="27" fillId="30" borderId="0" xfId="38" applyNumberFormat="1" applyFont="1" applyFill="1"/>
    <xf numFmtId="3" fontId="0" fillId="0" borderId="0" xfId="0" applyNumberFormat="1" applyAlignment="1">
      <alignment horizontal="center"/>
    </xf>
    <xf numFmtId="0" fontId="0" fillId="0" borderId="0" xfId="0" quotePrefix="1"/>
    <xf numFmtId="169" fontId="0" fillId="0" borderId="0" xfId="0" applyNumberFormat="1"/>
    <xf numFmtId="166" fontId="0" fillId="0" borderId="0" xfId="0" applyNumberFormat="1"/>
    <xf numFmtId="0" fontId="0" fillId="31" borderId="22" xfId="0" applyFill="1" applyBorder="1"/>
    <xf numFmtId="0" fontId="0" fillId="0" borderId="13" xfId="0" applyBorder="1"/>
    <xf numFmtId="0" fontId="0" fillId="0" borderId="17" xfId="0" applyBorder="1"/>
    <xf numFmtId="3" fontId="0" fillId="27" borderId="21" xfId="0" applyNumberFormat="1" applyFill="1" applyBorder="1"/>
    <xf numFmtId="3" fontId="0" fillId="27" borderId="24" xfId="0" applyNumberFormat="1" applyFill="1" applyBorder="1"/>
    <xf numFmtId="3" fontId="0" fillId="27" borderId="22" xfId="0" applyNumberFormat="1" applyFill="1" applyBorder="1"/>
    <xf numFmtId="0" fontId="0" fillId="26" borderId="15" xfId="0" applyFill="1" applyBorder="1" applyAlignment="1">
      <alignment horizontal="center" wrapText="1"/>
    </xf>
    <xf numFmtId="170" fontId="0" fillId="0" borderId="16" xfId="0" applyNumberFormat="1" applyBorder="1"/>
    <xf numFmtId="170" fontId="0" fillId="0" borderId="18" xfId="0" applyNumberFormat="1" applyBorder="1"/>
    <xf numFmtId="170" fontId="0" fillId="0" borderId="13" xfId="0" applyNumberFormat="1" applyBorder="1"/>
    <xf numFmtId="170" fontId="0" fillId="0" borderId="17" xfId="0" applyNumberFormat="1" applyBorder="1"/>
    <xf numFmtId="0" fontId="28" fillId="0" borderId="0" xfId="0" applyFont="1"/>
    <xf numFmtId="0" fontId="0" fillId="26" borderId="23" xfId="0" applyFill="1" applyBorder="1"/>
    <xf numFmtId="3" fontId="0" fillId="0" borderId="24" xfId="0" applyNumberFormat="1" applyBorder="1"/>
    <xf numFmtId="3" fontId="0" fillId="0" borderId="22" xfId="0" applyNumberFormat="1" applyBorder="1"/>
    <xf numFmtId="0" fontId="0" fillId="26" borderId="23" xfId="0" applyFill="1" applyBorder="1" applyAlignment="1">
      <alignment horizontal="center" wrapText="1"/>
    </xf>
    <xf numFmtId="0" fontId="0" fillId="26" borderId="14" xfId="0" applyFill="1" applyBorder="1"/>
    <xf numFmtId="0" fontId="0" fillId="26" borderId="17" xfId="0" applyFill="1" applyBorder="1"/>
    <xf numFmtId="0" fontId="25" fillId="25" borderId="0" xfId="0" applyFont="1" applyFill="1"/>
    <xf numFmtId="0" fontId="0" fillId="0" borderId="19" xfId="0" applyBorder="1"/>
    <xf numFmtId="170" fontId="0" fillId="0" borderId="19" xfId="0" applyNumberFormat="1" applyBorder="1"/>
    <xf numFmtId="170" fontId="0" fillId="0" borderId="20" xfId="0" applyNumberFormat="1" applyBorder="1"/>
    <xf numFmtId="0" fontId="24" fillId="26" borderId="24" xfId="0" applyFont="1" applyFill="1" applyBorder="1"/>
    <xf numFmtId="3" fontId="24" fillId="26" borderId="0" xfId="0" applyNumberFormat="1" applyFont="1" applyFill="1" applyAlignment="1">
      <alignment horizontal="right" wrapText="1"/>
    </xf>
    <xf numFmtId="3" fontId="24" fillId="27" borderId="0" xfId="0" applyNumberFormat="1" applyFont="1" applyFill="1"/>
    <xf numFmtId="3" fontId="24" fillId="27" borderId="16" xfId="0" applyNumberFormat="1" applyFont="1" applyFill="1" applyBorder="1"/>
    <xf numFmtId="3" fontId="24" fillId="26" borderId="14" xfId="0" applyNumberFormat="1" applyFont="1" applyFill="1" applyBorder="1" applyAlignment="1">
      <alignment horizontal="right" wrapText="1"/>
    </xf>
    <xf numFmtId="3" fontId="24" fillId="27" borderId="0" xfId="0" applyNumberFormat="1" applyFont="1" applyFill="1" applyAlignment="1">
      <alignment horizontal="right" wrapText="1"/>
    </xf>
    <xf numFmtId="3" fontId="24" fillId="26" borderId="13" xfId="0" applyNumberFormat="1" applyFont="1" applyFill="1" applyBorder="1" applyAlignment="1">
      <alignment horizontal="right" wrapText="1"/>
    </xf>
    <xf numFmtId="3" fontId="24" fillId="27" borderId="16" xfId="0" applyNumberFormat="1" applyFont="1" applyFill="1" applyBorder="1" applyAlignment="1">
      <alignment horizontal="right" wrapText="1"/>
    </xf>
    <xf numFmtId="171" fontId="0" fillId="0" borderId="0" xfId="0" applyNumberFormat="1"/>
    <xf numFmtId="165" fontId="25" fillId="25" borderId="0" xfId="0" applyNumberFormat="1" applyFont="1" applyFill="1" applyProtection="1">
      <protection locked="0"/>
    </xf>
    <xf numFmtId="3" fontId="0" fillId="0" borderId="0" xfId="0" applyNumberFormat="1" applyAlignment="1">
      <alignment horizontal="right"/>
    </xf>
    <xf numFmtId="3" fontId="0" fillId="27" borderId="0" xfId="0" applyNumberFormat="1" applyFill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27" borderId="16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27" borderId="2" xfId="0" applyNumberFormat="1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0" xfId="0" quotePrefix="1" applyNumberFormat="1"/>
    <xf numFmtId="3" fontId="0" fillId="0" borderId="21" xfId="0" applyNumberFormat="1" applyBorder="1"/>
    <xf numFmtId="0" fontId="3" fillId="2" borderId="0" xfId="1" applyFill="1" applyAlignment="1">
      <alignment horizontal="center"/>
    </xf>
    <xf numFmtId="10" fontId="0" fillId="0" borderId="0" xfId="0" applyNumberFormat="1"/>
    <xf numFmtId="3" fontId="3" fillId="0" borderId="0" xfId="0" applyNumberFormat="1" applyFont="1" applyAlignment="1">
      <alignment horizontal="right"/>
    </xf>
    <xf numFmtId="172" fontId="0" fillId="0" borderId="0" xfId="0" applyNumberFormat="1"/>
    <xf numFmtId="0" fontId="25" fillId="25" borderId="0" xfId="0" applyFont="1" applyFill="1" applyAlignment="1">
      <alignment horizontal="center"/>
    </xf>
    <xf numFmtId="0" fontId="3" fillId="2" borderId="2" xfId="1" applyFill="1" applyBorder="1" applyAlignment="1">
      <alignment horizontal="center"/>
    </xf>
    <xf numFmtId="0" fontId="3" fillId="29" borderId="1" xfId="1" applyFill="1" applyBorder="1" applyAlignment="1">
      <alignment horizontal="center" wrapText="1"/>
    </xf>
    <xf numFmtId="0" fontId="3" fillId="29" borderId="2" xfId="1" applyFill="1" applyBorder="1" applyAlignment="1">
      <alignment horizontal="center"/>
    </xf>
    <xf numFmtId="0" fontId="30" fillId="0" borderId="0" xfId="0" applyFont="1"/>
    <xf numFmtId="0" fontId="29" fillId="0" borderId="0" xfId="0" applyFont="1"/>
    <xf numFmtId="3" fontId="31" fillId="25" borderId="0" xfId="0" applyNumberFormat="1" applyFont="1" applyFill="1"/>
    <xf numFmtId="3" fontId="32" fillId="25" borderId="0" xfId="0" applyNumberFormat="1" applyFont="1" applyFill="1"/>
    <xf numFmtId="3" fontId="31" fillId="0" borderId="0" xfId="0" applyNumberFormat="1" applyFont="1"/>
    <xf numFmtId="0" fontId="25" fillId="33" borderId="0" xfId="0" applyFont="1" applyFill="1"/>
    <xf numFmtId="0" fontId="0" fillId="33" borderId="0" xfId="0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2" borderId="2" xfId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3" fillId="2" borderId="12" xfId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20% - uthevingsfarge 1 2" xfId="3" xr:uid="{00000000-0005-0000-0000-000000000000}"/>
    <cellStyle name="20% - uthevingsfarge 2 2" xfId="4" xr:uid="{00000000-0005-0000-0000-000001000000}"/>
    <cellStyle name="20% - uthevingsfarge 3 2" xfId="5" xr:uid="{00000000-0005-0000-0000-000002000000}"/>
    <cellStyle name="20% - uthevingsfarge 4 2" xfId="6" xr:uid="{00000000-0005-0000-0000-000003000000}"/>
    <cellStyle name="20% - uthevingsfarge 5 2" xfId="7" xr:uid="{00000000-0005-0000-0000-000004000000}"/>
    <cellStyle name="20% - uthevingsfarge 6 2" xfId="8" xr:uid="{00000000-0005-0000-0000-000005000000}"/>
    <cellStyle name="40% - uthevingsfarge 1 2" xfId="9" xr:uid="{00000000-0005-0000-0000-000006000000}"/>
    <cellStyle name="40% - uthevingsfarge 2 2" xfId="10" xr:uid="{00000000-0005-0000-0000-000007000000}"/>
    <cellStyle name="40% - uthevingsfarge 3 2" xfId="11" xr:uid="{00000000-0005-0000-0000-000008000000}"/>
    <cellStyle name="40% - uthevingsfarge 4 2" xfId="12" xr:uid="{00000000-0005-0000-0000-000009000000}"/>
    <cellStyle name="40% - uthevingsfarge 5 2" xfId="13" xr:uid="{00000000-0005-0000-0000-00000A000000}"/>
    <cellStyle name="40% - uthevingsfarge 6 2" xfId="14" xr:uid="{00000000-0005-0000-0000-00000B000000}"/>
    <cellStyle name="60% - uthevingsfarge 1 2" xfId="15" xr:uid="{00000000-0005-0000-0000-00000C000000}"/>
    <cellStyle name="60% - uthevingsfarge 2 2" xfId="16" xr:uid="{00000000-0005-0000-0000-00000D000000}"/>
    <cellStyle name="60% - uthevingsfarge 3 2" xfId="17" xr:uid="{00000000-0005-0000-0000-00000E000000}"/>
    <cellStyle name="60% - uthevingsfarge 4 2" xfId="18" xr:uid="{00000000-0005-0000-0000-00000F000000}"/>
    <cellStyle name="60% - uthevingsfarge 5 2" xfId="19" xr:uid="{00000000-0005-0000-0000-000010000000}"/>
    <cellStyle name="60% - uthevingsfarge 6 2" xfId="20" xr:uid="{00000000-0005-0000-0000-000011000000}"/>
    <cellStyle name="Beregning 2" xfId="21" xr:uid="{00000000-0005-0000-0000-000012000000}"/>
    <cellStyle name="Dårlig 2" xfId="22" xr:uid="{00000000-0005-0000-0000-000013000000}"/>
    <cellStyle name="Forklarende tekst 2" xfId="23" xr:uid="{00000000-0005-0000-0000-000014000000}"/>
    <cellStyle name="God 2" xfId="24" xr:uid="{00000000-0005-0000-0000-000015000000}"/>
    <cellStyle name="Hyperkobling 2" xfId="25" xr:uid="{00000000-0005-0000-0000-000016000000}"/>
    <cellStyle name="Inndata 2" xfId="26" xr:uid="{00000000-0005-0000-0000-000017000000}"/>
    <cellStyle name="Koblet celle 2" xfId="27" xr:uid="{00000000-0005-0000-0000-000018000000}"/>
    <cellStyle name="Komma 2" xfId="28" xr:uid="{00000000-0005-0000-0000-000019000000}"/>
    <cellStyle name="Kontrollcelle 2" xfId="29" xr:uid="{00000000-0005-0000-0000-00001A000000}"/>
    <cellStyle name="Merknad 2" xfId="30" xr:uid="{00000000-0005-0000-0000-00001B000000}"/>
    <cellStyle name="Normal" xfId="0" builtinId="0"/>
    <cellStyle name="Normal 2" xfId="31" xr:uid="{00000000-0005-0000-0000-00001D000000}"/>
    <cellStyle name="Normal 3" xfId="32" xr:uid="{00000000-0005-0000-0000-00001E000000}"/>
    <cellStyle name="Normal 4" xfId="50" xr:uid="{00000000-0005-0000-0000-00001F000000}"/>
    <cellStyle name="Normal 5" xfId="2" xr:uid="{00000000-0005-0000-0000-000020000000}"/>
    <cellStyle name="Normal_Krit97" xfId="1" xr:uid="{00000000-0005-0000-0000-000021000000}"/>
    <cellStyle name="Nøytral 2" xfId="33" xr:uid="{00000000-0005-0000-0000-000022000000}"/>
    <cellStyle name="Overskrift 1 2" xfId="34" xr:uid="{00000000-0005-0000-0000-000023000000}"/>
    <cellStyle name="Overskrift 2 2" xfId="35" xr:uid="{00000000-0005-0000-0000-000024000000}"/>
    <cellStyle name="Overskrift 3 2" xfId="36" xr:uid="{00000000-0005-0000-0000-000025000000}"/>
    <cellStyle name="Overskrift 4 2" xfId="37" xr:uid="{00000000-0005-0000-0000-000026000000}"/>
    <cellStyle name="Prosent 2" xfId="38" xr:uid="{00000000-0005-0000-0000-000027000000}"/>
    <cellStyle name="times" xfId="39" xr:uid="{00000000-0005-0000-0000-000028000000}"/>
    <cellStyle name="Tittel 2" xfId="40" xr:uid="{00000000-0005-0000-0000-000029000000}"/>
    <cellStyle name="Totalt 2" xfId="41" xr:uid="{00000000-0005-0000-0000-00002A000000}"/>
    <cellStyle name="Utdata 2" xfId="42" xr:uid="{00000000-0005-0000-0000-00002B000000}"/>
    <cellStyle name="Uthevingsfarge1 2" xfId="43" xr:uid="{00000000-0005-0000-0000-00002C000000}"/>
    <cellStyle name="Uthevingsfarge2 2" xfId="44" xr:uid="{00000000-0005-0000-0000-00002D000000}"/>
    <cellStyle name="Uthevingsfarge3 2" xfId="45" xr:uid="{00000000-0005-0000-0000-00002E000000}"/>
    <cellStyle name="Uthevingsfarge4 2" xfId="46" xr:uid="{00000000-0005-0000-0000-00002F000000}"/>
    <cellStyle name="Uthevingsfarge5 2" xfId="47" xr:uid="{00000000-0005-0000-0000-000030000000}"/>
    <cellStyle name="Uthevingsfarge6 2" xfId="48" xr:uid="{00000000-0005-0000-0000-000031000000}"/>
    <cellStyle name="Varseltekst 2" xfId="49" xr:uid="{00000000-0005-0000-0000-00003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3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6.xml"/><Relationship Id="rId39" Type="http://schemas.openxmlformats.org/officeDocument/2006/relationships/styles" Target="styles.xml"/><Relationship Id="rId21" Type="http://schemas.openxmlformats.org/officeDocument/2006/relationships/worksheet" Target="worksheets/sheet11.xml"/><Relationship Id="rId34" Type="http://schemas.openxmlformats.org/officeDocument/2006/relationships/worksheet" Target="worksheets/sheet24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6.xml"/><Relationship Id="rId20" Type="http://schemas.openxmlformats.org/officeDocument/2006/relationships/worksheet" Target="worksheets/sheet10.xml"/><Relationship Id="rId29" Type="http://schemas.openxmlformats.org/officeDocument/2006/relationships/worksheet" Target="worksheets/sheet1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4.xml"/><Relationship Id="rId32" Type="http://schemas.openxmlformats.org/officeDocument/2006/relationships/worksheet" Target="worksheets/sheet22.xml"/><Relationship Id="rId37" Type="http://schemas.openxmlformats.org/officeDocument/2006/relationships/worksheet" Target="worksheets/sheet27.xml"/><Relationship Id="rId40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5.xml"/><Relationship Id="rId23" Type="http://schemas.openxmlformats.org/officeDocument/2006/relationships/worksheet" Target="worksheets/sheet13.xml"/><Relationship Id="rId28" Type="http://schemas.openxmlformats.org/officeDocument/2006/relationships/worksheet" Target="worksheets/sheet18.xml"/><Relationship Id="rId36" Type="http://schemas.openxmlformats.org/officeDocument/2006/relationships/worksheet" Target="worksheets/sheet26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9.xml"/><Relationship Id="rId31" Type="http://schemas.openxmlformats.org/officeDocument/2006/relationships/worksheet" Target="worksheets/sheet2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4.xml"/><Relationship Id="rId22" Type="http://schemas.openxmlformats.org/officeDocument/2006/relationships/worksheet" Target="worksheets/sheet12.xml"/><Relationship Id="rId27" Type="http://schemas.openxmlformats.org/officeDocument/2006/relationships/worksheet" Target="worksheets/sheet17.xml"/><Relationship Id="rId30" Type="http://schemas.openxmlformats.org/officeDocument/2006/relationships/worksheet" Target="worksheets/sheet20.xml"/><Relationship Id="rId35" Type="http://schemas.openxmlformats.org/officeDocument/2006/relationships/worksheet" Target="worksheets/sheet25.xml"/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2.xml"/><Relationship Id="rId17" Type="http://schemas.openxmlformats.org/officeDocument/2006/relationships/worksheet" Target="worksheets/sheet7.xml"/><Relationship Id="rId25" Type="http://schemas.openxmlformats.org/officeDocument/2006/relationships/worksheet" Target="worksheets/sheet15.xml"/><Relationship Id="rId33" Type="http://schemas.openxmlformats.org/officeDocument/2006/relationships/worksheet" Target="worksheets/sheet23.xml"/><Relationship Id="rId38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>
                <a:solidFill>
                  <a:srgbClr val="FF0000"/>
                </a:solidFill>
              </a:rPr>
              <a:t>Slik ser fylkeskommunens ressursbruk ut - rapporterte tall KOSTRA</a:t>
            </a:r>
            <a:br>
              <a:rPr lang="en-US">
                <a:solidFill>
                  <a:srgbClr val="FF0000"/>
                </a:solidFill>
              </a:rPr>
            </a:b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sammenlignet med landsgjennomsnitt(=0), (kroner per innbygger)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1'!$C$69:$C$78</c:f>
              <c:numCache>
                <c:formatCode>#,##0</c:formatCode>
                <c:ptCount val="10"/>
                <c:pt idx="0">
                  <c:v>761.66383048328225</c:v>
                </c:pt>
                <c:pt idx="1">
                  <c:v>191.37089238197586</c:v>
                </c:pt>
                <c:pt idx="2">
                  <c:v>456.30608498323522</c:v>
                </c:pt>
                <c:pt idx="3">
                  <c:v>-520.00810558658122</c:v>
                </c:pt>
                <c:pt idx="4">
                  <c:v>-86.479710204975731</c:v>
                </c:pt>
                <c:pt idx="5">
                  <c:v>86.12797756740008</c:v>
                </c:pt>
                <c:pt idx="6">
                  <c:v>340.1275428853121</c:v>
                </c:pt>
                <c:pt idx="7">
                  <c:v>320.0007678363541</c:v>
                </c:pt>
                <c:pt idx="8">
                  <c:v>536.67586536913552</c:v>
                </c:pt>
                <c:pt idx="9">
                  <c:v>-562.45748474857373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8-43EB-878E-79D05B0AFD82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2'!$C$69:$C$78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8-43EB-878E-79D05B0AFD82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3'!$C$69:$C$78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F8-43EB-878E-79D05B0AFD82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4'!$C$69:$C$78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F8-43EB-878E-79D05B0AF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08544"/>
        <c:axId val="187710080"/>
      </c:barChart>
      <c:catAx>
        <c:axId val="18770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 b="0"/>
            </a:pPr>
            <a:endParaRPr lang="nb-NO"/>
          </a:p>
        </c:txPr>
        <c:crossAx val="187710080"/>
        <c:crosses val="autoZero"/>
        <c:auto val="1"/>
        <c:lblAlgn val="ctr"/>
        <c:lblOffset val="100"/>
        <c:noMultiLvlLbl val="0"/>
      </c:catAx>
      <c:valAx>
        <c:axId val="187710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0"/>
            </a:pPr>
            <a:endParaRPr lang="nb-NO"/>
          </a:p>
        </c:txPr>
        <c:crossAx val="18770854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  <c:txPr>
    <a:bodyPr/>
    <a:lstStyle/>
    <a:p>
      <a:pPr>
        <a:defRPr sz="1400" b="1"/>
      </a:pPr>
      <a:endParaRPr lang="nb-N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 b="1">
                <a:solidFill>
                  <a:srgbClr val="FF0000"/>
                </a:solidFill>
              </a:rPr>
              <a:t>Ressursbruk til</a:t>
            </a:r>
            <a:r>
              <a:rPr lang="en-US" sz="1400" b="1" baseline="0">
                <a:solidFill>
                  <a:srgbClr val="FF0000"/>
                </a:solidFill>
              </a:rPr>
              <a:t> (prioritering av) øvrige tjenester                                    </a:t>
            </a:r>
            <a:br>
              <a:rPr lang="en-US" sz="1400" b="1" baseline="0">
                <a:solidFill>
                  <a:srgbClr val="FF0000"/>
                </a:solidFill>
              </a:rPr>
            </a:br>
            <a:r>
              <a:rPr lang="en-US" sz="1400" b="1" baseline="0">
                <a:solidFill>
                  <a:srgbClr val="FF0000"/>
                </a:solidFill>
              </a:rPr>
              <a:t>korrigert for forskjeller i inntektsnivå</a:t>
            </a:r>
            <a:endParaRPr lang="en-US" sz="1400" b="1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489990535255236"/>
          <c:y val="0.25412127918648086"/>
          <c:w val="0.87007998542397069"/>
          <c:h val="0.4123708307965708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1'!$H$47:$H$53</c:f>
              <c:numCache>
                <c:formatCode>#,##0</c:formatCode>
                <c:ptCount val="7"/>
                <c:pt idx="0">
                  <c:v>454.92100576960263</c:v>
                </c:pt>
                <c:pt idx="1">
                  <c:v>57.788337440477562</c:v>
                </c:pt>
                <c:pt idx="2">
                  <c:v>-37.39719458141181</c:v>
                </c:pt>
                <c:pt idx="3">
                  <c:v>236.07866283865192</c:v>
                </c:pt>
                <c:pt idx="4">
                  <c:v>151.45990968011671</c:v>
                </c:pt>
                <c:pt idx="5">
                  <c:v>-0.84296894249757304</c:v>
                </c:pt>
                <c:pt idx="6">
                  <c:v>47.834259334265795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F-4E22-B78C-0BB1423F6FAA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2'!$H$47:$H$53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F-4E22-B78C-0BB1423F6FAA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3'!$H$47:$H$53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F-4E22-B78C-0BB1423F6FAA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4'!$H$47:$H$53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0F-4E22-B78C-0BB1423F6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21216"/>
        <c:axId val="198522752"/>
      </c:barChart>
      <c:catAx>
        <c:axId val="19852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700000"/>
          <a:lstStyle/>
          <a:p>
            <a:pPr>
              <a:defRPr sz="1200"/>
            </a:pPr>
            <a:endParaRPr lang="nb-NO"/>
          </a:p>
        </c:txPr>
        <c:crossAx val="198522752"/>
        <c:crosses val="autoZero"/>
        <c:auto val="1"/>
        <c:lblAlgn val="ctr"/>
        <c:lblOffset val="100"/>
        <c:noMultiLvlLbl val="0"/>
      </c:catAx>
      <c:valAx>
        <c:axId val="198522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85212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>
                <a:solidFill>
                  <a:srgbClr val="FF0000"/>
                </a:solidFill>
              </a:defRPr>
            </a:pPr>
            <a:r>
              <a:rPr lang="en-US" sz="1400" b="1">
                <a:solidFill>
                  <a:srgbClr val="FF0000"/>
                </a:solidFill>
              </a:rPr>
              <a:t>Anslag for fylkeskommunens ressursbruk sammenlignet</a:t>
            </a:r>
            <a:r>
              <a:rPr lang="en-US" sz="1400" b="1" baseline="0">
                <a:solidFill>
                  <a:srgbClr val="FF0000"/>
                </a:solidFill>
              </a:rPr>
              <a:t> med landsgjennomsnittet (=1) som staten benytter. Fylkeskommunen blir kompensert/trukket ut fra dette i rammetilskuddet.</a:t>
            </a:r>
            <a:r>
              <a:rPr lang="en-US" sz="1400" b="1">
                <a:solidFill>
                  <a:schemeClr val="accent5">
                    <a:lumMod val="75000"/>
                  </a:schemeClr>
                </a:solidFill>
              </a:rPr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Kollektiv (buss, bane og båt)</c:v>
                </c:pt>
                <c:pt idx="3">
                  <c:v>Ferge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1'!$C$59:$C$64</c:f>
              <c:numCache>
                <c:formatCode>0.0000</c:formatCode>
                <c:ptCount val="6"/>
                <c:pt idx="0">
                  <c:v>1.0195042229505571</c:v>
                </c:pt>
                <c:pt idx="1">
                  <c:v>1.2666523308794941</c:v>
                </c:pt>
                <c:pt idx="2">
                  <c:v>1.0917317827078288</c:v>
                </c:pt>
                <c:pt idx="3">
                  <c:v>1.0558842371923283</c:v>
                </c:pt>
                <c:pt idx="4">
                  <c:v>1.0416844885673895</c:v>
                </c:pt>
                <c:pt idx="5">
                  <c:v>1.0865235188462492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D-4F13-BC2B-6067D2EFF472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Kollektiv (buss, bane og båt)</c:v>
                </c:pt>
                <c:pt idx="3">
                  <c:v>Ferge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2'!$C$59:$C$64</c:f>
              <c:numCache>
                <c:formatCode>0.0000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D-4F13-BC2B-6067D2EFF472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Kollektiv (buss, bane og båt)</c:v>
                </c:pt>
                <c:pt idx="3">
                  <c:v>Ferge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3'!$C$59:$C$64</c:f>
              <c:numCache>
                <c:formatCode>0.0000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BD-4F13-BC2B-6067D2EFF472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Kollektiv (buss, bane og båt)</c:v>
                </c:pt>
                <c:pt idx="3">
                  <c:v>Ferge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4'!$C$59:$C$64</c:f>
              <c:numCache>
                <c:formatCode>0.0000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BD-4F13-BC2B-6067D2EFF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58816"/>
        <c:axId val="192260352"/>
      </c:barChart>
      <c:lineChart>
        <c:grouping val="standard"/>
        <c:varyColors val="0"/>
        <c:ser>
          <c:idx val="4"/>
          <c:order val="4"/>
          <c:tx>
            <c:strRef>
              <c:f>'Tabeller fylkeskom 2'!$D$58</c:f>
              <c:strCache>
                <c:ptCount val="1"/>
                <c:pt idx="0">
                  <c:v>Landet</c:v>
                </c:pt>
              </c:strCache>
            </c:strRef>
          </c:tx>
          <c:spPr>
            <a:ln w="50800"/>
          </c:spPr>
          <c:marker>
            <c:symbol val="none"/>
          </c:marker>
          <c:val>
            <c:numRef>
              <c:f>'Tabeller fylkeskom 2'!$D$59:$D$64</c:f>
              <c:numCache>
                <c:formatCode>0.0000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BD-4F13-BC2B-6067D2EFF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58816"/>
        <c:axId val="192260352"/>
      </c:lineChart>
      <c:catAx>
        <c:axId val="19225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nb-NO"/>
          </a:p>
        </c:txPr>
        <c:crossAx val="192260352"/>
        <c:crosses val="autoZero"/>
        <c:auto val="1"/>
        <c:lblAlgn val="ctr"/>
        <c:lblOffset val="100"/>
        <c:noMultiLvlLbl val="0"/>
      </c:catAx>
      <c:valAx>
        <c:axId val="19226035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22588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73024"/>
        <c:axId val="192274816"/>
      </c:barChart>
      <c:catAx>
        <c:axId val="19227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274816"/>
        <c:crosses val="autoZero"/>
        <c:auto val="1"/>
        <c:lblAlgn val="ctr"/>
        <c:lblOffset val="100"/>
        <c:noMultiLvlLbl val="0"/>
      </c:catAx>
      <c:valAx>
        <c:axId val="19227481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92273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600"/>
            </a:pPr>
            <a:r>
              <a:rPr lang="en-US" sz="1400">
                <a:solidFill>
                  <a:srgbClr val="FF0000"/>
                </a:solidFill>
              </a:rPr>
              <a:t>Fylkeskommunens frie disponible</a:t>
            </a:r>
            <a:r>
              <a:rPr lang="en-US" sz="1400" baseline="0">
                <a:solidFill>
                  <a:srgbClr val="FF0000"/>
                </a:solidFill>
              </a:rPr>
              <a:t> inntekter </a:t>
            </a:r>
            <a:r>
              <a:rPr lang="en-US" sz="1400">
                <a:solidFill>
                  <a:srgbClr val="FF0000"/>
                </a:solidFill>
              </a:rPr>
              <a:t>og ressursbruk </a:t>
            </a:r>
            <a:br>
              <a:rPr lang="en-US" sz="1600">
                <a:solidFill>
                  <a:srgbClr val="FF0000"/>
                </a:solidFill>
              </a:rPr>
            </a:br>
            <a:r>
              <a:rPr lang="en-US" sz="1200">
                <a:solidFill>
                  <a:schemeClr val="accent5">
                    <a:lumMod val="75000"/>
                  </a:schemeClr>
                </a:solidFill>
              </a:rPr>
              <a:t>avvik fra landsgjennomsnitt(=0) korrigert for </a:t>
            </a:r>
            <a:br>
              <a:rPr lang="en-US" sz="1200">
                <a:solidFill>
                  <a:schemeClr val="accent5">
                    <a:lumMod val="75000"/>
                  </a:schemeClr>
                </a:solidFill>
              </a:rPr>
            </a:br>
            <a:r>
              <a:rPr lang="en-US" sz="1200">
                <a:solidFill>
                  <a:schemeClr val="accent5">
                    <a:lumMod val="75000"/>
                  </a:schemeClr>
                </a:solidFill>
              </a:rPr>
              <a:t>kommunens utgiftsbehov m.m  (kroner </a:t>
            </a:r>
            <a:r>
              <a:rPr lang="en-US" sz="1200" baseline="0">
                <a:solidFill>
                  <a:schemeClr val="accent5">
                    <a:lumMod val="75000"/>
                  </a:schemeClr>
                </a:solidFill>
              </a:rPr>
              <a:t>per innbygger)</a:t>
            </a:r>
            <a:r>
              <a:rPr lang="en-US" sz="1200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1'!$C$7:$C$12</c:f>
              <c:numCache>
                <c:formatCode>#,##0</c:formatCode>
                <c:ptCount val="6"/>
                <c:pt idx="0">
                  <c:v>-491.80367963447679</c:v>
                </c:pt>
                <c:pt idx="1">
                  <c:v>-861.66466946276103</c:v>
                </c:pt>
                <c:pt idx="2">
                  <c:v>411.38744651873412</c:v>
                </c:pt>
                <c:pt idx="3">
                  <c:v>-15.744837311011338</c:v>
                </c:pt>
                <c:pt idx="4">
                  <c:v>536.67586536913552</c:v>
                </c:pt>
                <c:pt idx="5">
                  <c:v>-562.45748474857373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B-4B4C-8C9C-0728C535B8D9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2'!$C$7:$C$12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B-4B4C-8C9C-0728C535B8D9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3'!$C$7:$C$12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B-4B4C-8C9C-0728C535B8D9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4'!$C$7:$C$12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5B-4B4C-8C9C-0728C535B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29056"/>
        <c:axId val="195630592"/>
      </c:barChart>
      <c:catAx>
        <c:axId val="19562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 sz="1200"/>
            </a:pPr>
            <a:endParaRPr lang="nb-NO"/>
          </a:p>
        </c:txPr>
        <c:crossAx val="195630592"/>
        <c:crosses val="autoZero"/>
        <c:auto val="1"/>
        <c:lblAlgn val="ctr"/>
        <c:lblOffset val="100"/>
        <c:noMultiLvlLbl val="0"/>
      </c:catAx>
      <c:valAx>
        <c:axId val="195630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56290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 b="0">
                <a:solidFill>
                  <a:srgbClr val="FF0000"/>
                </a:solidFill>
              </a:rPr>
              <a:t>Tjenester innenfor</a:t>
            </a:r>
            <a:r>
              <a:rPr lang="en-US" sz="1400" b="0" baseline="0">
                <a:solidFill>
                  <a:srgbClr val="FF0000"/>
                </a:solidFill>
              </a:rPr>
              <a:t> inntektssystemet  </a:t>
            </a:r>
          </a:p>
          <a:p>
            <a:pPr>
              <a:defRPr sz="1400"/>
            </a:pPr>
            <a:r>
              <a:rPr lang="en-US" sz="1400" b="0">
                <a:solidFill>
                  <a:srgbClr val="FF0000"/>
                </a:solidFill>
              </a:rPr>
              <a:t>Fylkeskommunens ressursbruk korrigert for  forskjeller i utgiftsbehov m.m </a:t>
            </a:r>
            <a:endParaRPr lang="en-US" sz="1400" b="0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36896654550729"/>
          <c:y val="0.21502460115683031"/>
          <c:w val="0.88338894306584237"/>
          <c:h val="0.454872098667917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1'!$E$30:$E$35</c:f>
              <c:numCache>
                <c:formatCode>#,##0</c:formatCode>
                <c:ptCount val="6"/>
                <c:pt idx="0">
                  <c:v>-861.66466946276103</c:v>
                </c:pt>
                <c:pt idx="1">
                  <c:v>60.313726544190104</c:v>
                </c:pt>
                <c:pt idx="2">
                  <c:v>-88.958534286153736</c:v>
                </c:pt>
                <c:pt idx="3">
                  <c:v>-785.83849086639339</c:v>
                </c:pt>
                <c:pt idx="4">
                  <c:v>-128.29784440505989</c:v>
                </c:pt>
                <c:pt idx="5">
                  <c:v>81.116473550655883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6-42CA-9757-E4A8461BB363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2'!$E$30:$E$35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6-42CA-9757-E4A8461BB363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3'!$E$30:$E$35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16-42CA-9757-E4A8461BB363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4'!$E$30:$E$35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16-42CA-9757-E4A8461BB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55168"/>
        <c:axId val="195656704"/>
      </c:barChart>
      <c:catAx>
        <c:axId val="19565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400000" vert="horz"/>
          <a:lstStyle/>
          <a:p>
            <a:pPr>
              <a:defRPr sz="1200"/>
            </a:pPr>
            <a:endParaRPr lang="nb-NO"/>
          </a:p>
        </c:txPr>
        <c:crossAx val="195656704"/>
        <c:crosses val="autoZero"/>
        <c:auto val="1"/>
        <c:lblAlgn val="ctr"/>
        <c:lblOffset val="100"/>
        <c:noMultiLvlLbl val="0"/>
      </c:catAx>
      <c:valAx>
        <c:axId val="19565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56551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0.11917450365726227"/>
          <c:w val="0.99777937174434583"/>
          <c:h val="5.3562025358115502E-2"/>
        </c:manualLayout>
      </c:layout>
      <c:overlay val="0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 b="0">
                <a:solidFill>
                  <a:srgbClr val="FF0000"/>
                </a:solidFill>
              </a:rPr>
              <a:t>Ressursbruk</a:t>
            </a:r>
            <a:r>
              <a:rPr lang="en-US" sz="1400" b="0" baseline="0">
                <a:solidFill>
                  <a:srgbClr val="FF0000"/>
                </a:solidFill>
              </a:rPr>
              <a:t> øvrige tjenester</a:t>
            </a:r>
            <a:endParaRPr lang="en-US" sz="1400" b="0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19286903233331"/>
          <c:y val="0.17680363812877431"/>
          <c:w val="0.88478702174418966"/>
          <c:h val="0.4740371957941849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1'!$E$47:$E$53</c:f>
              <c:numCache>
                <c:formatCode>#,##0</c:formatCode>
                <c:ptCount val="7"/>
                <c:pt idx="0">
                  <c:v>411.38744651873441</c:v>
                </c:pt>
                <c:pt idx="1">
                  <c:v>30.183642315224574</c:v>
                </c:pt>
                <c:pt idx="2">
                  <c:v>-44.610579885720568</c:v>
                </c:pt>
                <c:pt idx="3">
                  <c:v>237.55629300660235</c:v>
                </c:pt>
                <c:pt idx="4">
                  <c:v>139.76240037231901</c:v>
                </c:pt>
                <c:pt idx="5">
                  <c:v>-0.86995852055184064</c:v>
                </c:pt>
                <c:pt idx="6">
                  <c:v>49.365649230860889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7-4691-90EB-9DF5DCEF7E1B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2'!$E$47:$E$53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7-4691-90EB-9DF5DCEF7E1B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3'!$E$47:$E$53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7-4691-90EB-9DF5DCEF7E1B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4'!$E$47:$E$53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47-4691-90EB-9DF5DCEF7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82848"/>
        <c:axId val="197584384"/>
      </c:barChart>
      <c:catAx>
        <c:axId val="19758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700000"/>
          <a:lstStyle/>
          <a:p>
            <a:pPr>
              <a:defRPr sz="1200"/>
            </a:pPr>
            <a:endParaRPr lang="nb-NO"/>
          </a:p>
        </c:txPr>
        <c:crossAx val="197584384"/>
        <c:crosses val="autoZero"/>
        <c:auto val="1"/>
        <c:lblAlgn val="ctr"/>
        <c:lblOffset val="100"/>
        <c:noMultiLvlLbl val="0"/>
      </c:catAx>
      <c:valAx>
        <c:axId val="19758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758284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21568"/>
        <c:axId val="198584576"/>
      </c:barChart>
      <c:catAx>
        <c:axId val="19222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8584576"/>
        <c:crosses val="autoZero"/>
        <c:auto val="1"/>
        <c:lblAlgn val="ctr"/>
        <c:lblOffset val="100"/>
        <c:noMultiLvlLbl val="0"/>
      </c:catAx>
      <c:valAx>
        <c:axId val="19858457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9222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nb-NO" sz="1400" b="0">
                <a:solidFill>
                  <a:srgbClr val="FF0000"/>
                </a:solidFill>
              </a:rPr>
              <a:t>Ressursbruk (prioritering) justert</a:t>
            </a:r>
            <a:r>
              <a:rPr lang="nb-NO" sz="1400" b="0" baseline="0">
                <a:solidFill>
                  <a:srgbClr val="FF0000"/>
                </a:solidFill>
              </a:rPr>
              <a:t> for  ulikheter i</a:t>
            </a:r>
            <a:r>
              <a:rPr lang="nb-NO" sz="1400" b="0">
                <a:solidFill>
                  <a:srgbClr val="FF0000"/>
                </a:solidFill>
              </a:rPr>
              <a:t> inntekt og utgiftsbehov </a:t>
            </a:r>
            <a:r>
              <a:rPr lang="nb-NO" sz="1200" b="1">
                <a:solidFill>
                  <a:schemeClr val="tx2">
                    <a:lumMod val="75000"/>
                  </a:schemeClr>
                </a:solidFill>
              </a:rPr>
              <a:t>sammenlignet</a:t>
            </a:r>
            <a:r>
              <a:rPr lang="nb-NO" sz="1200" b="1" baseline="0">
                <a:solidFill>
                  <a:schemeClr val="tx2">
                    <a:lumMod val="75000"/>
                  </a:schemeClr>
                </a:solidFill>
              </a:rPr>
              <a:t> </a:t>
            </a:r>
            <a:r>
              <a:rPr lang="nb-NO" sz="1200" b="1">
                <a:solidFill>
                  <a:schemeClr val="tx2">
                    <a:lumMod val="75000"/>
                  </a:schemeClr>
                </a:solidFill>
              </a:rPr>
              <a:t>med landsgjennomsnitt(=0) (kroner per innbygger)</a:t>
            </a:r>
          </a:p>
        </c:rich>
      </c:tx>
      <c:layout>
        <c:manualLayout>
          <c:xMode val="edge"/>
          <c:yMode val="edge"/>
          <c:x val="0.13367382767690716"/>
          <c:y val="1.04448743382925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1'!$D$8:$D$12</c:f>
              <c:numCache>
                <c:formatCode>#,##0</c:formatCode>
                <c:ptCount val="5"/>
                <c:pt idx="0">
                  <c:v>-446.47285571675798</c:v>
                </c:pt>
                <c:pt idx="1">
                  <c:v>454.92100576960229</c:v>
                </c:pt>
                <c:pt idx="2">
                  <c:v>-34.179581200125995</c:v>
                </c:pt>
                <c:pt idx="3">
                  <c:v>563.35043577237559</c:v>
                </c:pt>
                <c:pt idx="4">
                  <c:v>-537.61900462509368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A-43A4-A1F2-14BCA481C74C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2'!$D$8:$D$12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6A-43A4-A1F2-14BCA481C74C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3'!$D$8:$D$12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6A-43A4-A1F2-14BCA481C74C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4'!$D$8:$D$12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6A-43A4-A1F2-14BCA481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86816"/>
        <c:axId val="198388352"/>
      </c:barChart>
      <c:catAx>
        <c:axId val="19838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 sz="1200"/>
            </a:pPr>
            <a:endParaRPr lang="nb-NO"/>
          </a:p>
        </c:txPr>
        <c:crossAx val="198388352"/>
        <c:crosses val="autoZero"/>
        <c:auto val="1"/>
        <c:lblAlgn val="ctr"/>
        <c:lblOffset val="100"/>
        <c:noMultiLvlLbl val="0"/>
      </c:catAx>
      <c:valAx>
        <c:axId val="198388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83868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nb-NO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400"/>
            </a:pPr>
            <a:r>
              <a:rPr lang="en-US" sz="1400" b="1">
                <a:solidFill>
                  <a:srgbClr val="FF0000"/>
                </a:solidFill>
              </a:rPr>
              <a:t>Tjenester innenfor inntektssystemet  </a:t>
            </a:r>
          </a:p>
          <a:p>
            <a:pPr>
              <a:defRPr sz="1400"/>
            </a:pPr>
            <a:r>
              <a:rPr lang="en-US" sz="1400" b="1">
                <a:solidFill>
                  <a:srgbClr val="FF0000"/>
                </a:solidFill>
              </a:rPr>
              <a:t>Ressursbruk (prioritering)</a:t>
            </a:r>
            <a:r>
              <a:rPr lang="en-US" sz="1400" b="1" baseline="0">
                <a:solidFill>
                  <a:srgbClr val="FF0000"/>
                </a:solidFill>
              </a:rPr>
              <a:t> hensyntatt forskjeller i inntekter og utgiftsbehov</a:t>
            </a:r>
            <a:endParaRPr lang="en-US" sz="1400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3458520642083505"/>
          <c:y val="1.9661362699704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55019835116729"/>
          <c:y val="0.21562227469435441"/>
          <c:w val="0.87939020922944289"/>
          <c:h val="0.430032251164168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1'!$H$30:$H$35</c:f>
              <c:numCache>
                <c:formatCode>#,##0</c:formatCode>
                <c:ptCount val="6"/>
                <c:pt idx="0">
                  <c:v>-446.47285571675798</c:v>
                </c:pt>
                <c:pt idx="1">
                  <c:v>279.78642058930473</c:v>
                </c:pt>
                <c:pt idx="2">
                  <c:v>-26.518170776158968</c:v>
                </c:pt>
                <c:pt idx="3">
                  <c:v>-695.20008911618925</c:v>
                </c:pt>
                <c:pt idx="4">
                  <c:v>-104.9351716481749</c:v>
                </c:pt>
                <c:pt idx="5">
                  <c:v>100.39415523446041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B-4362-85F3-FB3B4D9966A4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2'!$H$30:$H$35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B-4362-85F3-FB3B4D9966A4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3'!$H$30:$H$35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FB-4362-85F3-FB3B4D9966A4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Kollektiv (buss, bane og båt)</c:v>
                </c:pt>
                <c:pt idx="4">
                  <c:v>Ferge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4'!$H$30:$H$35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FB-4362-85F3-FB3B4D996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15072"/>
        <c:axId val="199733248"/>
      </c:barChart>
      <c:catAx>
        <c:axId val="19971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nb-NO"/>
          </a:p>
        </c:txPr>
        <c:crossAx val="199733248"/>
        <c:crosses val="autoZero"/>
        <c:auto val="1"/>
        <c:lblAlgn val="ctr"/>
        <c:lblOffset val="100"/>
        <c:noMultiLvlLbl val="0"/>
      </c:catAx>
      <c:valAx>
        <c:axId val="19973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97150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Diagram1"/>
  <sheetViews>
    <sheetView zoomScale="118" workbookViewId="0" zoomToFit="1"/>
  </sheetViews>
  <sheetProtection algorithmName="SHA-512" hashValue="bqg1g0P5HbftmkpZuo6Br5PrTHWQiEPjeiB4Mob2KYdhUCaxImScHhhcw0v+hVJAdBSE+3m+VPxH2UVerfNcsw==" saltValue="9Fsdym/H2fVom862RkhVZw==" spinCount="100000" objects="1"/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Diagram5"/>
  <sheetViews>
    <sheetView zoomScale="130" workbookViewId="0" zoomToFit="1"/>
  </sheetViews>
  <sheetProtection algorithmName="SHA-512" hashValue="7KUjw889rTmeR73LF5JXVQ1ayIU7ghI5yOBAypcDWbqxMlV1VkfEbzHJBEidcbyuUjWDU9/NebFmYT+lBjHpNQ==" saltValue="La5uEE9wKZBD4Z6tmFpSww==" spinCount="100000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2"/>
  <sheetViews>
    <sheetView zoomScale="130" workbookViewId="0" zoomToFit="1"/>
  </sheetViews>
  <sheetProtection algorithmName="SHA-512" hashValue="5gjIqp3xuMFb5gmoxMKPnpL1Qtx9SdRsreBqFX/U1BMjwei+22fEKp8Wy49nxL7QpUInYTn8KqwRSl2my0fOjQ==" saltValue="COGJ7E+omLA2Gv9Vut3Yog==" spinCount="100000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118" workbookViewId="0" zoomToFit="1"/>
  </sheetViews>
  <sheetProtection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Diagram6"/>
  <sheetViews>
    <sheetView zoomScale="130" workbookViewId="0" zoomToFit="1"/>
  </sheetViews>
  <sheetProtection algorithmName="SHA-512" hashValue="6o2j/PI8Q/OnuAucHfJgdj1sSiWSKXRxw1HAmpx9eisYGA4sDN6DeDv1TiZFLytRSDeSrWeAtaeYsOOL6Buh0Q==" saltValue="KPguoMGqcBlCdDopFdDIhw==" spinCount="100000" objects="1"/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Diagram7"/>
  <sheetViews>
    <sheetView zoomScale="160" workbookViewId="0"/>
  </sheetViews>
  <sheetProtection algorithmName="SHA-512" hashValue="F5zUZluWvgFAeUy2yZLGb352T1HeNz84OY/ch6esGtAQ1BeBj1w+fto3db7F80EynTQY6T/+/jBb3roQEerbTQ==" saltValue="GQcJVgtL6Ps2R38wkd65jg==" spinCount="100000" objects="1"/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8"/>
  <sheetViews>
    <sheetView zoomScale="130" workbookViewId="0" zoomToFit="1"/>
  </sheetViews>
  <sheetProtection algorithmName="SHA-512" hashValue="6ICp3QsInEtlQ+wFoGTqRJSbXCY/R6/XVtztfm0ZRsGz2BOIZurxm2pK9LE0ynJnD31CTUVJB+ubPZhDTN2zNQ==" saltValue="VNsUO75fcWIQWKwKUN+L3w==" spinCount="100000" objects="1"/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9"/>
  <sheetViews>
    <sheetView zoomScale="130" workbookViewId="0" zoomToFit="1"/>
  </sheetViews>
  <sheetProtection objects="1"/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Diagram10"/>
  <sheetViews>
    <sheetView zoomScale="130" workbookViewId="0" zoomToFit="1"/>
  </sheetViews>
  <sheetProtection algorithmName="SHA-512" hashValue="FGwF9ZmsHlfMJe/Ju9F/fFjdzvJLxBZXowvxU64KmnbUeRQ47v8SvQ84MM4p/mOPI0zaZJpu24IGy/3JUpXsAA==" saltValue="iLAkzFPOxPCKN9Vrq7fIkA==" spinCount="100000" objects="1"/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Diagram3"/>
  <sheetViews>
    <sheetView zoomScale="130" workbookViewId="0" zoomToFit="1"/>
  </sheetViews>
  <sheetProtection algorithmName="SHA-512" hashValue="yVhE49MGIgdxJB2D0VPf8hCNYWoAOz/FoYK/tMMoBJDjDeLbsW3CVhx9iYWftyjP7qJor6wMYyo77kg7K/qIQw==" saltValue="2YqQ5plTgYBfN9oqM3y3/Q==" spinCount="100000" objects="1"/>
  <pageMargins left="0.7" right="0.7" top="0.75" bottom="0.75" header="0.3" footer="0.3"/>
  <pageSetup paperSize="9" orientation="landscape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AB8FB9ED-CA21-4562-89F6-03C87F6CFA4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304586" cy="6077107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0.28994</cdr:x>
      <cdr:y>0.93583</cdr:y>
    </cdr:from>
    <cdr:to>
      <cdr:x>0.86982</cdr:x>
      <cdr:y>0.98612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2157831" y="4549849"/>
          <a:ext cx="4315674" cy="244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2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0.22808</cdr:x>
      <cdr:y>0.948</cdr:y>
    </cdr:from>
    <cdr:to>
      <cdr:x>0.80795</cdr:x>
      <cdr:y>0.99829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2121311" y="5763049"/>
          <a:ext cx="5393303" cy="305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2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2DE9002-CB5C-43F0-A015-5536DDD11DA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304587" cy="6077107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1638" cy="60674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0.20983</cdr:x>
      <cdr:y>0.9375</cdr:y>
    </cdr:from>
    <cdr:to>
      <cdr:x>0.90588</cdr:x>
      <cdr:y>0.99775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1562100" y="4557713"/>
          <a:ext cx="5181970" cy="292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0.24906</cdr:x>
      <cdr:y>0.94971</cdr:y>
    </cdr:from>
    <cdr:to>
      <cdr:x>0.82893</cdr:x>
      <cdr:y>1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2316454" y="5773468"/>
          <a:ext cx="5393302" cy="305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2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I14"/>
  <sheetViews>
    <sheetView showGridLines="0" tabSelected="1" workbookViewId="0">
      <selection activeCell="B5" sqref="B5"/>
    </sheetView>
  </sheetViews>
  <sheetFormatPr baseColWidth="10" defaultRowHeight="14.4" x14ac:dyDescent="0.3"/>
  <cols>
    <col min="1" max="1" width="19.88671875" customWidth="1"/>
    <col min="2" max="2" width="18.5546875" bestFit="1" customWidth="1"/>
  </cols>
  <sheetData>
    <row r="1" spans="1:9" x14ac:dyDescent="0.3">
      <c r="I1" s="111">
        <f>B5/VLOOKUP(B$5,'2023 Nto driftsutg'!$A$5:$B$15,1,TRUE)</f>
        <v>1</v>
      </c>
    </row>
    <row r="2" spans="1:9" ht="25.8" x14ac:dyDescent="0.5">
      <c r="A2" s="72" t="s">
        <v>136</v>
      </c>
    </row>
    <row r="3" spans="1:9" ht="25.8" x14ac:dyDescent="0.5">
      <c r="A3" s="72"/>
    </row>
    <row r="5" spans="1:9" ht="26.25" customHeight="1" x14ac:dyDescent="0.5">
      <c r="A5" s="42" t="s">
        <v>1</v>
      </c>
      <c r="B5" s="92">
        <v>5000</v>
      </c>
      <c r="C5" s="115" t="str">
        <f>IF(B5=0,"",IF(I1=1,VLOOKUP(B5,Fylkeskommuner!$A$5:$B$15,2),"Kommunenr. er ikke i bruk"))</f>
        <v>TRØNDELAG</v>
      </c>
      <c r="D5" s="116"/>
      <c r="E5" s="116"/>
      <c r="F5" s="116"/>
      <c r="G5" s="116"/>
    </row>
    <row r="6" spans="1:9" ht="25.8" x14ac:dyDescent="0.5">
      <c r="A6" s="42"/>
      <c r="B6" s="42"/>
      <c r="C6" s="110" t="str">
        <f>IF(C5="Kommunenr. er ikke i bruk","NB! Sør- og Nord-Trøndelag er slått sammen til 5000 Trøndelag fra 2017","")</f>
        <v/>
      </c>
    </row>
    <row r="7" spans="1:9" ht="25.8" x14ac:dyDescent="0.5">
      <c r="A7" s="72" t="s">
        <v>339</v>
      </c>
      <c r="B7" s="42"/>
      <c r="C7" s="42"/>
    </row>
    <row r="9" spans="1:9" ht="25.8" x14ac:dyDescent="0.5">
      <c r="A9" s="42" t="s">
        <v>1</v>
      </c>
      <c r="B9" s="92"/>
      <c r="C9" s="115" t="str">
        <f>IF(B9=0,"",IF(I1=1,VLOOKUP(B9,Fylkeskommuner!$A$5:$B$15,2),"Kommunenr. er ikke i bruk"))</f>
        <v/>
      </c>
      <c r="D9" s="116"/>
      <c r="E9" s="116"/>
      <c r="F9" s="116"/>
      <c r="G9" s="116"/>
    </row>
    <row r="10" spans="1:9" x14ac:dyDescent="0.3">
      <c r="C10" s="110" t="str">
        <f>IF(C9="Kommunenr. er ikke i bruk","NB! Sør- og Nord-Trøndelag er slått sammen til 5000 Trøndelag fra 2017","")</f>
        <v/>
      </c>
    </row>
    <row r="11" spans="1:9" ht="25.8" x14ac:dyDescent="0.5">
      <c r="A11" s="42" t="s">
        <v>1</v>
      </c>
      <c r="B11" s="92"/>
      <c r="C11" s="115" t="str">
        <f>IF(B11=0,"",IF(I1=1,VLOOKUP(B11,Fylkeskommuner!$A$5:$B$15,2),"Kommunenr. er ikke i bruk"))</f>
        <v/>
      </c>
      <c r="D11" s="116"/>
      <c r="E11" s="116"/>
      <c r="F11" s="116"/>
      <c r="G11" s="116"/>
    </row>
    <row r="12" spans="1:9" x14ac:dyDescent="0.3">
      <c r="C12" s="110" t="str">
        <f>IF(C11="Kommunenr. er ikke i bruk","NB! Sør- og Nord-Trøndelag er slått sammen til 5000 Trøndelag fra 2017","")</f>
        <v/>
      </c>
    </row>
    <row r="13" spans="1:9" ht="25.8" x14ac:dyDescent="0.5">
      <c r="A13" s="42" t="s">
        <v>1</v>
      </c>
      <c r="B13" s="92"/>
      <c r="C13" s="115" t="str">
        <f>IF(B13=0,"",IF(I1=1,VLOOKUP(B13,Fylkeskommuner!$A$5:$B$15,2),"Kommunenr. er ikke i bruk"))</f>
        <v/>
      </c>
      <c r="D13" s="116"/>
      <c r="E13" s="116"/>
      <c r="F13" s="116"/>
      <c r="G13" s="116"/>
    </row>
    <row r="14" spans="1:9" x14ac:dyDescent="0.3">
      <c r="C14" s="110" t="str">
        <f>IF(C13="Kommunenr. er ikke i bruk","NB! Sør- og Nord-Trøndelag er slått sammen til 5000 Trøndelag fra 2017","")</f>
        <v/>
      </c>
    </row>
  </sheetData>
  <sheetProtection sheet="1" selectLockedCells="1"/>
  <mergeCells count="4">
    <mergeCell ref="C5:G5"/>
    <mergeCell ref="C9:G9"/>
    <mergeCell ref="C11:G11"/>
    <mergeCell ref="C13:G13"/>
  </mergeCells>
  <pageMargins left="0.7" right="0.7" top="0.75" bottom="0.75" header="0.3" footer="0.3"/>
  <ignoredErrors>
    <ignoredError sqref="C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9">
    <tabColor rgb="FFFFC000"/>
  </sheetPr>
  <dimension ref="A1:W18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20" width="13.109375" customWidth="1"/>
    <col min="21" max="21" width="5.44140625" customWidth="1"/>
    <col min="22" max="22" width="12.44140625" customWidth="1"/>
  </cols>
  <sheetData>
    <row r="1" spans="1:23" x14ac:dyDescent="0.3">
      <c r="I1" s="5"/>
    </row>
    <row r="2" spans="1:23" ht="104.25" customHeight="1" x14ac:dyDescent="0.3">
      <c r="A2" s="24" t="s">
        <v>2</v>
      </c>
      <c r="B2" s="24" t="s">
        <v>1</v>
      </c>
      <c r="C2" s="24" t="s">
        <v>26</v>
      </c>
      <c r="D2" s="24" t="s">
        <v>166</v>
      </c>
      <c r="E2" s="24" t="s">
        <v>167</v>
      </c>
      <c r="F2" s="24" t="s">
        <v>360</v>
      </c>
      <c r="G2" s="24" t="s">
        <v>357</v>
      </c>
      <c r="H2" s="24" t="s">
        <v>168</v>
      </c>
      <c r="I2" s="13" t="s">
        <v>28</v>
      </c>
      <c r="J2" s="24" t="s">
        <v>14</v>
      </c>
      <c r="K2" s="24" t="s">
        <v>169</v>
      </c>
      <c r="L2" s="24" t="s">
        <v>170</v>
      </c>
      <c r="M2" s="24" t="s">
        <v>15</v>
      </c>
      <c r="N2" s="24" t="s">
        <v>171</v>
      </c>
      <c r="O2" s="24" t="s">
        <v>172</v>
      </c>
      <c r="P2" s="24" t="s">
        <v>16</v>
      </c>
      <c r="Q2" s="24" t="s">
        <v>173</v>
      </c>
      <c r="R2" s="24" t="s">
        <v>13</v>
      </c>
      <c r="S2" s="24" t="s">
        <v>19</v>
      </c>
      <c r="T2" s="24" t="s">
        <v>20</v>
      </c>
      <c r="U2" s="24"/>
      <c r="V2" s="24"/>
      <c r="W2" s="24"/>
    </row>
    <row r="3" spans="1:23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>H3+1</f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/>
      <c r="W3" s="107"/>
    </row>
    <row r="4" spans="1:23" x14ac:dyDescent="0.3">
      <c r="I4" s="21"/>
    </row>
    <row r="5" spans="1:23" x14ac:dyDescent="0.3">
      <c r="A5" s="43">
        <v>300</v>
      </c>
      <c r="B5" s="44" t="s">
        <v>0</v>
      </c>
      <c r="C5" s="1">
        <f t="shared" ref="C5:C15" si="1">SUM(D5:I5)+R5+S5+T5</f>
        <v>8015423.8316516075</v>
      </c>
      <c r="D5" s="1">
        <f>+'2023 Nto driftsutg'!D5-'2023 Avskrivning'!D5</f>
        <v>3818129</v>
      </c>
      <c r="E5" s="1">
        <f>+'2023 Nto driftsutg'!E5-'2023 Avskrivning'!E5</f>
        <v>-181</v>
      </c>
      <c r="F5" s="1">
        <f>+'2023 Nto driftsutg'!F5-'2023 Avskrivning'!F5</f>
        <v>4098455</v>
      </c>
      <c r="G5" s="1">
        <f>+'2023 Nto driftsutg'!G5-'2023 Avskrivning'!G5</f>
        <v>0</v>
      </c>
      <c r="H5" s="1">
        <f>+'2023 Nto driftsutg'!H5-'2023 Avskrivning'!H5</f>
        <v>337761</v>
      </c>
      <c r="I5" s="11">
        <f t="shared" ref="I5:I15" si="2">SUM(J5:Q5)</f>
        <v>131342</v>
      </c>
      <c r="J5" s="1">
        <f>+'2023 Nto driftsutg'!J5-'2023 Avskrivning'!J5</f>
        <v>0</v>
      </c>
      <c r="K5" s="1">
        <f>+'2023 Nto driftsutg'!K5-'2023 Avskrivning'!K5</f>
        <v>166003</v>
      </c>
      <c r="L5" s="1">
        <f>+'2023 Nto driftsutg'!L5-'2023 Avskrivning'!L5</f>
        <v>0</v>
      </c>
      <c r="M5" s="1">
        <f>+'2023 Nto driftsutg'!M5-'2023 Avskrivning'!M5</f>
        <v>14531</v>
      </c>
      <c r="N5" s="1">
        <f>+'2023 Nto driftsutg'!N5-'2023 Avskrivning'!N5</f>
        <v>-49192</v>
      </c>
      <c r="O5" s="1">
        <f>+'2023 Nto driftsutg'!O5-'2023 Avskrivning'!O5</f>
        <v>0</v>
      </c>
      <c r="P5" s="1">
        <f>+'2023 Nto driftsutg'!P5-'2023 Avskrivning'!P5</f>
        <v>0</v>
      </c>
      <c r="Q5" s="1">
        <f>+'2023 Nto driftsutg'!Q5-'2023 Avskrivning'!Q5</f>
        <v>0</v>
      </c>
      <c r="R5" s="1">
        <f>+'2023 Nto driftsutg'!R5-'2023 Avskrivning'!R5</f>
        <v>-656025.221676777</v>
      </c>
      <c r="S5" s="1">
        <f>+'2023 Nto driftsutg'!S5</f>
        <v>380793.02942331578</v>
      </c>
      <c r="T5" s="1">
        <f>+'2023 Nto driftsutg'!T5</f>
        <v>-94849.976094931699</v>
      </c>
      <c r="V5" s="1"/>
      <c r="W5" s="1"/>
    </row>
    <row r="6" spans="1:23" x14ac:dyDescent="0.3">
      <c r="A6" s="43">
        <v>1100</v>
      </c>
      <c r="B6" s="44" t="s">
        <v>141</v>
      </c>
      <c r="C6" s="1">
        <f t="shared" si="1"/>
        <v>7449664</v>
      </c>
      <c r="D6" s="1">
        <f>+'2023 Nto driftsutg'!D6-'2023 Avskrivning'!D6</f>
        <v>3685512</v>
      </c>
      <c r="E6" s="1">
        <f>+'2023 Nto driftsutg'!E6-'2023 Avskrivning'!E6</f>
        <v>850100</v>
      </c>
      <c r="F6" s="1">
        <f>+'2023 Nto driftsutg'!F6-'2023 Avskrivning'!F6</f>
        <v>956282</v>
      </c>
      <c r="G6" s="1">
        <f>+'2023 Nto driftsutg'!G6-'2023 Avskrivning'!G6</f>
        <v>321797</v>
      </c>
      <c r="H6" s="1">
        <f>+'2023 Nto driftsutg'!H6-'2023 Avskrivning'!H6</f>
        <v>330234</v>
      </c>
      <c r="I6" s="11">
        <f t="shared" si="2"/>
        <v>562760</v>
      </c>
      <c r="J6" s="1">
        <f>+'2023 Nto driftsutg'!J6-'2023 Avskrivning'!J6</f>
        <v>0</v>
      </c>
      <c r="K6" s="1">
        <f>+'2023 Nto driftsutg'!K6-'2023 Avskrivning'!K6</f>
        <v>325540</v>
      </c>
      <c r="L6" s="1">
        <f>+'2023 Nto driftsutg'!L6-'2023 Avskrivning'!L6</f>
        <v>97879</v>
      </c>
      <c r="M6" s="1">
        <f>+'2023 Nto driftsutg'!M6-'2023 Avskrivning'!M6</f>
        <v>-70325</v>
      </c>
      <c r="N6" s="1">
        <f>+'2023 Nto driftsutg'!N6-'2023 Avskrivning'!N6</f>
        <v>201705</v>
      </c>
      <c r="O6" s="1">
        <f>+'2023 Nto driftsutg'!O6-'2023 Avskrivning'!O6</f>
        <v>0</v>
      </c>
      <c r="P6" s="1">
        <f>+'2023 Nto driftsutg'!P6-'2023 Avskrivning'!P6</f>
        <v>7961</v>
      </c>
      <c r="Q6" s="1">
        <f>+'2023 Nto driftsutg'!Q6-'2023 Avskrivning'!Q6</f>
        <v>0</v>
      </c>
      <c r="R6" s="1">
        <f>+'2023 Nto driftsutg'!R6-'2023 Avskrivning'!R6</f>
        <v>-272716</v>
      </c>
      <c r="S6" s="1">
        <f>+'2023 Nto driftsutg'!S6</f>
        <v>464920</v>
      </c>
      <c r="T6" s="1">
        <f>+'2023 Nto driftsutg'!T6</f>
        <v>550775</v>
      </c>
      <c r="V6" s="1"/>
      <c r="W6" s="1"/>
    </row>
    <row r="7" spans="1:23" x14ac:dyDescent="0.3">
      <c r="A7" s="43">
        <v>1500</v>
      </c>
      <c r="B7" s="44" t="s">
        <v>142</v>
      </c>
      <c r="C7" s="1">
        <f t="shared" si="1"/>
        <v>5792950</v>
      </c>
      <c r="D7" s="1">
        <f>+'2023 Nto driftsutg'!D7-'2023 Avskrivning'!D7</f>
        <v>2026227</v>
      </c>
      <c r="E7" s="1">
        <f>+'2023 Nto driftsutg'!E7-'2023 Avskrivning'!E7</f>
        <v>906696</v>
      </c>
      <c r="F7" s="1">
        <f>+'2023 Nto driftsutg'!F7-'2023 Avskrivning'!F7</f>
        <v>781121</v>
      </c>
      <c r="G7" s="1">
        <f>+'2023 Nto driftsutg'!G7-'2023 Avskrivning'!G7</f>
        <v>871123</v>
      </c>
      <c r="H7" s="1">
        <f>+'2023 Nto driftsutg'!H7-'2023 Avskrivning'!H7</f>
        <v>210517</v>
      </c>
      <c r="I7" s="11">
        <f t="shared" si="2"/>
        <v>601667</v>
      </c>
      <c r="J7" s="1">
        <f>+'2023 Nto driftsutg'!J7-'2023 Avskrivning'!J7</f>
        <v>0</v>
      </c>
      <c r="K7" s="1">
        <f>+'2023 Nto driftsutg'!K7-'2023 Avskrivning'!K7</f>
        <v>276066</v>
      </c>
      <c r="L7" s="1">
        <f>+'2023 Nto driftsutg'!L7-'2023 Avskrivning'!L7</f>
        <v>91538</v>
      </c>
      <c r="M7" s="1">
        <f>+'2023 Nto driftsutg'!M7-'2023 Avskrivning'!M7</f>
        <v>117206</v>
      </c>
      <c r="N7" s="1">
        <f>+'2023 Nto driftsutg'!N7-'2023 Avskrivning'!N7</f>
        <v>114527</v>
      </c>
      <c r="O7" s="1">
        <f>+'2023 Nto driftsutg'!O7-'2023 Avskrivning'!O7</f>
        <v>0</v>
      </c>
      <c r="P7" s="1">
        <f>+'2023 Nto driftsutg'!P7-'2023 Avskrivning'!P7</f>
        <v>2330</v>
      </c>
      <c r="Q7" s="1">
        <f>+'2023 Nto driftsutg'!Q7-'2023 Avskrivning'!Q7</f>
        <v>0</v>
      </c>
      <c r="R7" s="1">
        <f>+'2023 Nto driftsutg'!R7-'2023 Avskrivning'!R7</f>
        <v>-182410</v>
      </c>
      <c r="S7" s="1">
        <f>+'2023 Nto driftsutg'!S7</f>
        <v>519665</v>
      </c>
      <c r="T7" s="1">
        <f>+'2023 Nto driftsutg'!T7</f>
        <v>58344</v>
      </c>
      <c r="V7" s="1"/>
      <c r="W7" s="1"/>
    </row>
    <row r="8" spans="1:23" x14ac:dyDescent="0.3">
      <c r="A8" s="43">
        <v>1800</v>
      </c>
      <c r="B8" s="44" t="s">
        <v>143</v>
      </c>
      <c r="C8" s="1">
        <f t="shared" si="1"/>
        <v>6296643</v>
      </c>
      <c r="D8" s="1">
        <f>+'2023 Nto driftsutg'!D8-'2023 Avskrivning'!D8</f>
        <v>2088674</v>
      </c>
      <c r="E8" s="1">
        <f>+'2023 Nto driftsutg'!E8-'2023 Avskrivning'!E8</f>
        <v>842551</v>
      </c>
      <c r="F8" s="1">
        <f>+'2023 Nto driftsutg'!F8-'2023 Avskrivning'!F8</f>
        <v>1011783</v>
      </c>
      <c r="G8" s="1">
        <f>+'2023 Nto driftsutg'!G8-'2023 Avskrivning'!G8</f>
        <v>900446</v>
      </c>
      <c r="H8" s="1">
        <f>+'2023 Nto driftsutg'!H8-'2023 Avskrivning'!H8</f>
        <v>230605</v>
      </c>
      <c r="I8" s="11">
        <f t="shared" si="2"/>
        <v>790443</v>
      </c>
      <c r="J8" s="1">
        <f>+'2023 Nto driftsutg'!J8-'2023 Avskrivning'!J8</f>
        <v>0</v>
      </c>
      <c r="K8" s="1">
        <f>+'2023 Nto driftsutg'!K8-'2023 Avskrivning'!K8</f>
        <v>397180</v>
      </c>
      <c r="L8" s="1">
        <f>+'2023 Nto driftsutg'!L8-'2023 Avskrivning'!L8</f>
        <v>79320</v>
      </c>
      <c r="M8" s="1">
        <f>+'2023 Nto driftsutg'!M8-'2023 Avskrivning'!M8</f>
        <v>176996</v>
      </c>
      <c r="N8" s="1">
        <f>+'2023 Nto driftsutg'!N8-'2023 Avskrivning'!N8</f>
        <v>137000</v>
      </c>
      <c r="O8" s="1">
        <f>+'2023 Nto driftsutg'!O8-'2023 Avskrivning'!O8</f>
        <v>7</v>
      </c>
      <c r="P8" s="1">
        <f>+'2023 Nto driftsutg'!P8-'2023 Avskrivning'!P8</f>
        <v>-60</v>
      </c>
      <c r="Q8" s="1">
        <f>+'2023 Nto driftsutg'!Q8-'2023 Avskrivning'!Q8</f>
        <v>0</v>
      </c>
      <c r="R8" s="1">
        <f>+'2023 Nto driftsutg'!R8-'2023 Avskrivning'!R8</f>
        <v>-200862</v>
      </c>
      <c r="S8" s="1">
        <f>+'2023 Nto driftsutg'!S8</f>
        <v>259498</v>
      </c>
      <c r="T8" s="1">
        <f>+'2023 Nto driftsutg'!T8</f>
        <v>373505</v>
      </c>
      <c r="V8" s="1"/>
      <c r="W8" s="1"/>
    </row>
    <row r="9" spans="1:23" x14ac:dyDescent="0.3">
      <c r="A9" s="43">
        <v>3000</v>
      </c>
      <c r="B9" s="44" t="s">
        <v>341</v>
      </c>
      <c r="C9" s="1">
        <f t="shared" si="1"/>
        <v>16382106</v>
      </c>
      <c r="D9" s="1">
        <f>+'2023 Nto driftsutg'!D9-'2023 Avskrivning'!D9</f>
        <v>9019683</v>
      </c>
      <c r="E9" s="1">
        <f>+'2023 Nto driftsutg'!E9-'2023 Avskrivning'!E9</f>
        <v>1829219</v>
      </c>
      <c r="F9" s="1">
        <f>+'2023 Nto driftsutg'!F9-'2023 Avskrivning'!F9</f>
        <v>2675425</v>
      </c>
      <c r="G9" s="1">
        <f>+'2023 Nto driftsutg'!G9-'2023 Avskrivning'!G9</f>
        <v>0</v>
      </c>
      <c r="H9" s="1">
        <f>+'2023 Nto driftsutg'!H9-'2023 Avskrivning'!H9</f>
        <v>581829</v>
      </c>
      <c r="I9" s="11">
        <f t="shared" si="2"/>
        <v>2049954</v>
      </c>
      <c r="J9" s="1">
        <f>+'2023 Nto driftsutg'!J9-'2023 Avskrivning'!J9</f>
        <v>0</v>
      </c>
      <c r="K9" s="1">
        <f>+'2023 Nto driftsutg'!K9-'2023 Avskrivning'!K9</f>
        <v>1318484</v>
      </c>
      <c r="L9" s="1">
        <f>+'2023 Nto driftsutg'!L9-'2023 Avskrivning'!L9</f>
        <v>203360</v>
      </c>
      <c r="M9" s="1">
        <f>+'2023 Nto driftsutg'!M9-'2023 Avskrivning'!M9</f>
        <v>119478</v>
      </c>
      <c r="N9" s="1">
        <f>+'2023 Nto driftsutg'!N9-'2023 Avskrivning'!N9</f>
        <v>404083</v>
      </c>
      <c r="O9" s="1">
        <f>+'2023 Nto driftsutg'!O9-'2023 Avskrivning'!O9</f>
        <v>4820</v>
      </c>
      <c r="P9" s="1">
        <f>+'2023 Nto driftsutg'!P9-'2023 Avskrivning'!P9</f>
        <v>-271</v>
      </c>
      <c r="Q9" s="1">
        <f>+'2023 Nto driftsutg'!Q9-'2023 Avskrivning'!Q9</f>
        <v>0</v>
      </c>
      <c r="R9" s="1">
        <f>+'2023 Nto driftsutg'!R9-'2023 Avskrivning'!R9</f>
        <v>-609560</v>
      </c>
      <c r="S9" s="1">
        <f>+'2023 Nto driftsutg'!S9</f>
        <v>119091</v>
      </c>
      <c r="T9" s="1">
        <f>+'2023 Nto driftsutg'!T9</f>
        <v>716465</v>
      </c>
      <c r="V9" s="1"/>
      <c r="W9" s="1"/>
    </row>
    <row r="10" spans="1:23" x14ac:dyDescent="0.3">
      <c r="A10" s="43">
        <v>3400</v>
      </c>
      <c r="B10" s="44" t="s">
        <v>342</v>
      </c>
      <c r="C10" s="1">
        <f t="shared" si="1"/>
        <v>6241061</v>
      </c>
      <c r="D10" s="1">
        <f>+'2023 Nto driftsutg'!D10-'2023 Avskrivning'!D10</f>
        <v>2717580</v>
      </c>
      <c r="E10" s="1">
        <f>+'2023 Nto driftsutg'!E10-'2023 Avskrivning'!E10</f>
        <v>1233342</v>
      </c>
      <c r="F10" s="1">
        <f>+'2023 Nto driftsutg'!F10-'2023 Avskrivning'!F10</f>
        <v>881253</v>
      </c>
      <c r="G10" s="1">
        <f>+'2023 Nto driftsutg'!G10-'2023 Avskrivning'!G10</f>
        <v>17466</v>
      </c>
      <c r="H10" s="1">
        <f>+'2023 Nto driftsutg'!H10-'2023 Avskrivning'!H10</f>
        <v>247321</v>
      </c>
      <c r="I10" s="11">
        <f t="shared" si="2"/>
        <v>818223</v>
      </c>
      <c r="J10" s="1">
        <f>+'2023 Nto driftsutg'!J10-'2023 Avskrivning'!J10</f>
        <v>0</v>
      </c>
      <c r="K10" s="1">
        <f>+'2023 Nto driftsutg'!K10-'2023 Avskrivning'!K10</f>
        <v>403866</v>
      </c>
      <c r="L10" s="1">
        <f>+'2023 Nto driftsutg'!L10-'2023 Avskrivning'!L10</f>
        <v>134581</v>
      </c>
      <c r="M10" s="1">
        <f>+'2023 Nto driftsutg'!M10-'2023 Avskrivning'!M10</f>
        <v>109410</v>
      </c>
      <c r="N10" s="1">
        <f>+'2023 Nto driftsutg'!N10-'2023 Avskrivning'!N10</f>
        <v>165973</v>
      </c>
      <c r="O10" s="1">
        <f>+'2023 Nto driftsutg'!O10-'2023 Avskrivning'!O10</f>
        <v>0</v>
      </c>
      <c r="P10" s="1">
        <f>+'2023 Nto driftsutg'!P10-'2023 Avskrivning'!P10</f>
        <v>4393</v>
      </c>
      <c r="Q10" s="1">
        <f>+'2023 Nto driftsutg'!Q10-'2023 Avskrivning'!Q10</f>
        <v>0</v>
      </c>
      <c r="R10" s="1">
        <f>+'2023 Nto driftsutg'!R10-'2023 Avskrivning'!R10</f>
        <v>-276193</v>
      </c>
      <c r="S10" s="1">
        <f>+'2023 Nto driftsutg'!S10</f>
        <v>170354</v>
      </c>
      <c r="T10" s="1">
        <f>+'2023 Nto driftsutg'!T10</f>
        <v>431715</v>
      </c>
      <c r="V10" s="1"/>
      <c r="W10" s="1"/>
    </row>
    <row r="11" spans="1:23" x14ac:dyDescent="0.3">
      <c r="A11" s="43">
        <v>3800</v>
      </c>
      <c r="B11" s="44" t="s">
        <v>343</v>
      </c>
      <c r="C11" s="1">
        <f t="shared" si="1"/>
        <v>6062483</v>
      </c>
      <c r="D11" s="1">
        <f>+'2023 Nto driftsutg'!D11-'2023 Avskrivning'!D11</f>
        <v>3138956</v>
      </c>
      <c r="E11" s="1">
        <f>+'2023 Nto driftsutg'!E11-'2023 Avskrivning'!E11</f>
        <v>855339</v>
      </c>
      <c r="F11" s="1">
        <f>+'2023 Nto driftsutg'!F11-'2023 Avskrivning'!F11</f>
        <v>718847</v>
      </c>
      <c r="G11" s="1">
        <f>+'2023 Nto driftsutg'!G11-'2023 Avskrivning'!G11</f>
        <v>45498</v>
      </c>
      <c r="H11" s="1">
        <f>+'2023 Nto driftsutg'!H11-'2023 Avskrivning'!H11</f>
        <v>282086</v>
      </c>
      <c r="I11" s="11">
        <f t="shared" si="2"/>
        <v>827652</v>
      </c>
      <c r="J11" s="1">
        <f>+'2023 Nto driftsutg'!J11-'2023 Avskrivning'!J11</f>
        <v>0</v>
      </c>
      <c r="K11" s="1">
        <f>+'2023 Nto driftsutg'!K11-'2023 Avskrivning'!K11</f>
        <v>331398</v>
      </c>
      <c r="L11" s="1">
        <f>+'2023 Nto driftsutg'!L11-'2023 Avskrivning'!L11</f>
        <v>158675</v>
      </c>
      <c r="M11" s="1">
        <f>+'2023 Nto driftsutg'!M11-'2023 Avskrivning'!M11</f>
        <v>144058</v>
      </c>
      <c r="N11" s="1">
        <f>+'2023 Nto driftsutg'!N11-'2023 Avskrivning'!N11</f>
        <v>191040</v>
      </c>
      <c r="O11" s="1">
        <f>+'2023 Nto driftsutg'!O11-'2023 Avskrivning'!O11</f>
        <v>-30</v>
      </c>
      <c r="P11" s="1">
        <f>+'2023 Nto driftsutg'!P11-'2023 Avskrivning'!P11</f>
        <v>2511</v>
      </c>
      <c r="Q11" s="1">
        <f>+'2023 Nto driftsutg'!Q11-'2023 Avskrivning'!Q11</f>
        <v>0</v>
      </c>
      <c r="R11" s="1">
        <f>+'2023 Nto driftsutg'!R11-'2023 Avskrivning'!R11</f>
        <v>-302629</v>
      </c>
      <c r="S11" s="1">
        <f>+'2023 Nto driftsutg'!S11</f>
        <v>320334</v>
      </c>
      <c r="T11" s="1">
        <f>+'2023 Nto driftsutg'!T11</f>
        <v>176400</v>
      </c>
      <c r="V11" s="1"/>
      <c r="W11" s="1"/>
    </row>
    <row r="12" spans="1:23" x14ac:dyDescent="0.3">
      <c r="A12" s="43">
        <v>4200</v>
      </c>
      <c r="B12" s="44" t="s">
        <v>344</v>
      </c>
      <c r="C12" s="1">
        <f t="shared" si="1"/>
        <v>4916008</v>
      </c>
      <c r="D12" s="1">
        <f>+'2023 Nto driftsutg'!D12-'2023 Avskrivning'!D12</f>
        <v>2564404</v>
      </c>
      <c r="E12" s="1">
        <f>+'2023 Nto driftsutg'!E12-'2023 Avskrivning'!E12</f>
        <v>783276</v>
      </c>
      <c r="F12" s="1">
        <f>+'2023 Nto driftsutg'!F12-'2023 Avskrivning'!F12</f>
        <v>638206</v>
      </c>
      <c r="G12" s="1">
        <f>+'2023 Nto driftsutg'!G12-'2023 Avskrivning'!G12</f>
        <v>52436</v>
      </c>
      <c r="H12" s="1">
        <f>+'2023 Nto driftsutg'!H12-'2023 Avskrivning'!H12</f>
        <v>201489</v>
      </c>
      <c r="I12" s="11">
        <f t="shared" si="2"/>
        <v>74437</v>
      </c>
      <c r="J12" s="1">
        <f>+'2023 Nto driftsutg'!J12-'2023 Avskrivning'!J12</f>
        <v>0</v>
      </c>
      <c r="K12" s="1">
        <f>+'2023 Nto driftsutg'!K12-'2023 Avskrivning'!K12</f>
        <v>356267</v>
      </c>
      <c r="L12" s="1">
        <f>+'2023 Nto driftsutg'!L12-'2023 Avskrivning'!L12</f>
        <v>185168</v>
      </c>
      <c r="M12" s="1">
        <f>+'2023 Nto driftsutg'!M12-'2023 Avskrivning'!M12</f>
        <v>-655773</v>
      </c>
      <c r="N12" s="1">
        <f>+'2023 Nto driftsutg'!N12-'2023 Avskrivning'!N12</f>
        <v>169778</v>
      </c>
      <c r="O12" s="1">
        <f>+'2023 Nto driftsutg'!O12-'2023 Avskrivning'!O12</f>
        <v>0</v>
      </c>
      <c r="P12" s="1">
        <f>+'2023 Nto driftsutg'!P12-'2023 Avskrivning'!P12</f>
        <v>18997</v>
      </c>
      <c r="Q12" s="1">
        <f>+'2023 Nto driftsutg'!Q12-'2023 Avskrivning'!Q12</f>
        <v>0</v>
      </c>
      <c r="R12" s="1">
        <f>+'2023 Nto driftsutg'!R12-'2023 Avskrivning'!R12</f>
        <v>-248648</v>
      </c>
      <c r="S12" s="1">
        <f>+'2023 Nto driftsutg'!S12</f>
        <v>373925</v>
      </c>
      <c r="T12" s="1">
        <f>+'2023 Nto driftsutg'!T12</f>
        <v>476483</v>
      </c>
      <c r="V12" s="1"/>
      <c r="W12" s="1"/>
    </row>
    <row r="13" spans="1:23" x14ac:dyDescent="0.3">
      <c r="A13" s="43">
        <v>4600</v>
      </c>
      <c r="B13" s="44" t="s">
        <v>345</v>
      </c>
      <c r="C13" s="1">
        <f t="shared" si="1"/>
        <v>12103286</v>
      </c>
      <c r="D13" s="1">
        <f>+'2023 Nto driftsutg'!D13-'2023 Avskrivning'!D13</f>
        <v>4349711</v>
      </c>
      <c r="E13" s="1">
        <f>+'2023 Nto driftsutg'!E13-'2023 Avskrivning'!E13</f>
        <v>1614382</v>
      </c>
      <c r="F13" s="1">
        <f>+'2023 Nto driftsutg'!F13-'2023 Avskrivning'!F13</f>
        <v>2145022</v>
      </c>
      <c r="G13" s="1">
        <f>+'2023 Nto driftsutg'!G13-'2023 Avskrivning'!G13</f>
        <v>1116590</v>
      </c>
      <c r="H13" s="1">
        <f>+'2023 Nto driftsutg'!H13-'2023 Avskrivning'!H13</f>
        <v>400845</v>
      </c>
      <c r="I13" s="11">
        <f t="shared" si="2"/>
        <v>628586</v>
      </c>
      <c r="J13" s="1">
        <f>+'2023 Nto driftsutg'!J13-'2023 Avskrivning'!J13</f>
        <v>0</v>
      </c>
      <c r="K13" s="1">
        <f>+'2023 Nto driftsutg'!K13-'2023 Avskrivning'!K13</f>
        <v>572822</v>
      </c>
      <c r="L13" s="1">
        <f>+'2023 Nto driftsutg'!L13-'2023 Avskrivning'!L13</f>
        <v>121938</v>
      </c>
      <c r="M13" s="1">
        <f>+'2023 Nto driftsutg'!M13-'2023 Avskrivning'!M13</f>
        <v>-404213</v>
      </c>
      <c r="N13" s="1">
        <f>+'2023 Nto driftsutg'!N13-'2023 Avskrivning'!N13</f>
        <v>338038</v>
      </c>
      <c r="O13" s="1">
        <f>+'2023 Nto driftsutg'!O13-'2023 Avskrivning'!O13</f>
        <v>0</v>
      </c>
      <c r="P13" s="1">
        <f>+'2023 Nto driftsutg'!P13-'2023 Avskrivning'!P13</f>
        <v>1</v>
      </c>
      <c r="Q13" s="1">
        <f>+'2023 Nto driftsutg'!Q13-'2023 Avskrivning'!Q13</f>
        <v>0</v>
      </c>
      <c r="R13" s="1">
        <f>+'2023 Nto driftsutg'!R13-'2023 Avskrivning'!R13</f>
        <v>-129001</v>
      </c>
      <c r="S13" s="1">
        <f>+'2023 Nto driftsutg'!S13</f>
        <v>1120025</v>
      </c>
      <c r="T13" s="1">
        <f>+'2023 Nto driftsutg'!T13</f>
        <v>857126</v>
      </c>
      <c r="V13" s="1"/>
      <c r="W13" s="1"/>
    </row>
    <row r="14" spans="1:23" x14ac:dyDescent="0.3">
      <c r="A14" s="43">
        <v>5000</v>
      </c>
      <c r="B14" s="44" t="s">
        <v>340</v>
      </c>
      <c r="C14" s="1">
        <f t="shared" si="1"/>
        <v>7981997</v>
      </c>
      <c r="D14" s="1">
        <f>+'2023 Nto driftsutg'!D14-'2023 Avskrivning'!D14</f>
        <v>3490693</v>
      </c>
      <c r="E14" s="1">
        <f>+'2023 Nto driftsutg'!E14-'2023 Avskrivning'!E14</f>
        <v>1186177</v>
      </c>
      <c r="F14" s="1">
        <f>+'2023 Nto driftsutg'!F14-'2023 Avskrivning'!F14</f>
        <v>1153794</v>
      </c>
      <c r="G14" s="1">
        <f>+'2023 Nto driftsutg'!G14-'2023 Avskrivning'!G14</f>
        <v>320246</v>
      </c>
      <c r="H14" s="1">
        <f>+'2023 Nto driftsutg'!H14-'2023 Avskrivning'!H14</f>
        <v>339913</v>
      </c>
      <c r="I14" s="11">
        <f t="shared" si="2"/>
        <v>837570</v>
      </c>
      <c r="J14" s="1">
        <f>+'2023 Nto driftsutg'!J14-'2023 Avskrivning'!J14</f>
        <v>0</v>
      </c>
      <c r="K14" s="1">
        <f>+'2023 Nto driftsutg'!K14-'2023 Avskrivning'!K14</f>
        <v>408833</v>
      </c>
      <c r="L14" s="1">
        <f>+'2023 Nto driftsutg'!L14-'2023 Avskrivning'!L14</f>
        <v>89766</v>
      </c>
      <c r="M14" s="1">
        <f>+'2023 Nto driftsutg'!M14-'2023 Avskrivning'!M14</f>
        <v>91330</v>
      </c>
      <c r="N14" s="1">
        <f>+'2023 Nto driftsutg'!N14-'2023 Avskrivning'!N14</f>
        <v>247639</v>
      </c>
      <c r="O14" s="1">
        <f>+'2023 Nto driftsutg'!O14-'2023 Avskrivning'!O14</f>
        <v>0</v>
      </c>
      <c r="P14" s="1">
        <f>+'2023 Nto driftsutg'!P14-'2023 Avskrivning'!P14</f>
        <v>2</v>
      </c>
      <c r="Q14" s="1">
        <f>+'2023 Nto driftsutg'!Q14-'2023 Avskrivning'!Q14</f>
        <v>0</v>
      </c>
      <c r="R14" s="1">
        <f>+'2023 Nto driftsutg'!R14-'2023 Avskrivning'!R14</f>
        <v>-131740</v>
      </c>
      <c r="S14" s="1">
        <f>+'2023 Nto driftsutg'!S14</f>
        <v>670921</v>
      </c>
      <c r="T14" s="1">
        <f>+'2023 Nto driftsutg'!T14</f>
        <v>114423</v>
      </c>
      <c r="V14" s="1"/>
      <c r="W14" s="1"/>
    </row>
    <row r="15" spans="1:23" x14ac:dyDescent="0.3">
      <c r="A15" s="43">
        <v>5400</v>
      </c>
      <c r="B15" s="44" t="s">
        <v>346</v>
      </c>
      <c r="C15" s="1">
        <f t="shared" si="1"/>
        <v>6169239</v>
      </c>
      <c r="D15" s="1">
        <f>+'2023 Nto driftsutg'!D15-'2023 Avskrivning'!D15</f>
        <v>2108470</v>
      </c>
      <c r="E15" s="1">
        <f>+'2023 Nto driftsutg'!E15-'2023 Avskrivning'!E15</f>
        <v>996954</v>
      </c>
      <c r="F15" s="1">
        <f>+'2023 Nto driftsutg'!F15-'2023 Avskrivning'!F15</f>
        <v>1049453</v>
      </c>
      <c r="G15" s="1">
        <f>+'2023 Nto driftsutg'!G15-'2023 Avskrivning'!G15</f>
        <v>506769</v>
      </c>
      <c r="H15" s="1">
        <f>+'2023 Nto driftsutg'!H15-'2023 Avskrivning'!H15</f>
        <v>263724</v>
      </c>
      <c r="I15" s="11">
        <f t="shared" si="2"/>
        <v>414815</v>
      </c>
      <c r="J15" s="1">
        <f>+'2023 Nto driftsutg'!J15-'2023 Avskrivning'!J15</f>
        <v>0</v>
      </c>
      <c r="K15" s="1">
        <f>+'2023 Nto driftsutg'!K15-'2023 Avskrivning'!K15</f>
        <v>349869</v>
      </c>
      <c r="L15" s="1">
        <f>+'2023 Nto driftsutg'!L15-'2023 Avskrivning'!L15</f>
        <v>119848</v>
      </c>
      <c r="M15" s="1">
        <f>+'2023 Nto driftsutg'!M15-'2023 Avskrivning'!M15</f>
        <v>94675</v>
      </c>
      <c r="N15" s="1">
        <f>+'2023 Nto driftsutg'!N15-'2023 Avskrivning'!N15</f>
        <v>158469</v>
      </c>
      <c r="O15" s="1">
        <f>+'2023 Nto driftsutg'!O15-'2023 Avskrivning'!O15</f>
        <v>0</v>
      </c>
      <c r="P15" s="1">
        <f>+'2023 Nto driftsutg'!P15-'2023 Avskrivning'!P15</f>
        <v>-308046</v>
      </c>
      <c r="Q15" s="1">
        <f>+'2023 Nto driftsutg'!Q15-'2023 Avskrivning'!Q15</f>
        <v>0</v>
      </c>
      <c r="R15" s="1">
        <f>+'2023 Nto driftsutg'!R15-'2023 Avskrivning'!R15</f>
        <v>-266720</v>
      </c>
      <c r="S15" s="1">
        <f>+'2023 Nto driftsutg'!S15</f>
        <v>341486</v>
      </c>
      <c r="T15" s="1">
        <f>+'2023 Nto driftsutg'!T15</f>
        <v>754288</v>
      </c>
      <c r="V15" s="1"/>
      <c r="W15" s="1"/>
    </row>
    <row r="16" spans="1:23" x14ac:dyDescent="0.3">
      <c r="C16" s="1"/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3" x14ac:dyDescent="0.3">
      <c r="B17" s="1" t="s">
        <v>3</v>
      </c>
      <c r="C17" s="1">
        <f>+'2023 Nto driftsutg'!C17-'2023 Avskrivning'!C17</f>
        <v>87410860.831651598</v>
      </c>
      <c r="D17" s="1">
        <f t="shared" ref="D17:T17" si="3">SUM(D5:D15)</f>
        <v>39008039</v>
      </c>
      <c r="E17" s="1">
        <f t="shared" si="3"/>
        <v>11097855</v>
      </c>
      <c r="F17" s="1">
        <f t="shared" si="3"/>
        <v>16109641</v>
      </c>
      <c r="G17" s="1">
        <f t="shared" si="3"/>
        <v>4152371</v>
      </c>
      <c r="H17" s="1">
        <f t="shared" si="3"/>
        <v>3426324</v>
      </c>
      <c r="I17" s="11">
        <f t="shared" si="3"/>
        <v>7737449</v>
      </c>
      <c r="J17" s="1">
        <f t="shared" si="3"/>
        <v>0</v>
      </c>
      <c r="K17" s="1">
        <f t="shared" si="3"/>
        <v>4906328</v>
      </c>
      <c r="L17" s="1">
        <f t="shared" si="3"/>
        <v>1282073</v>
      </c>
      <c r="M17" s="1">
        <f t="shared" si="3"/>
        <v>-262627</v>
      </c>
      <c r="N17" s="1">
        <f t="shared" si="3"/>
        <v>2079060</v>
      </c>
      <c r="O17" s="1">
        <f t="shared" si="3"/>
        <v>4797</v>
      </c>
      <c r="P17" s="1">
        <f t="shared" si="3"/>
        <v>-272182</v>
      </c>
      <c r="Q17" s="1">
        <f t="shared" si="3"/>
        <v>0</v>
      </c>
      <c r="R17" s="1">
        <f t="shared" si="3"/>
        <v>-3276504.2216767771</v>
      </c>
      <c r="S17" s="1">
        <f t="shared" si="3"/>
        <v>4741012.029423316</v>
      </c>
      <c r="T17" s="1">
        <f t="shared" si="3"/>
        <v>4414674.0239050686</v>
      </c>
      <c r="U17" s="1"/>
      <c r="V17" s="1"/>
      <c r="W17" s="1"/>
    </row>
    <row r="18" spans="2:23" x14ac:dyDescent="0.3">
      <c r="C18" s="5"/>
      <c r="H18" s="5"/>
      <c r="I18" s="5">
        <f>SUM(J17:Q17)</f>
        <v>7737449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10"/>
  <dimension ref="A2:P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4.4" x14ac:dyDescent="0.3"/>
  <cols>
    <col min="1" max="1" width="9.88671875" customWidth="1"/>
    <col min="2" max="3" width="18.5546875" customWidth="1"/>
    <col min="4" max="4" width="20.5546875" customWidth="1"/>
  </cols>
  <sheetData>
    <row r="2" spans="1:16" ht="104.25" customHeight="1" x14ac:dyDescent="0.3">
      <c r="A2" s="24" t="s">
        <v>2</v>
      </c>
      <c r="B2" s="24" t="s">
        <v>1</v>
      </c>
      <c r="C2" s="24" t="s">
        <v>22</v>
      </c>
      <c r="D2" s="24" t="s">
        <v>89</v>
      </c>
    </row>
    <row r="3" spans="1:16" x14ac:dyDescent="0.3">
      <c r="A3" s="107">
        <v>1</v>
      </c>
      <c r="B3" s="107">
        <f>+A3+1</f>
        <v>2</v>
      </c>
      <c r="C3" s="107">
        <f t="shared" ref="C3:D3" si="0">+B3+1</f>
        <v>3</v>
      </c>
      <c r="D3" s="107">
        <f t="shared" si="0"/>
        <v>4</v>
      </c>
    </row>
    <row r="5" spans="1:16" x14ac:dyDescent="0.3">
      <c r="A5" s="43">
        <v>300</v>
      </c>
      <c r="B5" s="44" t="s">
        <v>0</v>
      </c>
      <c r="C5" s="3">
        <f>(('2023 Nto driftsutg eks avskriv'!C5*1000/'2023 Nto driftsutg'!W5)-'2023 Korreksjoner'!AV5)/'2023 Nto driftsutg landet'!$C$19</f>
        <v>0.93803559647706036</v>
      </c>
      <c r="D5" s="1">
        <f>C5*'2023 Nto driftsutg landet'!$C$19-'2023 Nto driftsutg landet'!$C$19</f>
        <v>-982.28270675161366</v>
      </c>
      <c r="E5" s="1"/>
      <c r="G5" s="5"/>
      <c r="H5" s="5"/>
      <c r="I5" s="5"/>
      <c r="J5" s="5"/>
      <c r="K5" s="5"/>
      <c r="L5" s="5"/>
      <c r="N5" s="5"/>
      <c r="P5" s="5"/>
    </row>
    <row r="6" spans="1:16" x14ac:dyDescent="0.3">
      <c r="A6" s="43">
        <v>1100</v>
      </c>
      <c r="B6" s="44" t="s">
        <v>141</v>
      </c>
      <c r="C6" s="3">
        <f>(('2023 Nto driftsutg eks avskriv'!C6*1000/'2023 Nto driftsutg'!W6)-'2023 Korreksjoner'!AV6)/'2023 Nto driftsutg landet'!$C$19</f>
        <v>0.96758467307863327</v>
      </c>
      <c r="D6" s="1">
        <f>C6*'2023 Nto driftsutg landet'!$C$19-'2023 Nto driftsutg landet'!$C$19</f>
        <v>-513.85978494525261</v>
      </c>
      <c r="G6" s="5"/>
      <c r="H6" s="5"/>
      <c r="I6" s="5"/>
      <c r="J6" s="5"/>
      <c r="K6" s="5"/>
      <c r="L6" s="5"/>
      <c r="N6" s="5"/>
    </row>
    <row r="7" spans="1:16" x14ac:dyDescent="0.3">
      <c r="A7" s="43">
        <v>1500</v>
      </c>
      <c r="B7" s="44" t="s">
        <v>142</v>
      </c>
      <c r="C7" s="3">
        <f>(('2023 Nto driftsutg eks avskriv'!C7*1000/'2023 Nto driftsutg'!W7)-'2023 Korreksjoner'!AV7)/'2023 Nto driftsutg landet'!$C$19</f>
        <v>1.0752295566045222</v>
      </c>
      <c r="D7" s="1">
        <f>C7*'2023 Nto driftsutg landet'!$C$19-'2023 Nto driftsutg landet'!$C$19</f>
        <v>1192.5668333409649</v>
      </c>
      <c r="G7" s="5"/>
      <c r="H7" s="5"/>
      <c r="I7" s="5"/>
      <c r="J7" s="5"/>
      <c r="K7" s="5"/>
      <c r="L7" s="5"/>
      <c r="N7" s="5"/>
    </row>
    <row r="8" spans="1:16" x14ac:dyDescent="0.3">
      <c r="A8" s="43">
        <v>1800</v>
      </c>
      <c r="B8" s="44" t="s">
        <v>143</v>
      </c>
      <c r="C8" s="3">
        <f>(('2023 Nto driftsutg eks avskriv'!C8*1000/'2023 Nto driftsutg'!W8)-'2023 Korreksjoner'!AV8)/'2023 Nto driftsutg landet'!$C$19</f>
        <v>1.2055843207898493</v>
      </c>
      <c r="D8" s="1">
        <f>C8*'2023 Nto driftsutg landet'!$C$19-'2023 Nto driftsutg landet'!$C$19</f>
        <v>3258.9989027552747</v>
      </c>
      <c r="G8" s="5"/>
      <c r="H8" s="5"/>
      <c r="I8" s="5"/>
      <c r="J8" s="5"/>
      <c r="K8" s="5"/>
      <c r="L8" s="5"/>
      <c r="N8" s="5"/>
    </row>
    <row r="9" spans="1:16" x14ac:dyDescent="0.3">
      <c r="A9" s="43">
        <v>3000</v>
      </c>
      <c r="B9" s="44" t="s">
        <v>341</v>
      </c>
      <c r="C9" s="3">
        <f>(('2023 Nto driftsutg eks avskriv'!C9*1000/'2023 Nto driftsutg'!W9)-'2023 Korreksjoner'!AV9)/'2023 Nto driftsutg landet'!$C$19</f>
        <v>0.95048265484573824</v>
      </c>
      <c r="D9" s="1">
        <f>C9*'2023 Nto driftsutg landet'!$C$19-'2023 Nto driftsutg landet'!$C$19</f>
        <v>-784.96732097607128</v>
      </c>
      <c r="G9" s="5"/>
      <c r="H9" s="5"/>
      <c r="I9" s="5"/>
      <c r="J9" s="5"/>
      <c r="K9" s="5"/>
      <c r="L9" s="5"/>
      <c r="N9" s="5"/>
    </row>
    <row r="10" spans="1:16" x14ac:dyDescent="0.3">
      <c r="A10" s="43">
        <v>3400</v>
      </c>
      <c r="B10" s="44" t="s">
        <v>342</v>
      </c>
      <c r="C10" s="3">
        <f>(('2023 Nto driftsutg eks avskriv'!C10*1000/'2023 Nto driftsutg'!W10)-'2023 Korreksjoner'!AV10)/'2023 Nto driftsutg landet'!$C$19</f>
        <v>1.0286703747567871</v>
      </c>
      <c r="D10" s="1">
        <f>C10*'2023 Nto driftsutg landet'!$C$19-'2023 Nto driftsutg landet'!$C$19</f>
        <v>454.49341425927014</v>
      </c>
      <c r="G10" s="5"/>
      <c r="H10" s="5"/>
      <c r="I10" s="5"/>
      <c r="J10" s="5"/>
      <c r="K10" s="5"/>
      <c r="L10" s="5"/>
      <c r="N10" s="5"/>
    </row>
    <row r="11" spans="1:16" x14ac:dyDescent="0.3">
      <c r="A11" s="43">
        <v>3800</v>
      </c>
      <c r="B11" s="44" t="s">
        <v>343</v>
      </c>
      <c r="C11" s="3">
        <f>(('2023 Nto driftsutg eks avskriv'!C11*1000/'2023 Nto driftsutg'!W11)-'2023 Korreksjoner'!AV11)/'2023 Nto driftsutg landet'!$C$19</f>
        <v>0.98533932682967384</v>
      </c>
      <c r="D11" s="1">
        <f>C11*'2023 Nto driftsutg landet'!$C$19-'2023 Nto driftsutg landet'!$C$19</f>
        <v>-232.40642862344976</v>
      </c>
      <c r="G11" s="5"/>
      <c r="H11" s="5"/>
      <c r="I11" s="5"/>
      <c r="J11" s="5"/>
      <c r="K11" s="5"/>
      <c r="L11" s="5"/>
      <c r="N11" s="5"/>
    </row>
    <row r="12" spans="1:16" x14ac:dyDescent="0.3">
      <c r="A12" s="43">
        <v>4200</v>
      </c>
      <c r="B12" s="44" t="s">
        <v>344</v>
      </c>
      <c r="C12" s="3">
        <f>(('2023 Nto driftsutg eks avskriv'!C12*1000/'2023 Nto driftsutg'!W12)-'2023 Korreksjoner'!AV12)/'2023 Nto driftsutg landet'!$C$19</f>
        <v>0.98708511111338293</v>
      </c>
      <c r="D12" s="1">
        <f>C12*'2023 Nto driftsutg landet'!$C$19-'2023 Nto driftsutg landet'!$C$19</f>
        <v>-204.73160866054423</v>
      </c>
      <c r="G12" s="5"/>
      <c r="H12" s="5"/>
      <c r="I12" s="5"/>
      <c r="J12" s="5"/>
      <c r="K12" s="5"/>
      <c r="L12" s="5"/>
      <c r="N12" s="5"/>
    </row>
    <row r="13" spans="1:16" x14ac:dyDescent="0.3">
      <c r="A13" s="43">
        <v>4600</v>
      </c>
      <c r="B13" s="44" t="s">
        <v>345</v>
      </c>
      <c r="C13" s="3">
        <f>(('2023 Nto driftsutg eks avskriv'!C13*1000/'2023 Nto driftsutg'!W13)-'2023 Korreksjoner'!AV13)/'2023 Nto driftsutg landet'!$C$19</f>
        <v>1.0345580964845926</v>
      </c>
      <c r="D13" s="1">
        <f>C13*'2023 Nto driftsutg landet'!$C$19-'2023 Nto driftsutg landet'!$C$19</f>
        <v>547.82776279774953</v>
      </c>
      <c r="G13" s="5"/>
      <c r="H13" s="5"/>
      <c r="I13" s="5"/>
      <c r="J13" s="5"/>
      <c r="K13" s="5"/>
      <c r="L13" s="5"/>
      <c r="N13" s="5"/>
    </row>
    <row r="14" spans="1:16" x14ac:dyDescent="0.3">
      <c r="A14" s="43">
        <v>5000</v>
      </c>
      <c r="B14" s="44" t="s">
        <v>340</v>
      </c>
      <c r="C14" s="3">
        <f>(('2023 Nto driftsutg eks avskriv'!C14*1000/'2023 Nto driftsutg'!W14)-'2023 Korreksjoner'!AV14)/'2023 Nto driftsutg landet'!$C$19</f>
        <v>0.96897601734258854</v>
      </c>
      <c r="D14" s="1">
        <f>C14*'2023 Nto driftsutg landet'!$C$19-'2023 Nto driftsutg landet'!$C$19</f>
        <v>-491.80367963447679</v>
      </c>
      <c r="G14" s="5"/>
      <c r="H14" s="5"/>
      <c r="I14" s="5"/>
      <c r="J14" s="5"/>
      <c r="K14" s="5"/>
      <c r="L14" s="5"/>
      <c r="N14" s="5"/>
    </row>
    <row r="15" spans="1:16" x14ac:dyDescent="0.3">
      <c r="A15" s="43">
        <v>5400</v>
      </c>
      <c r="B15" s="44" t="s">
        <v>346</v>
      </c>
      <c r="C15" s="3">
        <f>(('2023 Nto driftsutg eks avskriv'!C15*1000/'2023 Nto driftsutg'!W15)-'2023 Korreksjoner'!AV15)/'2023 Nto driftsutg landet'!$C$19</f>
        <v>1.1920758238616593</v>
      </c>
      <c r="D15" s="1">
        <f>C15*'2023 Nto driftsutg landet'!$C$19-'2023 Nto driftsutg landet'!$C$19</f>
        <v>3044.8571992552006</v>
      </c>
      <c r="G15" s="5"/>
      <c r="H15" s="5"/>
      <c r="I15" s="5"/>
      <c r="J15" s="5"/>
      <c r="K15" s="5"/>
      <c r="L15" s="5"/>
      <c r="N15" s="5"/>
    </row>
    <row r="17" spans="2:4" x14ac:dyDescent="0.3">
      <c r="B17" s="1" t="s">
        <v>3</v>
      </c>
      <c r="C17" s="3">
        <f>(('2023 Nto driftsutg eks avskriv'!C17*1000/'2023 Nto driftsutg'!W17)-'2023 Korreksjoner'!AV17)/'2023 Nto driftsutg landet'!$C$19</f>
        <v>0.99999999995654565</v>
      </c>
      <c r="D17" s="104">
        <f>C17*'2023 Nto driftsutg landet'!$C$19-'2023 Nto driftsutg landet'!$C$19</f>
        <v>-6.8885492510162294E-7</v>
      </c>
    </row>
  </sheetData>
  <sheetProtection algorithmName="SHA-512" hashValue="uFxmmWemLSPTf7ToShhwm2kcibrFdwizHxIkylyB7nRhTiMv73ZcqG5hfF+Sk33iq7KP5+0Dh60z3MQOpLqOjA==" saltValue="wHzgLl/qH+k6IeyHsWTEZ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11"/>
  <dimension ref="A2:F25"/>
  <sheetViews>
    <sheetView workbookViewId="0"/>
  </sheetViews>
  <sheetFormatPr baseColWidth="10" defaultRowHeight="14.4" x14ac:dyDescent="0.3"/>
  <cols>
    <col min="1" max="3" width="40.5546875" customWidth="1"/>
    <col min="4" max="5" width="21" customWidth="1"/>
  </cols>
  <sheetData>
    <row r="2" spans="1:6" ht="27" x14ac:dyDescent="0.3">
      <c r="A2" s="24" t="s">
        <v>10</v>
      </c>
      <c r="B2" s="24" t="s">
        <v>115</v>
      </c>
      <c r="C2" s="24" t="s">
        <v>116</v>
      </c>
      <c r="D2" s="24" t="s">
        <v>73</v>
      </c>
      <c r="E2" s="24" t="s">
        <v>75</v>
      </c>
    </row>
    <row r="3" spans="1:6" x14ac:dyDescent="0.3">
      <c r="A3" s="6"/>
      <c r="B3" s="6"/>
      <c r="C3" s="6"/>
      <c r="D3" s="6"/>
      <c r="E3" s="6"/>
    </row>
    <row r="4" spans="1:6" x14ac:dyDescent="0.3">
      <c r="A4" s="107">
        <v>1</v>
      </c>
      <c r="B4" s="107">
        <f>+A4+1</f>
        <v>2</v>
      </c>
      <c r="C4" s="107">
        <f t="shared" ref="C4:E4" si="0">+B4+1</f>
        <v>3</v>
      </c>
      <c r="D4" s="107">
        <f t="shared" si="0"/>
        <v>4</v>
      </c>
      <c r="E4" s="107">
        <f t="shared" si="0"/>
        <v>5</v>
      </c>
    </row>
    <row r="5" spans="1:6" x14ac:dyDescent="0.3">
      <c r="A5" s="9" t="s">
        <v>31</v>
      </c>
      <c r="B5" s="9"/>
      <c r="C5" s="9"/>
      <c r="D5" s="46"/>
      <c r="E5" s="5"/>
    </row>
    <row r="6" spans="1:6" x14ac:dyDescent="0.3">
      <c r="A6" t="s">
        <v>174</v>
      </c>
      <c r="B6" s="57">
        <f>+'2023 Bto driftsutg eks avskriv'!D$17*1000/'2023 Nto driftsutg'!W$17</f>
        <v>8312.0996594884055</v>
      </c>
      <c r="C6" s="57">
        <f>+'2023 Nto driftsutg eks avskriv'!D$17*1000/'2023 Nto driftsutg'!$W$17</f>
        <v>7074.2914108960813</v>
      </c>
      <c r="D6" s="46">
        <f>+'2023 Lønnsgr arbavg tjeneste'!D$17*1000/(B6*'2023 Nto driftsutg'!$W$17)</f>
        <v>0.61828761363742235</v>
      </c>
      <c r="E6" s="46">
        <f>+'2023 Arbavg tjeneste'!D$17/'2023 Lønnsgr arbavg tjeneste'!D$17</f>
        <v>0.12798421692998074</v>
      </c>
    </row>
    <row r="7" spans="1:6" x14ac:dyDescent="0.3">
      <c r="A7" t="s">
        <v>175</v>
      </c>
      <c r="B7" s="57">
        <f>+'2023 Bto driftsutg eks avskriv'!E$17*1000/'2023 Nto driftsutg'!W$17</f>
        <v>2149.403814542326</v>
      </c>
      <c r="C7" s="57">
        <f>+'2023 Nto driftsutg eks avskriv'!E$17*1000/'2023 Nto driftsutg'!$W$17</f>
        <v>2012.6482212005101</v>
      </c>
      <c r="D7" s="46">
        <f>+'2023 Lønnsgr arbavg tjeneste'!E$17*1000/(B7*'2023 Nto driftsutg'!$W$17)</f>
        <v>8.7273611823489042E-2</v>
      </c>
      <c r="E7" s="46">
        <f>+'2023 Arbavg tjeneste'!E$17/'2023 Lønnsgr arbavg tjeneste'!E$17</f>
        <v>0.20156309064243527</v>
      </c>
    </row>
    <row r="8" spans="1:6" x14ac:dyDescent="0.3">
      <c r="A8" t="s">
        <v>358</v>
      </c>
      <c r="B8" s="57">
        <f>+'2023 Bto driftsutg eks avskriv'!F$17*1000/'2023 Nto driftsutg'!W$17</f>
        <v>3976.2195015792367</v>
      </c>
      <c r="C8" s="57">
        <f>+'2023 Nto driftsutg eks avskriv'!F$17*1000/'2023 Nto driftsutg'!$W$17</f>
        <v>2921.5591934503386</v>
      </c>
      <c r="D8" s="46">
        <f>+'2023 Lønnsgr arbavg tjeneste'!F$17*1000/(B8*'2023 Nto driftsutg'!$W$17)</f>
        <v>1.7181816801084163E-2</v>
      </c>
      <c r="E8" s="46">
        <f>+'2023 Arbavg tjeneste'!F$17/'2023 Lønnsgr arbavg tjeneste'!F$17</f>
        <v>0.12933453318574087</v>
      </c>
    </row>
    <row r="9" spans="1:6" x14ac:dyDescent="0.3">
      <c r="A9" t="s">
        <v>359</v>
      </c>
      <c r="B9" s="57">
        <f>+'2023 Bto driftsutg eks avskriv'!G$17*1000/'2023 Nto driftsutg'!W$17</f>
        <v>851.5174673597802</v>
      </c>
      <c r="C9" s="57">
        <f>+'2023 Nto driftsutg eks avskriv'!G$17*1000/'2023 Nto driftsutg'!$W$17</f>
        <v>753.05201833278443</v>
      </c>
      <c r="D9" s="46">
        <f>+'2023 Lønnsgr arbavg tjeneste'!G$17*1000/(B9*'2023 Nto driftsutg'!$W$17)</f>
        <v>5.3167891824084223E-3</v>
      </c>
      <c r="E9" s="46">
        <f>+'2023 Arbavg tjeneste'!G$17/'2023 Lønnsgr arbavg tjeneste'!G$17</f>
        <v>0.13587566095177056</v>
      </c>
    </row>
    <row r="10" spans="1:6" x14ac:dyDescent="0.3">
      <c r="A10" t="s">
        <v>176</v>
      </c>
      <c r="B10" s="57">
        <f>+'2023 Bto driftsutg eks avskriv'!H$17*1000/'2023 Nto driftsutg'!W$17</f>
        <v>789.61820482055316</v>
      </c>
      <c r="C10" s="57">
        <f>+'2023 Nto driftsutg eks avskriv'!H$17*1000/'2023 Nto driftsutg'!$W$17</f>
        <v>621.37997873072015</v>
      </c>
      <c r="D10" s="46">
        <f>+'2023 Lønnsgr arbavg tjeneste'!H$17*1000/(B10*'2023 Nto driftsutg'!$W$17)</f>
        <v>0.61987290304843889</v>
      </c>
      <c r="E10" s="46">
        <f>+'2023 Arbavg tjeneste'!H$17/'2023 Lønnsgr arbavg tjeneste'!H$17</f>
        <v>0.11922223877201524</v>
      </c>
    </row>
    <row r="11" spans="1:6" x14ac:dyDescent="0.3">
      <c r="A11" s="9"/>
      <c r="B11" s="57"/>
      <c r="C11" s="57"/>
      <c r="D11" s="8"/>
      <c r="E11" s="46"/>
    </row>
    <row r="12" spans="1:6" x14ac:dyDescent="0.3">
      <c r="A12" s="9" t="s">
        <v>74</v>
      </c>
      <c r="B12" s="57"/>
      <c r="C12" s="57"/>
      <c r="D12" s="46"/>
      <c r="E12" s="46"/>
    </row>
    <row r="13" spans="1:6" x14ac:dyDescent="0.3">
      <c r="A13" t="s">
        <v>4</v>
      </c>
      <c r="B13" s="57">
        <f>+'2023 Bto driftsutg eks avskriv'!K$17*1000/'2023 Nto driftsutg'!W$17</f>
        <v>1016.2468426145836</v>
      </c>
      <c r="C13" s="57">
        <f>+'2023 Nto driftsutg eks avskriv'!K$17*1000/'2023 Nto driftsutg'!$W$17</f>
        <v>889.7856677552785</v>
      </c>
      <c r="D13" s="46">
        <f>+'2023 Lønnsgr arbavg tjeneste'!K$17*1000/(B13*'2023 Nto driftsutg'!$W$17)</f>
        <v>0.55045664944334416</v>
      </c>
      <c r="E13" s="46">
        <f>+'2023 Arbavg tjeneste'!K$17/'2023 Lønnsgr arbavg tjeneste'!K$17</f>
        <v>0.10460609966666257</v>
      </c>
    </row>
    <row r="14" spans="1:6" x14ac:dyDescent="0.3">
      <c r="A14" t="s">
        <v>177</v>
      </c>
      <c r="B14" s="57">
        <f>+'2023 Bto driftsutg eks avskriv'!L$17*1000/'2023 Nto driftsutg'!W$17</f>
        <v>467.82005841072345</v>
      </c>
      <c r="C14" s="57">
        <f>+'2023 Nto driftsutg eks avskriv'!L$17*1000/'2023 Nto driftsutg'!$W$17</f>
        <v>232.50997088168853</v>
      </c>
      <c r="D14" s="46">
        <f>+'2023 Lønnsgr arbavg tjeneste'!L$17*1000/(B14*'2023 Nto driftsutg'!$W$17)</f>
        <v>0.27498947505529958</v>
      </c>
      <c r="E14" s="46">
        <f>+'2023 Arbavg tjeneste'!L$17/'2023 Lønnsgr arbavg tjeneste'!L$17</f>
        <v>0.12785345643038293</v>
      </c>
    </row>
    <row r="15" spans="1:6" x14ac:dyDescent="0.3">
      <c r="A15" t="s">
        <v>37</v>
      </c>
      <c r="B15" s="57">
        <f>+'2023 Bto driftsutg eks avskriv'!M$17*1000/'2023 Nto driftsutg'!W$17</f>
        <v>502.81643857080888</v>
      </c>
      <c r="C15" s="57">
        <f>+'2023 Nto driftsutg eks avskriv'!M$17*1000/'2023 Nto driftsutg'!$W$17</f>
        <v>-47.628642146543307</v>
      </c>
      <c r="D15" s="46">
        <f>+'2023 Lønnsgr arbavg tjeneste'!M$17*1000/(B15*'2023 Nto driftsutg'!$W$17)</f>
        <v>0.10294536669746855</v>
      </c>
      <c r="E15" s="46">
        <f>+'2023 Arbavg tjeneste'!M$17/'2023 Lønnsgr arbavg tjeneste'!M$17</f>
        <v>0.12270953185108366</v>
      </c>
      <c r="F15" s="46"/>
    </row>
    <row r="16" spans="1:6" x14ac:dyDescent="0.3">
      <c r="A16" t="s">
        <v>178</v>
      </c>
      <c r="B16" s="57">
        <f>+'2023 Bto driftsutg eks avskriv'!N$17*1000/'2023 Nto driftsutg'!W$17</f>
        <v>759.00770684954955</v>
      </c>
      <c r="C16" s="57">
        <f>+'2023 Nto driftsutg eks avskriv'!N$17*1000/'2023 Nto driftsutg'!$W$17</f>
        <v>377.04731326631429</v>
      </c>
      <c r="D16" s="46">
        <f>+'2023 Lønnsgr arbavg tjeneste'!N$17*1000/(B16*'2023 Nto driftsutg'!$W$17)</f>
        <v>9.3542953987266114E-2</v>
      </c>
      <c r="E16" s="46">
        <f>+'2023 Arbavg tjeneste'!N$17/'2023 Lønnsgr arbavg tjeneste'!N$17</f>
        <v>0.11685147012620786</v>
      </c>
      <c r="F16" s="46"/>
    </row>
    <row r="17" spans="1:6" x14ac:dyDescent="0.3">
      <c r="A17" t="s">
        <v>38</v>
      </c>
      <c r="B17" s="57">
        <f>+'2023 Bto driftsutg eks avskriv'!O$17*1000/'2023 Nto driftsutg'!W$17</f>
        <v>15.579638654377105</v>
      </c>
      <c r="C17" s="57">
        <f>+'2023 Nto driftsutg eks avskriv'!O$17*1000/'2023 Nto driftsutg'!$W$17</f>
        <v>0.86995852055184064</v>
      </c>
      <c r="D17" s="46">
        <f>+'2023 Lønnsgr arbavg tjeneste'!O$17*1000/(B17*'2023 Nto driftsutg'!$W$17)</f>
        <v>0.5033000803194152</v>
      </c>
      <c r="E17" s="46">
        <f>+'2023 Arbavg tjeneste'!O$17/'2023 Lønnsgr arbavg tjeneste'!O$17</f>
        <v>0.14390452621597244</v>
      </c>
      <c r="F17" s="46"/>
    </row>
    <row r="18" spans="1:6" x14ac:dyDescent="0.3">
      <c r="A18" t="s">
        <v>39</v>
      </c>
      <c r="B18" s="57">
        <f>+'2023 Bto driftsutg eks avskriv'!P$17*1000/'2023 Nto driftsutg'!W$17</f>
        <v>150.39165362121821</v>
      </c>
      <c r="C18" s="57">
        <f>+'2023 Nto driftsutg eks avskriv'!P$17*1000/'2023 Nto driftsutg'!$W$17</f>
        <v>-49.361486354146564</v>
      </c>
      <c r="D18" s="46">
        <f>+'2023 Lønnsgr arbavg tjeneste'!P$17*1000/(B18*'2023 Nto driftsutg'!$W$17)</f>
        <v>8.4480529816657587E-2</v>
      </c>
      <c r="E18" s="46">
        <f>+'2023 Arbavg tjeneste'!P$17/'2023 Lønnsgr arbavg tjeneste'!P$17</f>
        <v>0.1028162781734873</v>
      </c>
      <c r="F18" s="46"/>
    </row>
    <row r="19" spans="1:6" x14ac:dyDescent="0.3">
      <c r="A19" s="9"/>
      <c r="B19" s="9"/>
      <c r="C19" s="57"/>
      <c r="D19" s="46"/>
      <c r="E19" s="8"/>
    </row>
    <row r="20" spans="1:6" x14ac:dyDescent="0.3">
      <c r="A20" s="9" t="s">
        <v>27</v>
      </c>
      <c r="B20" s="57"/>
      <c r="C20" s="57"/>
      <c r="D20" s="46"/>
      <c r="E20" s="46">
        <f>+'2023 Arbavg tjeneste'!R$17/'2023 Lønnsgr arbavg tjeneste'!R$17</f>
        <v>0.11376520959678545</v>
      </c>
    </row>
    <row r="21" spans="1:6" x14ac:dyDescent="0.3">
      <c r="A21" s="9"/>
      <c r="B21" s="9"/>
      <c r="C21" s="57"/>
      <c r="D21" s="46"/>
      <c r="E21" s="8"/>
    </row>
    <row r="22" spans="1:6" x14ac:dyDescent="0.3">
      <c r="A22" s="9" t="s">
        <v>76</v>
      </c>
      <c r="B22" s="9"/>
      <c r="C22" s="57"/>
      <c r="D22" s="46">
        <f>+'2023 Lønnsgr arbavg tjeneste'!C$17/'2023 Bto driftsutg eks avskriv'!C17</f>
        <v>0.33548065845910069</v>
      </c>
      <c r="E22" s="46">
        <f>+'2023 Arbavg tjeneste'!C$17/'2023 Lønnsgr arbavg tjeneste'!C$17</f>
        <v>0.12844914539465235</v>
      </c>
    </row>
    <row r="23" spans="1:6" x14ac:dyDescent="0.3">
      <c r="A23" s="9"/>
      <c r="B23" s="9"/>
      <c r="C23" s="9"/>
      <c r="D23" s="46"/>
      <c r="E23" s="8"/>
    </row>
    <row r="24" spans="1:6" x14ac:dyDescent="0.3">
      <c r="A24" s="9"/>
      <c r="B24" s="8"/>
      <c r="C24" s="8"/>
      <c r="D24" s="46"/>
      <c r="E24" s="46"/>
    </row>
    <row r="25" spans="1:6" x14ac:dyDescent="0.3">
      <c r="A25" s="9"/>
      <c r="B25" s="9"/>
      <c r="C25" s="9"/>
      <c r="D25" s="8"/>
      <c r="E25" s="8"/>
    </row>
  </sheetData>
  <sheetProtection algorithmName="SHA-512" hashValue="vR+UNYUBvwUm4cLQl3Rx7tf0IeCAEgjhAyq6QyzAlbczWB0xxkKPzrNu1IMNvf9AA/E+3u7N65Y46Vu8PT3HTg==" saltValue="NDVvAEgbgHbtJdjFDatA1A==" spinCount="100000" sheet="1"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12"/>
  <dimension ref="A2:H24"/>
  <sheetViews>
    <sheetView workbookViewId="0"/>
  </sheetViews>
  <sheetFormatPr baseColWidth="10" defaultRowHeight="14.4" x14ac:dyDescent="0.3"/>
  <cols>
    <col min="1" max="3" width="40.5546875" customWidth="1"/>
    <col min="4" max="5" width="21" customWidth="1"/>
    <col min="8" max="8" width="11.5546875" style="91"/>
  </cols>
  <sheetData>
    <row r="2" spans="1:7" x14ac:dyDescent="0.3">
      <c r="A2" s="24" t="s">
        <v>10</v>
      </c>
      <c r="B2" s="24" t="s">
        <v>115</v>
      </c>
      <c r="C2" s="24" t="s">
        <v>116</v>
      </c>
      <c r="D2" s="24" t="s">
        <v>73</v>
      </c>
      <c r="E2" s="24" t="s">
        <v>98</v>
      </c>
    </row>
    <row r="3" spans="1:7" x14ac:dyDescent="0.3">
      <c r="A3" s="6"/>
      <c r="B3" s="6"/>
      <c r="C3" s="6"/>
      <c r="D3" s="6"/>
      <c r="E3" s="6"/>
    </row>
    <row r="4" spans="1:7" x14ac:dyDescent="0.3">
      <c r="A4" s="107">
        <v>1</v>
      </c>
      <c r="B4" s="107">
        <f>+A4+1</f>
        <v>2</v>
      </c>
      <c r="C4" s="107">
        <f t="shared" ref="C4" si="0">+B4+1</f>
        <v>3</v>
      </c>
      <c r="D4" s="107">
        <f>+A4+1</f>
        <v>2</v>
      </c>
      <c r="E4" s="107">
        <f>+D4+1</f>
        <v>3</v>
      </c>
    </row>
    <row r="5" spans="1:7" x14ac:dyDescent="0.3">
      <c r="A5" s="9" t="s">
        <v>31</v>
      </c>
      <c r="B5" s="9"/>
      <c r="C5" s="9"/>
      <c r="D5" s="46"/>
      <c r="E5" s="5"/>
    </row>
    <row r="6" spans="1:7" x14ac:dyDescent="0.3">
      <c r="A6" t="s">
        <v>174</v>
      </c>
      <c r="B6" s="57">
        <f>+'2023 Bto driftsutg eks avskriv'!D$17*1000/'2023 Nto driftsutg'!W$17</f>
        <v>8312.0996594884055</v>
      </c>
      <c r="C6" s="57">
        <f>+'2023 Nto driftsutg eks avskriv'!D$17*1000/'2023 Nto driftsutg'!$W$17</f>
        <v>7074.2914108960813</v>
      </c>
      <c r="D6" s="46">
        <f>+'2023 Lønnsgr pensjon tjeneste'!D$17*1000/(B6*'2023 Nto driftsutg'!$W$17)</f>
        <v>0.53741871945171493</v>
      </c>
      <c r="E6" s="46">
        <f>+'2023 Pensjon tjeneste'!D$17/'2023 Lønnsgr pensjon tjeneste'!D$17</f>
        <v>0.15047651162618864</v>
      </c>
      <c r="G6" s="57"/>
    </row>
    <row r="7" spans="1:7" x14ac:dyDescent="0.3">
      <c r="A7" t="s">
        <v>175</v>
      </c>
      <c r="B7" s="57">
        <f>+'2023 Bto driftsutg eks avskriv'!E$17*1000/'2023 Nto driftsutg'!W$17</f>
        <v>2149.403814542326</v>
      </c>
      <c r="C7" s="57">
        <f>+'2023 Nto driftsutg eks avskriv'!E$17*1000/'2023 Nto driftsutg'!$W$17</f>
        <v>2012.6482212005101</v>
      </c>
      <c r="D7" s="46">
        <f>+'2023 Lønnsgr pensjon tjeneste'!E$17*1000/(B7*'2023 Nto driftsutg'!$W$17)</f>
        <v>6.3365191146456876E-2</v>
      </c>
      <c r="E7" s="46">
        <f>+'2023 Pensjon tjeneste'!E$17/'2023 Lønnsgr pensjon tjeneste'!E$17</f>
        <v>0.3773115845539281</v>
      </c>
      <c r="G7" s="57"/>
    </row>
    <row r="8" spans="1:7" x14ac:dyDescent="0.3">
      <c r="A8" t="s">
        <v>358</v>
      </c>
      <c r="B8" s="57">
        <f>+'2023 Bto driftsutg eks avskriv'!F$17*1000/'2023 Nto driftsutg'!W$17</f>
        <v>3976.2195015792367</v>
      </c>
      <c r="C8" s="57">
        <f>+'2023 Nto driftsutg eks avskriv'!F$17*1000/'2023 Nto driftsutg'!$W$17</f>
        <v>2921.5591934503386</v>
      </c>
      <c r="D8" s="46">
        <f>+'2023 Lønnsgr pensjon tjeneste'!F$17*1000/(B8*'2023 Nto driftsutg'!$W$17)</f>
        <v>1.3844819021781295E-2</v>
      </c>
      <c r="E8" s="46">
        <f>+'2023 Pensjon tjeneste'!F$17/'2023 Lønnsgr pensjon tjeneste'!F$17</f>
        <v>0.24102863129181779</v>
      </c>
      <c r="G8" s="57"/>
    </row>
    <row r="9" spans="1:7" x14ac:dyDescent="0.3">
      <c r="A9" t="s">
        <v>359</v>
      </c>
      <c r="B9" s="57">
        <f>+'2023 Bto driftsutg eks avskriv'!G$17*1000/'2023 Nto driftsutg'!W$17</f>
        <v>851.5174673597802</v>
      </c>
      <c r="C9" s="57">
        <f>+'2023 Nto driftsutg eks avskriv'!G$17*1000/'2023 Nto driftsutg'!$W$17</f>
        <v>753.05201833278443</v>
      </c>
      <c r="D9" s="46">
        <f>+'2023 Lønnsgr pensjon tjeneste'!G$17*1000/(B9*'2023 Nto driftsutg'!$W$17)</f>
        <v>4.4663670062604962E-3</v>
      </c>
      <c r="E9" s="46">
        <f>+'2023 Pensjon tjeneste'!G$17/'2023 Lønnsgr pensjon tjeneste'!G$17</f>
        <v>0.19040579848362024</v>
      </c>
      <c r="G9" s="57"/>
    </row>
    <row r="10" spans="1:7" x14ac:dyDescent="0.3">
      <c r="A10" t="s">
        <v>176</v>
      </c>
      <c r="B10" s="57">
        <f>+'2023 Bto driftsutg eks avskriv'!H$17*1000/'2023 Nto driftsutg'!W$17</f>
        <v>789.61820482055316</v>
      </c>
      <c r="C10" s="57">
        <f>+'2023 Nto driftsutg eks avskriv'!H$17*1000/'2023 Nto driftsutg'!$W$17</f>
        <v>621.37997873072015</v>
      </c>
      <c r="D10" s="46">
        <f>+'2023 Lønnsgr pensjon tjeneste'!H$17*1000/(B10*'2023 Nto driftsutg'!$W$17)</f>
        <v>0.49930213580664579</v>
      </c>
      <c r="E10" s="46">
        <f>+'2023 Pensjon tjeneste'!H$17/'2023 Lønnsgr pensjon tjeneste'!H$17</f>
        <v>0.24147857298268</v>
      </c>
      <c r="G10" s="57"/>
    </row>
    <row r="11" spans="1:7" x14ac:dyDescent="0.3">
      <c r="A11" s="9"/>
      <c r="B11" s="57"/>
      <c r="C11" s="57"/>
      <c r="D11" s="8"/>
      <c r="E11" s="46"/>
      <c r="G11" s="57"/>
    </row>
    <row r="12" spans="1:7" x14ac:dyDescent="0.3">
      <c r="A12" s="9" t="s">
        <v>74</v>
      </c>
      <c r="B12" s="57"/>
      <c r="C12" s="57"/>
      <c r="D12" s="46"/>
      <c r="E12" s="46"/>
      <c r="G12" s="57"/>
    </row>
    <row r="13" spans="1:7" x14ac:dyDescent="0.3">
      <c r="A13" t="s">
        <v>4</v>
      </c>
      <c r="B13" s="57">
        <f>+'2023 Bto driftsutg eks avskriv'!K$17*1000/'2023 Nto driftsutg'!W$17</f>
        <v>1016.2468426145836</v>
      </c>
      <c r="C13" s="57">
        <f>+'2023 Nto driftsutg eks avskriv'!K$17*1000/'2023 Nto driftsutg'!$W$17</f>
        <v>889.7856677552785</v>
      </c>
      <c r="D13" s="46">
        <f>+'2023 Lønnsgr pensjon tjeneste'!K$17*1000/(B13*'2023 Nto driftsutg'!$W$17)</f>
        <v>0.40828678919888173</v>
      </c>
      <c r="E13" s="46">
        <f>+'2023 Pensjon tjeneste'!K$17/'2023 Lønnsgr pensjon tjeneste'!K$17</f>
        <v>0.42135799182916334</v>
      </c>
      <c r="G13" s="57"/>
    </row>
    <row r="14" spans="1:7" x14ac:dyDescent="0.3">
      <c r="A14" t="s">
        <v>177</v>
      </c>
      <c r="B14" s="57">
        <f>+'2023 Bto driftsutg eks avskriv'!L$17*1000/'2023 Nto driftsutg'!W$17</f>
        <v>467.82005841072345</v>
      </c>
      <c r="C14" s="57">
        <f>+'2023 Nto driftsutg eks avskriv'!L$17*1000/'2023 Nto driftsutg'!$W$17</f>
        <v>232.50997088168853</v>
      </c>
      <c r="D14" s="46">
        <f>+'2023 Lønnsgr pensjon tjeneste'!L$17*1000/(B14*'2023 Nto driftsutg'!$W$17)</f>
        <v>0.15883168849575086</v>
      </c>
      <c r="E14" s="46">
        <f>+'2023 Pensjon tjeneste'!L$17/'2023 Lønnsgr pensjon tjeneste'!L$17</f>
        <v>0.32286927657912723</v>
      </c>
      <c r="G14" s="57"/>
    </row>
    <row r="15" spans="1:7" x14ac:dyDescent="0.3">
      <c r="A15" t="s">
        <v>37</v>
      </c>
      <c r="B15" s="57">
        <f>+'2023 Bto driftsutg eks avskriv'!M$17*1000/'2023 Nto driftsutg'!W$17</f>
        <v>502.81643857080888</v>
      </c>
      <c r="C15" s="57">
        <f>+'2023 Nto driftsutg eks avskriv'!M$17*1000/'2023 Nto driftsutg'!$W$17</f>
        <v>-47.628642146543307</v>
      </c>
      <c r="D15" s="46">
        <f>+'2023 Lønnsgr pensjon tjeneste'!M$17*1000/(B15*'2023 Nto driftsutg'!$W$17)</f>
        <v>8.3812493733223969E-2</v>
      </c>
      <c r="E15" s="46">
        <f>+'2023 Pensjon tjeneste'!M$17/'2023 Lønnsgr pensjon tjeneste'!M$17</f>
        <v>0.22828187197417968</v>
      </c>
      <c r="G15" s="57"/>
    </row>
    <row r="16" spans="1:7" x14ac:dyDescent="0.3">
      <c r="A16" t="s">
        <v>178</v>
      </c>
      <c r="B16" s="57">
        <f>+'2023 Bto driftsutg eks avskriv'!N$17*1000/'2023 Nto driftsutg'!W$17</f>
        <v>759.00770684954955</v>
      </c>
      <c r="C16" s="57">
        <f>+'2023 Nto driftsutg eks avskriv'!N$17*1000/'2023 Nto driftsutg'!$W$17</f>
        <v>377.04731326631429</v>
      </c>
      <c r="D16" s="46">
        <f>+'2023 Lønnsgr pensjon tjeneste'!N$17*1000/(B16*'2023 Nto driftsutg'!$W$17)</f>
        <v>7.8068943238465152E-2</v>
      </c>
      <c r="E16" s="46">
        <f>+'2023 Pensjon tjeneste'!N$17/'2023 Lønnsgr pensjon tjeneste'!N$17</f>
        <v>0.19820955820466127</v>
      </c>
      <c r="G16" s="57"/>
    </row>
    <row r="17" spans="1:7" x14ac:dyDescent="0.3">
      <c r="A17" t="s">
        <v>38</v>
      </c>
      <c r="B17" s="57">
        <f>+'2023 Bto driftsutg eks avskriv'!O$17*1000/'2023 Nto driftsutg'!W$17</f>
        <v>15.579638654377105</v>
      </c>
      <c r="C17" s="57">
        <f>+'2023 Nto driftsutg eks avskriv'!O$17*1000/'2023 Nto driftsutg'!$W$17</f>
        <v>0.86995852055184064</v>
      </c>
      <c r="D17" s="46">
        <f>+'2023 Lønnsgr pensjon tjeneste'!O$17*1000/(B17*'2023 Nto driftsutg'!$W$17)</f>
        <v>0.45243111737111064</v>
      </c>
      <c r="E17" s="46">
        <f>+'2023 Pensjon tjeneste'!O$17/'2023 Lønnsgr pensjon tjeneste'!O$17</f>
        <v>0.11243471325288805</v>
      </c>
      <c r="G17" s="57"/>
    </row>
    <row r="18" spans="1:7" x14ac:dyDescent="0.3">
      <c r="A18" t="s">
        <v>39</v>
      </c>
      <c r="B18" s="57">
        <f>+'2023 Bto driftsutg eks avskriv'!P$17*1000/'2023 Nto driftsutg'!W$17</f>
        <v>150.39165362121821</v>
      </c>
      <c r="C18" s="57">
        <f>+'2023 Nto driftsutg eks avskriv'!P$17*1000/'2023 Nto driftsutg'!$W$17</f>
        <v>-49.361486354146564</v>
      </c>
      <c r="D18" s="46">
        <f>+'2023 Lønnsgr pensjon tjeneste'!P$17*1000/(B18*'2023 Nto driftsutg'!$W$17)</f>
        <v>6.5801405576966676E-2</v>
      </c>
      <c r="E18" s="46">
        <f>+'2023 Pensjon tjeneste'!P$17/'2023 Lønnsgr pensjon tjeneste'!P$17</f>
        <v>0.28387120420767131</v>
      </c>
      <c r="G18" s="57"/>
    </row>
    <row r="19" spans="1:7" x14ac:dyDescent="0.3">
      <c r="A19" s="9"/>
      <c r="B19" s="9"/>
      <c r="C19" s="9"/>
      <c r="D19" s="46"/>
      <c r="E19" s="8"/>
    </row>
    <row r="20" spans="1:7" x14ac:dyDescent="0.3">
      <c r="A20" s="9"/>
      <c r="B20" s="9"/>
      <c r="C20" s="9"/>
      <c r="D20" s="46"/>
      <c r="E20" s="8"/>
    </row>
    <row r="21" spans="1:7" x14ac:dyDescent="0.3">
      <c r="A21" s="9" t="s">
        <v>76</v>
      </c>
      <c r="B21" s="9"/>
      <c r="C21" s="9"/>
      <c r="D21" s="46">
        <f>+'2023 Lønnsgr pensjon tjeneste'!C$17/('2023 Bto driftsutg eks avskriv'!C17-'2023 Bto driftsutg eks avskriv'!J17)</f>
        <v>0.30712479454417885</v>
      </c>
      <c r="E21" s="46">
        <f>+'2023 Pensjon tjeneste'!C$17/'2023 Lønnsgr pensjon tjeneste'!C$17</f>
        <v>9.954920206153102E-2</v>
      </c>
      <c r="G21" s="5"/>
    </row>
    <row r="22" spans="1:7" x14ac:dyDescent="0.3">
      <c r="A22" s="9"/>
      <c r="B22" s="9"/>
      <c r="C22" s="9"/>
      <c r="D22" s="46"/>
      <c r="E22" s="8"/>
    </row>
    <row r="23" spans="1:7" x14ac:dyDescent="0.3">
      <c r="A23" s="9"/>
      <c r="B23" s="8"/>
      <c r="C23" s="8"/>
      <c r="D23" s="8"/>
      <c r="E23" s="8"/>
    </row>
    <row r="24" spans="1:7" x14ac:dyDescent="0.3">
      <c r="A24" s="9"/>
      <c r="B24" s="9"/>
      <c r="C24" s="9"/>
      <c r="D24" s="8"/>
      <c r="E24" s="8"/>
    </row>
  </sheetData>
  <sheetProtection algorithmName="SHA-512" hashValue="XoTjdVlKXcrbk2tfgVPEMe3s+JJEYZAc1pW4Br5iV5OJzWidVIbXi5W8t6LrnVg7DHokidNMcaf/icZGVNCWHQ==" saltValue="gs043GByhgcas9WKuFMsbQ==" spinCount="100000" sheet="1" selectLockedCells="1" selectUn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13">
    <tabColor rgb="FF92D050"/>
  </sheetPr>
  <dimension ref="A1:R20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ColWidth="11.44140625" defaultRowHeight="14.4" x14ac:dyDescent="0.3"/>
  <cols>
    <col min="2" max="2" width="13.44140625" customWidth="1"/>
    <col min="6" max="6" width="13.109375" customWidth="1"/>
    <col min="7" max="7" width="12.88671875" customWidth="1"/>
    <col min="9" max="9" width="12.44140625" customWidth="1"/>
  </cols>
  <sheetData>
    <row r="1" spans="1:18" x14ac:dyDescent="0.3">
      <c r="C1" s="5"/>
    </row>
    <row r="2" spans="1:18" ht="93" x14ac:dyDescent="0.3">
      <c r="A2" s="24" t="s">
        <v>2</v>
      </c>
      <c r="B2" s="24" t="s">
        <v>1</v>
      </c>
      <c r="C2" s="24" t="s">
        <v>59</v>
      </c>
      <c r="D2" s="24" t="s">
        <v>194</v>
      </c>
      <c r="E2" s="24" t="s">
        <v>195</v>
      </c>
      <c r="F2" s="24" t="s">
        <v>361</v>
      </c>
      <c r="G2" s="24" t="s">
        <v>364</v>
      </c>
      <c r="H2" s="24" t="s">
        <v>196</v>
      </c>
      <c r="I2" s="13" t="s">
        <v>71</v>
      </c>
      <c r="J2" s="24" t="s">
        <v>61</v>
      </c>
      <c r="K2" s="24" t="s">
        <v>197</v>
      </c>
      <c r="L2" s="24" t="s">
        <v>198</v>
      </c>
      <c r="M2" s="24" t="s">
        <v>62</v>
      </c>
      <c r="N2" s="24" t="s">
        <v>199</v>
      </c>
      <c r="O2" s="24" t="s">
        <v>63</v>
      </c>
      <c r="P2" s="24" t="s">
        <v>64</v>
      </c>
      <c r="Q2" s="24" t="s">
        <v>200</v>
      </c>
      <c r="R2" s="24" t="s">
        <v>60</v>
      </c>
    </row>
    <row r="3" spans="1:18" x14ac:dyDescent="0.3">
      <c r="A3" s="107">
        <v>1</v>
      </c>
      <c r="B3" s="107">
        <v>2</v>
      </c>
      <c r="C3" s="107">
        <v>3</v>
      </c>
      <c r="D3" s="107">
        <v>5</v>
      </c>
      <c r="E3" s="107">
        <v>6</v>
      </c>
      <c r="F3" s="107">
        <v>7</v>
      </c>
      <c r="G3" s="107">
        <v>8</v>
      </c>
      <c r="H3" s="107">
        <v>9</v>
      </c>
      <c r="I3" s="12">
        <f>+H3+1</f>
        <v>10</v>
      </c>
      <c r="J3" s="107">
        <f>+I3+1</f>
        <v>11</v>
      </c>
      <c r="K3" s="107">
        <f t="shared" ref="K3:R3" si="0">+J3+1</f>
        <v>12</v>
      </c>
      <c r="L3" s="107">
        <f t="shared" si="0"/>
        <v>13</v>
      </c>
      <c r="M3" s="107">
        <f t="shared" si="0"/>
        <v>14</v>
      </c>
      <c r="N3" s="107">
        <f t="shared" si="0"/>
        <v>15</v>
      </c>
      <c r="O3" s="107">
        <f t="shared" si="0"/>
        <v>16</v>
      </c>
      <c r="P3" s="107">
        <f t="shared" si="0"/>
        <v>17</v>
      </c>
      <c r="Q3" s="107">
        <f t="shared" si="0"/>
        <v>18</v>
      </c>
      <c r="R3" s="107">
        <f t="shared" si="0"/>
        <v>19</v>
      </c>
    </row>
    <row r="4" spans="1:18" x14ac:dyDescent="0.3">
      <c r="I4" s="21"/>
    </row>
    <row r="5" spans="1:18" x14ac:dyDescent="0.3">
      <c r="A5" s="43">
        <v>300</v>
      </c>
      <c r="B5" s="44" t="s">
        <v>0</v>
      </c>
      <c r="C5" s="5">
        <f t="shared" ref="C5:C15" si="1">SUM(D5:I5)+R5</f>
        <v>2252886.6269265758</v>
      </c>
      <c r="D5" s="5">
        <v>2488450</v>
      </c>
      <c r="E5" s="5">
        <v>505</v>
      </c>
      <c r="F5" s="5">
        <v>29325</v>
      </c>
      <c r="G5" s="5">
        <v>0</v>
      </c>
      <c r="H5" s="5">
        <v>189572</v>
      </c>
      <c r="I5" s="11">
        <f t="shared" ref="I5:I15" si="2">SUM(J5:Q5)</f>
        <v>119991</v>
      </c>
      <c r="J5" s="5"/>
      <c r="K5" s="5">
        <v>115516</v>
      </c>
      <c r="L5" s="5">
        <v>0</v>
      </c>
      <c r="M5" s="5">
        <v>3</v>
      </c>
      <c r="N5" s="5">
        <v>4472</v>
      </c>
      <c r="O5" s="5">
        <v>0</v>
      </c>
      <c r="P5" s="5">
        <v>0</v>
      </c>
      <c r="Q5" s="5"/>
      <c r="R5" s="113">
        <v>-574956.3730734241</v>
      </c>
    </row>
    <row r="6" spans="1:18" x14ac:dyDescent="0.3">
      <c r="A6" s="43">
        <v>1100</v>
      </c>
      <c r="B6" s="44" t="s">
        <v>141</v>
      </c>
      <c r="C6" s="5">
        <f t="shared" si="1"/>
        <v>3102929</v>
      </c>
      <c r="D6" s="5">
        <v>2696905</v>
      </c>
      <c r="E6" s="5">
        <v>90332</v>
      </c>
      <c r="F6" s="5">
        <v>5702</v>
      </c>
      <c r="G6" s="5">
        <v>150</v>
      </c>
      <c r="H6" s="5">
        <v>303784</v>
      </c>
      <c r="I6" s="11">
        <f t="shared" si="2"/>
        <v>245142</v>
      </c>
      <c r="J6" s="5"/>
      <c r="K6" s="5">
        <v>141285</v>
      </c>
      <c r="L6" s="5">
        <v>59438</v>
      </c>
      <c r="M6" s="5">
        <v>20724</v>
      </c>
      <c r="N6" s="5">
        <v>17589</v>
      </c>
      <c r="O6" s="5">
        <v>0</v>
      </c>
      <c r="P6" s="5">
        <v>6106</v>
      </c>
      <c r="Q6" s="5"/>
      <c r="R6" s="5">
        <v>-239086</v>
      </c>
    </row>
    <row r="7" spans="1:18" x14ac:dyDescent="0.3">
      <c r="A7" s="43">
        <v>1500</v>
      </c>
      <c r="B7" s="44" t="s">
        <v>142</v>
      </c>
      <c r="C7" s="5">
        <f t="shared" si="1"/>
        <v>1792201</v>
      </c>
      <c r="D7" s="5">
        <v>1474960</v>
      </c>
      <c r="E7" s="5">
        <v>63851</v>
      </c>
      <c r="F7" s="5">
        <v>30098</v>
      </c>
      <c r="G7" s="5">
        <v>10556</v>
      </c>
      <c r="H7" s="5">
        <v>146640</v>
      </c>
      <c r="I7" s="11">
        <f t="shared" si="2"/>
        <v>231390</v>
      </c>
      <c r="J7" s="5"/>
      <c r="K7" s="5">
        <v>145260</v>
      </c>
      <c r="L7" s="5">
        <v>49886</v>
      </c>
      <c r="M7" s="5">
        <v>18470</v>
      </c>
      <c r="N7" s="5">
        <v>17774</v>
      </c>
      <c r="O7" s="5">
        <v>0</v>
      </c>
      <c r="P7" s="5">
        <v>0</v>
      </c>
      <c r="Q7" s="5"/>
      <c r="R7" s="5">
        <v>-165294</v>
      </c>
    </row>
    <row r="8" spans="1:18" x14ac:dyDescent="0.3">
      <c r="A8" s="43">
        <v>1800</v>
      </c>
      <c r="B8" s="44" t="s">
        <v>143</v>
      </c>
      <c r="C8" s="5">
        <f t="shared" si="1"/>
        <v>2107053</v>
      </c>
      <c r="D8" s="5">
        <v>1614583</v>
      </c>
      <c r="E8" s="5">
        <v>70465</v>
      </c>
      <c r="F8" s="5">
        <v>20587</v>
      </c>
      <c r="G8" s="5">
        <v>2314</v>
      </c>
      <c r="H8" s="5">
        <v>220243</v>
      </c>
      <c r="I8" s="11">
        <f t="shared" si="2"/>
        <v>373924</v>
      </c>
      <c r="J8" s="5"/>
      <c r="K8" s="5">
        <v>236314</v>
      </c>
      <c r="L8" s="5">
        <v>57944</v>
      </c>
      <c r="M8" s="5">
        <v>37778</v>
      </c>
      <c r="N8" s="5">
        <v>41888</v>
      </c>
      <c r="O8" s="5">
        <v>0</v>
      </c>
      <c r="P8" s="5">
        <v>0</v>
      </c>
      <c r="Q8" s="5"/>
      <c r="R8" s="5">
        <v>-195063</v>
      </c>
    </row>
    <row r="9" spans="1:18" x14ac:dyDescent="0.3">
      <c r="A9" s="43">
        <v>3000</v>
      </c>
      <c r="B9" s="44" t="s">
        <v>341</v>
      </c>
      <c r="C9" s="5">
        <f t="shared" si="1"/>
        <v>7629680</v>
      </c>
      <c r="D9" s="5">
        <v>6293980</v>
      </c>
      <c r="E9" s="5">
        <v>160972</v>
      </c>
      <c r="F9" s="5">
        <v>52935</v>
      </c>
      <c r="G9" s="5">
        <v>0</v>
      </c>
      <c r="H9" s="5">
        <v>383595</v>
      </c>
      <c r="I9" s="11">
        <f t="shared" si="2"/>
        <v>1290719</v>
      </c>
      <c r="J9" s="5"/>
      <c r="K9" s="5">
        <v>1011110</v>
      </c>
      <c r="L9" s="5">
        <v>128650</v>
      </c>
      <c r="M9" s="5">
        <v>30314</v>
      </c>
      <c r="N9" s="5">
        <v>76258</v>
      </c>
      <c r="O9" s="5">
        <v>41767</v>
      </c>
      <c r="P9" s="5">
        <v>2620</v>
      </c>
      <c r="Q9" s="5"/>
      <c r="R9" s="5">
        <v>-552521</v>
      </c>
    </row>
    <row r="10" spans="1:18" x14ac:dyDescent="0.3">
      <c r="A10" s="43">
        <v>3400</v>
      </c>
      <c r="B10" s="44" t="s">
        <v>342</v>
      </c>
      <c r="C10" s="5">
        <f t="shared" si="1"/>
        <v>2635420</v>
      </c>
      <c r="D10" s="5">
        <v>2133051</v>
      </c>
      <c r="E10" s="5">
        <v>128782</v>
      </c>
      <c r="F10" s="5">
        <v>41620</v>
      </c>
      <c r="G10" s="5">
        <v>10629</v>
      </c>
      <c r="H10" s="5">
        <v>200046</v>
      </c>
      <c r="I10" s="11">
        <f t="shared" si="2"/>
        <v>363454</v>
      </c>
      <c r="J10" s="5"/>
      <c r="K10" s="5">
        <v>218462</v>
      </c>
      <c r="L10" s="5">
        <v>69542</v>
      </c>
      <c r="M10" s="5">
        <v>28895</v>
      </c>
      <c r="N10" s="5">
        <v>32832</v>
      </c>
      <c r="O10" s="5">
        <v>0</v>
      </c>
      <c r="P10" s="5">
        <v>13723</v>
      </c>
      <c r="Q10" s="5"/>
      <c r="R10" s="5">
        <v>-242162</v>
      </c>
    </row>
    <row r="11" spans="1:18" x14ac:dyDescent="0.3">
      <c r="A11" s="43">
        <v>3800</v>
      </c>
      <c r="B11" s="44" t="s">
        <v>343</v>
      </c>
      <c r="C11" s="5">
        <f t="shared" si="1"/>
        <v>2900060</v>
      </c>
      <c r="D11" s="5">
        <v>2333804</v>
      </c>
      <c r="E11" s="5">
        <v>191222</v>
      </c>
      <c r="F11" s="5">
        <v>34341</v>
      </c>
      <c r="G11" s="5">
        <v>0</v>
      </c>
      <c r="H11" s="5">
        <v>207920</v>
      </c>
      <c r="I11" s="11">
        <f t="shared" si="2"/>
        <v>398711</v>
      </c>
      <c r="J11" s="5"/>
      <c r="K11" s="5">
        <v>251469</v>
      </c>
      <c r="L11" s="5">
        <v>82259</v>
      </c>
      <c r="M11" s="5">
        <v>29506</v>
      </c>
      <c r="N11" s="5">
        <v>33092</v>
      </c>
      <c r="O11" s="5">
        <v>1470</v>
      </c>
      <c r="P11" s="5">
        <v>915</v>
      </c>
      <c r="Q11" s="5"/>
      <c r="R11" s="5">
        <v>-265938</v>
      </c>
    </row>
    <row r="12" spans="1:18" x14ac:dyDescent="0.3">
      <c r="A12" s="43">
        <v>4200</v>
      </c>
      <c r="B12" s="44" t="s">
        <v>344</v>
      </c>
      <c r="C12" s="5">
        <f t="shared" si="1"/>
        <v>2192823</v>
      </c>
      <c r="D12" s="5">
        <v>1851658</v>
      </c>
      <c r="E12" s="5">
        <v>72343</v>
      </c>
      <c r="F12" s="5">
        <v>1707</v>
      </c>
      <c r="G12" s="5">
        <v>527</v>
      </c>
      <c r="H12" s="5">
        <v>154161</v>
      </c>
      <c r="I12" s="11">
        <f t="shared" si="2"/>
        <v>335894</v>
      </c>
      <c r="J12" s="5"/>
      <c r="K12" s="5">
        <v>229972</v>
      </c>
      <c r="L12" s="5">
        <v>85665</v>
      </c>
      <c r="M12" s="5">
        <v>1895</v>
      </c>
      <c r="N12" s="5">
        <v>17499</v>
      </c>
      <c r="O12" s="5">
        <v>0</v>
      </c>
      <c r="P12" s="5">
        <v>863</v>
      </c>
      <c r="Q12" s="5"/>
      <c r="R12" s="5">
        <v>-223467</v>
      </c>
    </row>
    <row r="13" spans="1:18" x14ac:dyDescent="0.3">
      <c r="A13" s="43">
        <v>4600</v>
      </c>
      <c r="B13" s="44" t="s">
        <v>345</v>
      </c>
      <c r="C13" s="5">
        <f t="shared" si="1"/>
        <v>3983077</v>
      </c>
      <c r="D13" s="5">
        <v>3128281</v>
      </c>
      <c r="E13" s="5">
        <v>93260</v>
      </c>
      <c r="F13" s="5">
        <v>90347</v>
      </c>
      <c r="G13" s="5">
        <v>0</v>
      </c>
      <c r="H13" s="5">
        <v>332053</v>
      </c>
      <c r="I13" s="11">
        <f t="shared" si="2"/>
        <v>451727</v>
      </c>
      <c r="J13" s="5"/>
      <c r="K13" s="5">
        <v>284791</v>
      </c>
      <c r="L13" s="5">
        <v>60278</v>
      </c>
      <c r="M13" s="5">
        <v>53693</v>
      </c>
      <c r="N13" s="5">
        <v>52379</v>
      </c>
      <c r="O13" s="5">
        <v>0</v>
      </c>
      <c r="P13" s="5">
        <v>586</v>
      </c>
      <c r="Q13" s="5"/>
      <c r="R13" s="5">
        <v>-112591</v>
      </c>
    </row>
    <row r="14" spans="1:18" x14ac:dyDescent="0.3">
      <c r="A14" s="43">
        <v>5000</v>
      </c>
      <c r="B14" s="44" t="s">
        <v>340</v>
      </c>
      <c r="C14" s="5">
        <f t="shared" si="1"/>
        <v>3168851</v>
      </c>
      <c r="D14" s="5">
        <v>2542137</v>
      </c>
      <c r="E14" s="5">
        <v>84290</v>
      </c>
      <c r="F14" s="5">
        <v>25621</v>
      </c>
      <c r="G14" s="5">
        <v>170</v>
      </c>
      <c r="H14" s="5">
        <v>281295</v>
      </c>
      <c r="I14" s="11">
        <f t="shared" si="2"/>
        <v>350794</v>
      </c>
      <c r="J14" s="5"/>
      <c r="K14" s="5">
        <v>209833</v>
      </c>
      <c r="L14" s="5">
        <v>60309</v>
      </c>
      <c r="M14" s="5">
        <v>34828</v>
      </c>
      <c r="N14" s="5">
        <v>45824</v>
      </c>
      <c r="O14" s="5">
        <v>0</v>
      </c>
      <c r="P14" s="5">
        <v>0</v>
      </c>
      <c r="Q14" s="5"/>
      <c r="R14" s="5">
        <v>-115456</v>
      </c>
    </row>
    <row r="15" spans="1:18" x14ac:dyDescent="0.3">
      <c r="A15" s="43">
        <v>5400</v>
      </c>
      <c r="B15" s="44" t="s">
        <v>346</v>
      </c>
      <c r="C15" s="5">
        <f t="shared" si="1"/>
        <v>2349868</v>
      </c>
      <c r="D15" s="5">
        <v>1780404</v>
      </c>
      <c r="E15" s="5">
        <v>78339</v>
      </c>
      <c r="F15" s="5">
        <v>44430</v>
      </c>
      <c r="G15" s="5">
        <v>618</v>
      </c>
      <c r="H15" s="5">
        <v>279617</v>
      </c>
      <c r="I15" s="11">
        <f t="shared" si="2"/>
        <v>422388</v>
      </c>
      <c r="J15" s="5"/>
      <c r="K15" s="5">
        <v>240550</v>
      </c>
      <c r="L15" s="5">
        <v>55388</v>
      </c>
      <c r="M15" s="5">
        <v>29316</v>
      </c>
      <c r="N15" s="5">
        <v>51890</v>
      </c>
      <c r="O15" s="5">
        <v>0</v>
      </c>
      <c r="P15" s="5">
        <v>45244</v>
      </c>
      <c r="Q15" s="5"/>
      <c r="R15" s="5">
        <v>-255928</v>
      </c>
    </row>
    <row r="16" spans="1:18" x14ac:dyDescent="0.3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4" t="s">
        <v>3</v>
      </c>
      <c r="C17" s="5">
        <f t="shared" ref="C17:R17" si="3">SUM(C5:C16)</f>
        <v>34114848.626926571</v>
      </c>
      <c r="D17" s="5">
        <f t="shared" si="3"/>
        <v>28338213</v>
      </c>
      <c r="E17" s="5">
        <f t="shared" si="3"/>
        <v>1034361</v>
      </c>
      <c r="F17" s="5">
        <f t="shared" si="3"/>
        <v>376713</v>
      </c>
      <c r="G17" s="5">
        <f t="shared" si="3"/>
        <v>24964</v>
      </c>
      <c r="H17" s="5">
        <f t="shared" si="3"/>
        <v>2698926</v>
      </c>
      <c r="I17" s="17">
        <f t="shared" si="3"/>
        <v>4584134</v>
      </c>
      <c r="J17" s="5">
        <f t="shared" si="3"/>
        <v>0</v>
      </c>
      <c r="K17" s="5">
        <f t="shared" si="3"/>
        <v>3084562</v>
      </c>
      <c r="L17" s="5">
        <f t="shared" si="3"/>
        <v>709359</v>
      </c>
      <c r="M17" s="5">
        <f t="shared" si="3"/>
        <v>285422</v>
      </c>
      <c r="N17" s="5">
        <f t="shared" si="3"/>
        <v>391497</v>
      </c>
      <c r="O17" s="5">
        <f t="shared" si="3"/>
        <v>43237</v>
      </c>
      <c r="P17" s="5">
        <f t="shared" si="3"/>
        <v>70057</v>
      </c>
      <c r="Q17" s="5">
        <f t="shared" si="3"/>
        <v>0</v>
      </c>
      <c r="R17" s="5">
        <f t="shared" si="3"/>
        <v>-2942462.3730734242</v>
      </c>
    </row>
    <row r="18" spans="2:18" x14ac:dyDescent="0.3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15">
    <tabColor rgb="FF92D050"/>
  </sheetPr>
  <dimension ref="A1:R20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ColWidth="11.44140625" defaultRowHeight="14.4" x14ac:dyDescent="0.3"/>
  <cols>
    <col min="2" max="2" width="13.44140625" customWidth="1"/>
  </cols>
  <sheetData>
    <row r="1" spans="1:18" x14ac:dyDescent="0.3">
      <c r="C1" s="5"/>
    </row>
    <row r="2" spans="1:18" ht="106.2" x14ac:dyDescent="0.3">
      <c r="A2" s="24" t="s">
        <v>2</v>
      </c>
      <c r="B2" s="24" t="s">
        <v>1</v>
      </c>
      <c r="C2" s="24" t="s">
        <v>65</v>
      </c>
      <c r="D2" s="24" t="s">
        <v>201</v>
      </c>
      <c r="E2" s="24" t="s">
        <v>202</v>
      </c>
      <c r="F2" s="24" t="s">
        <v>362</v>
      </c>
      <c r="G2" s="24" t="s">
        <v>365</v>
      </c>
      <c r="H2" s="24" t="s">
        <v>203</v>
      </c>
      <c r="I2" s="13" t="s">
        <v>72</v>
      </c>
      <c r="J2" s="24" t="s">
        <v>67</v>
      </c>
      <c r="K2" s="24" t="s">
        <v>204</v>
      </c>
      <c r="L2" s="24" t="s">
        <v>205</v>
      </c>
      <c r="M2" s="24" t="s">
        <v>68</v>
      </c>
      <c r="N2" s="24" t="s">
        <v>206</v>
      </c>
      <c r="O2" s="24" t="s">
        <v>69</v>
      </c>
      <c r="P2" s="24" t="s">
        <v>70</v>
      </c>
      <c r="Q2" s="24" t="s">
        <v>207</v>
      </c>
      <c r="R2" s="24" t="s">
        <v>66</v>
      </c>
    </row>
    <row r="3" spans="1:18" x14ac:dyDescent="0.3">
      <c r="A3" s="107">
        <v>1</v>
      </c>
      <c r="B3" s="107">
        <v>2</v>
      </c>
      <c r="C3" s="107">
        <f>+B3+1</f>
        <v>3</v>
      </c>
      <c r="D3" s="107">
        <f t="shared" ref="D3:H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>H3+1</f>
        <v>9</v>
      </c>
      <c r="J3" s="107">
        <f>+I3+1</f>
        <v>10</v>
      </c>
      <c r="K3" s="107">
        <f t="shared" ref="K3:R3" si="1">+J3+1</f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</row>
    <row r="4" spans="1:18" x14ac:dyDescent="0.3">
      <c r="I4" s="21"/>
    </row>
    <row r="5" spans="1:18" x14ac:dyDescent="0.3">
      <c r="A5" s="43">
        <v>300</v>
      </c>
      <c r="B5" s="44" t="s">
        <v>0</v>
      </c>
      <c r="C5" s="5">
        <f t="shared" ref="C5:C15" si="2">SUM(D5:I5)+R5</f>
        <v>320775.15139664721</v>
      </c>
      <c r="D5" s="5">
        <v>352076</v>
      </c>
      <c r="E5" s="5">
        <v>74</v>
      </c>
      <c r="F5" s="5">
        <v>4137</v>
      </c>
      <c r="G5" s="5">
        <v>0</v>
      </c>
      <c r="H5" s="5">
        <v>24208</v>
      </c>
      <c r="I5" s="11">
        <f t="shared" ref="I5:I15" si="3">SUM(J5:Q5)</f>
        <v>21349</v>
      </c>
      <c r="J5" s="5"/>
      <c r="K5" s="5">
        <v>20781</v>
      </c>
      <c r="L5" s="5">
        <v>0</v>
      </c>
      <c r="M5" s="5">
        <v>0</v>
      </c>
      <c r="N5" s="5">
        <v>568</v>
      </c>
      <c r="O5" s="5">
        <v>0</v>
      </c>
      <c r="P5" s="5">
        <v>0</v>
      </c>
      <c r="Q5" s="5"/>
      <c r="R5" s="113">
        <v>-81068.848603352788</v>
      </c>
    </row>
    <row r="6" spans="1:18" x14ac:dyDescent="0.3">
      <c r="A6" s="43">
        <v>1100</v>
      </c>
      <c r="B6" s="44" t="s">
        <v>141</v>
      </c>
      <c r="C6" s="5">
        <f t="shared" si="2"/>
        <v>440784</v>
      </c>
      <c r="D6" s="5">
        <v>381496</v>
      </c>
      <c r="E6" s="5">
        <v>13003</v>
      </c>
      <c r="F6" s="5">
        <v>826</v>
      </c>
      <c r="G6" s="5">
        <v>21</v>
      </c>
      <c r="H6" s="5">
        <v>43614</v>
      </c>
      <c r="I6" s="11">
        <f t="shared" si="3"/>
        <v>35537</v>
      </c>
      <c r="J6" s="5"/>
      <c r="K6" s="5">
        <v>20628</v>
      </c>
      <c r="L6" s="5">
        <v>8517</v>
      </c>
      <c r="M6" s="5">
        <v>2980</v>
      </c>
      <c r="N6" s="5">
        <v>2524</v>
      </c>
      <c r="O6" s="5">
        <v>0</v>
      </c>
      <c r="P6" s="5">
        <v>888</v>
      </c>
      <c r="Q6" s="5"/>
      <c r="R6" s="5">
        <v>-33713</v>
      </c>
    </row>
    <row r="7" spans="1:18" x14ac:dyDescent="0.3">
      <c r="A7" s="43">
        <v>1500</v>
      </c>
      <c r="B7" s="44" t="s">
        <v>142</v>
      </c>
      <c r="C7" s="5">
        <f t="shared" si="2"/>
        <v>261043</v>
      </c>
      <c r="D7" s="5">
        <v>201064</v>
      </c>
      <c r="E7" s="5">
        <v>19455</v>
      </c>
      <c r="F7" s="5">
        <v>4737</v>
      </c>
      <c r="G7" s="5">
        <v>1536</v>
      </c>
      <c r="H7" s="5">
        <v>18734</v>
      </c>
      <c r="I7" s="11">
        <f t="shared" si="3"/>
        <v>32633</v>
      </c>
      <c r="J7" s="5"/>
      <c r="K7" s="5">
        <v>20816</v>
      </c>
      <c r="L7" s="5">
        <v>6832</v>
      </c>
      <c r="M7" s="5">
        <v>2575</v>
      </c>
      <c r="N7" s="5">
        <v>2410</v>
      </c>
      <c r="O7" s="5">
        <v>0</v>
      </c>
      <c r="P7" s="5">
        <v>0</v>
      </c>
      <c r="Q7" s="5"/>
      <c r="R7" s="5">
        <v>-17116</v>
      </c>
    </row>
    <row r="8" spans="1:18" x14ac:dyDescent="0.3">
      <c r="A8" s="43">
        <v>1800</v>
      </c>
      <c r="B8" s="44" t="s">
        <v>143</v>
      </c>
      <c r="C8" s="5">
        <f t="shared" si="2"/>
        <v>136238</v>
      </c>
      <c r="D8" s="5">
        <v>94663</v>
      </c>
      <c r="E8" s="5">
        <v>6851</v>
      </c>
      <c r="F8" s="5">
        <v>1506</v>
      </c>
      <c r="G8" s="5">
        <v>170</v>
      </c>
      <c r="H8" s="5">
        <v>12330</v>
      </c>
      <c r="I8" s="11">
        <f t="shared" si="3"/>
        <v>26517</v>
      </c>
      <c r="J8" s="5"/>
      <c r="K8" s="5">
        <v>17180</v>
      </c>
      <c r="L8" s="5">
        <v>4024</v>
      </c>
      <c r="M8" s="5">
        <v>2807</v>
      </c>
      <c r="N8" s="5">
        <v>2506</v>
      </c>
      <c r="O8" s="5">
        <v>0</v>
      </c>
      <c r="P8" s="5">
        <v>0</v>
      </c>
      <c r="Q8" s="5"/>
      <c r="R8" s="5">
        <v>-5799</v>
      </c>
    </row>
    <row r="9" spans="1:18" x14ac:dyDescent="0.3">
      <c r="A9" s="43">
        <v>3000</v>
      </c>
      <c r="B9" s="44" t="s">
        <v>341</v>
      </c>
      <c r="C9" s="5">
        <f t="shared" si="2"/>
        <v>1054837</v>
      </c>
      <c r="D9" s="5">
        <v>910486</v>
      </c>
      <c r="E9" s="5">
        <v>41486</v>
      </c>
      <c r="F9" s="5">
        <v>7289</v>
      </c>
      <c r="G9" s="5">
        <v>0</v>
      </c>
      <c r="H9" s="5">
        <v>54856</v>
      </c>
      <c r="I9" s="11">
        <f t="shared" si="3"/>
        <v>98092</v>
      </c>
      <c r="J9" s="5"/>
      <c r="K9" s="5">
        <v>57450</v>
      </c>
      <c r="L9" s="5">
        <v>18603</v>
      </c>
      <c r="M9" s="5">
        <v>4574</v>
      </c>
      <c r="N9" s="5">
        <v>11027</v>
      </c>
      <c r="O9" s="5">
        <v>6065</v>
      </c>
      <c r="P9" s="5">
        <v>373</v>
      </c>
      <c r="Q9" s="5"/>
      <c r="R9" s="5">
        <v>-57372</v>
      </c>
    </row>
    <row r="10" spans="1:18" x14ac:dyDescent="0.3">
      <c r="A10" s="43">
        <v>3400</v>
      </c>
      <c r="B10" s="44" t="s">
        <v>342</v>
      </c>
      <c r="C10" s="5">
        <f t="shared" si="2"/>
        <v>336250</v>
      </c>
      <c r="D10" s="5">
        <v>269739</v>
      </c>
      <c r="E10" s="5">
        <v>16278</v>
      </c>
      <c r="F10" s="5">
        <v>5918</v>
      </c>
      <c r="G10" s="5">
        <v>1538</v>
      </c>
      <c r="H10" s="5">
        <v>24685</v>
      </c>
      <c r="I10" s="11">
        <f t="shared" si="3"/>
        <v>52236</v>
      </c>
      <c r="J10" s="5"/>
      <c r="K10" s="5">
        <v>31588</v>
      </c>
      <c r="L10" s="5">
        <v>9911</v>
      </c>
      <c r="M10" s="5">
        <v>4133</v>
      </c>
      <c r="N10" s="5">
        <v>4655</v>
      </c>
      <c r="O10" s="5">
        <v>0</v>
      </c>
      <c r="P10" s="5">
        <v>1949</v>
      </c>
      <c r="Q10" s="5"/>
      <c r="R10" s="5">
        <v>-34144</v>
      </c>
    </row>
    <row r="11" spans="1:18" x14ac:dyDescent="0.3">
      <c r="A11" s="43">
        <v>3800</v>
      </c>
      <c r="B11" s="44" t="s">
        <v>343</v>
      </c>
      <c r="C11" s="5">
        <f t="shared" si="2"/>
        <v>410272</v>
      </c>
      <c r="D11" s="5">
        <v>327989</v>
      </c>
      <c r="E11" s="5">
        <v>27735</v>
      </c>
      <c r="F11" s="5">
        <v>4911</v>
      </c>
      <c r="G11" s="5">
        <v>0</v>
      </c>
      <c r="H11" s="5">
        <v>29156</v>
      </c>
      <c r="I11" s="11">
        <f t="shared" si="3"/>
        <v>57270</v>
      </c>
      <c r="J11" s="5"/>
      <c r="K11" s="5">
        <v>36572</v>
      </c>
      <c r="L11" s="5">
        <v>11281</v>
      </c>
      <c r="M11" s="5">
        <v>4466</v>
      </c>
      <c r="N11" s="5">
        <v>4655</v>
      </c>
      <c r="O11" s="5">
        <v>157</v>
      </c>
      <c r="P11" s="5">
        <v>139</v>
      </c>
      <c r="Q11" s="5"/>
      <c r="R11" s="5">
        <v>-36789</v>
      </c>
    </row>
    <row r="12" spans="1:18" x14ac:dyDescent="0.3">
      <c r="A12" s="43">
        <v>4200</v>
      </c>
      <c r="B12" s="44" t="s">
        <v>344</v>
      </c>
      <c r="C12" s="5">
        <f t="shared" si="2"/>
        <v>316543</v>
      </c>
      <c r="D12" s="5">
        <v>261541</v>
      </c>
      <c r="E12" s="5">
        <v>15633</v>
      </c>
      <c r="F12" s="5">
        <v>269</v>
      </c>
      <c r="G12" s="5">
        <v>74</v>
      </c>
      <c r="H12" s="5">
        <v>21665</v>
      </c>
      <c r="I12" s="11">
        <f t="shared" si="3"/>
        <v>42542</v>
      </c>
      <c r="J12" s="5"/>
      <c r="K12" s="5">
        <v>27333</v>
      </c>
      <c r="L12" s="5">
        <v>12321</v>
      </c>
      <c r="M12" s="5">
        <v>268</v>
      </c>
      <c r="N12" s="5">
        <v>2498</v>
      </c>
      <c r="O12" s="5">
        <v>0</v>
      </c>
      <c r="P12" s="5">
        <v>122</v>
      </c>
      <c r="Q12" s="5"/>
      <c r="R12" s="5">
        <v>-25181</v>
      </c>
    </row>
    <row r="13" spans="1:18" x14ac:dyDescent="0.3">
      <c r="A13" s="43">
        <v>4600</v>
      </c>
      <c r="B13" s="44" t="s">
        <v>345</v>
      </c>
      <c r="C13" s="5">
        <f t="shared" si="2"/>
        <v>577018</v>
      </c>
      <c r="D13" s="5">
        <v>432914</v>
      </c>
      <c r="E13" s="5">
        <v>39853</v>
      </c>
      <c r="F13" s="5">
        <v>12963</v>
      </c>
      <c r="G13" s="5">
        <v>0</v>
      </c>
      <c r="H13" s="5">
        <v>45643</v>
      </c>
      <c r="I13" s="11">
        <f t="shared" si="3"/>
        <v>62055</v>
      </c>
      <c r="J13" s="5"/>
      <c r="K13" s="5">
        <v>40071</v>
      </c>
      <c r="L13" s="5">
        <v>7988</v>
      </c>
      <c r="M13" s="5">
        <v>7203</v>
      </c>
      <c r="N13" s="5">
        <v>6710</v>
      </c>
      <c r="O13" s="5">
        <v>0</v>
      </c>
      <c r="P13" s="5">
        <v>83</v>
      </c>
      <c r="Q13" s="5"/>
      <c r="R13" s="5">
        <v>-16410</v>
      </c>
    </row>
    <row r="14" spans="1:18" x14ac:dyDescent="0.3">
      <c r="A14" s="43">
        <v>5000</v>
      </c>
      <c r="B14" s="44" t="s">
        <v>340</v>
      </c>
      <c r="C14" s="5">
        <f t="shared" si="2"/>
        <v>423893</v>
      </c>
      <c r="D14" s="5">
        <v>319091</v>
      </c>
      <c r="E14" s="5">
        <v>24485</v>
      </c>
      <c r="F14" s="5">
        <v>3675</v>
      </c>
      <c r="G14" s="5">
        <v>22</v>
      </c>
      <c r="H14" s="5">
        <v>36270</v>
      </c>
      <c r="I14" s="11">
        <f t="shared" si="3"/>
        <v>56634</v>
      </c>
      <c r="J14" s="5"/>
      <c r="K14" s="5">
        <v>37206</v>
      </c>
      <c r="L14" s="5">
        <v>8342</v>
      </c>
      <c r="M14" s="5">
        <v>4676</v>
      </c>
      <c r="N14" s="5">
        <v>6410</v>
      </c>
      <c r="O14" s="5">
        <v>0</v>
      </c>
      <c r="P14" s="5">
        <v>0</v>
      </c>
      <c r="Q14" s="5"/>
      <c r="R14" s="5">
        <v>-16284</v>
      </c>
    </row>
    <row r="15" spans="1:18" x14ac:dyDescent="0.3">
      <c r="A15" s="43">
        <v>5400</v>
      </c>
      <c r="B15" s="44" t="s">
        <v>346</v>
      </c>
      <c r="C15" s="5">
        <f t="shared" si="2"/>
        <v>104370</v>
      </c>
      <c r="D15" s="5">
        <v>75785</v>
      </c>
      <c r="E15" s="5">
        <v>3636</v>
      </c>
      <c r="F15" s="5">
        <v>2491</v>
      </c>
      <c r="G15" s="5">
        <v>31</v>
      </c>
      <c r="H15" s="5">
        <v>10611</v>
      </c>
      <c r="I15" s="11">
        <f t="shared" si="3"/>
        <v>22689</v>
      </c>
      <c r="J15" s="5"/>
      <c r="K15" s="5">
        <v>13039</v>
      </c>
      <c r="L15" s="5">
        <v>2875</v>
      </c>
      <c r="M15" s="5">
        <v>1342</v>
      </c>
      <c r="N15" s="5">
        <v>1784</v>
      </c>
      <c r="O15" s="5">
        <v>0</v>
      </c>
      <c r="P15" s="5">
        <v>3649</v>
      </c>
      <c r="Q15" s="5"/>
      <c r="R15" s="5">
        <v>-10873</v>
      </c>
    </row>
    <row r="16" spans="1:18" x14ac:dyDescent="0.3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4" t="s">
        <v>3</v>
      </c>
      <c r="C17" s="5">
        <f t="shared" ref="C17:R17" si="4">SUM(C5:C16)</f>
        <v>4382023.1513966471</v>
      </c>
      <c r="D17" s="5">
        <f t="shared" si="4"/>
        <v>3626844</v>
      </c>
      <c r="E17" s="5">
        <f t="shared" si="4"/>
        <v>208489</v>
      </c>
      <c r="F17" s="5">
        <f t="shared" si="4"/>
        <v>48722</v>
      </c>
      <c r="G17" s="5">
        <f t="shared" si="4"/>
        <v>3392</v>
      </c>
      <c r="H17" s="5">
        <f t="shared" si="4"/>
        <v>321772</v>
      </c>
      <c r="I17" s="17">
        <f t="shared" si="4"/>
        <v>507554</v>
      </c>
      <c r="J17" s="5">
        <f t="shared" si="4"/>
        <v>0</v>
      </c>
      <c r="K17" s="5">
        <f t="shared" si="4"/>
        <v>322664</v>
      </c>
      <c r="L17" s="5">
        <f t="shared" si="4"/>
        <v>90694</v>
      </c>
      <c r="M17" s="5">
        <f t="shared" si="4"/>
        <v>35024</v>
      </c>
      <c r="N17" s="5">
        <f t="shared" si="4"/>
        <v>45747</v>
      </c>
      <c r="O17" s="5">
        <f t="shared" si="4"/>
        <v>6222</v>
      </c>
      <c r="P17" s="5">
        <f t="shared" si="4"/>
        <v>7203</v>
      </c>
      <c r="Q17" s="5">
        <f t="shared" si="4"/>
        <v>0</v>
      </c>
      <c r="R17" s="5">
        <f t="shared" si="4"/>
        <v>-334749.84860335279</v>
      </c>
    </row>
    <row r="18" spans="2:18" x14ac:dyDescent="0.3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16">
    <tabColor rgb="FF92D050"/>
  </sheetPr>
  <dimension ref="A1:R20"/>
  <sheetViews>
    <sheetView workbookViewId="0">
      <pane xSplit="2" ySplit="4" topLeftCell="C5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ColWidth="11.44140625" defaultRowHeight="14.4" x14ac:dyDescent="0.3"/>
  <cols>
    <col min="2" max="2" width="13.44140625" customWidth="1"/>
    <col min="9" max="9" width="12.44140625" customWidth="1"/>
  </cols>
  <sheetData>
    <row r="1" spans="1:18" x14ac:dyDescent="0.3">
      <c r="C1" s="5"/>
    </row>
    <row r="2" spans="1:18" ht="93" x14ac:dyDescent="0.3">
      <c r="A2" s="24" t="s">
        <v>2</v>
      </c>
      <c r="B2" s="24" t="s">
        <v>1</v>
      </c>
      <c r="C2" s="24" t="s">
        <v>59</v>
      </c>
      <c r="D2" s="24" t="s">
        <v>194</v>
      </c>
      <c r="E2" s="24" t="s">
        <v>195</v>
      </c>
      <c r="F2" s="24" t="s">
        <v>361</v>
      </c>
      <c r="G2" s="24" t="s">
        <v>364</v>
      </c>
      <c r="H2" s="24" t="s">
        <v>196</v>
      </c>
      <c r="I2" s="13" t="s">
        <v>71</v>
      </c>
      <c r="J2" s="24" t="s">
        <v>61</v>
      </c>
      <c r="K2" s="24" t="s">
        <v>197</v>
      </c>
      <c r="L2" s="24" t="s">
        <v>198</v>
      </c>
      <c r="M2" s="24" t="s">
        <v>62</v>
      </c>
      <c r="N2" s="24" t="s">
        <v>199</v>
      </c>
      <c r="O2" s="24" t="s">
        <v>63</v>
      </c>
      <c r="P2" s="24" t="s">
        <v>64</v>
      </c>
      <c r="Q2" s="24" t="s">
        <v>200</v>
      </c>
      <c r="R2" s="24" t="s">
        <v>60</v>
      </c>
    </row>
    <row r="3" spans="1:18" x14ac:dyDescent="0.3">
      <c r="A3" s="107">
        <v>1</v>
      </c>
      <c r="B3" s="107">
        <v>2</v>
      </c>
      <c r="C3" s="107">
        <v>3</v>
      </c>
      <c r="D3" s="107">
        <f>+C3+1</f>
        <v>4</v>
      </c>
      <c r="E3" s="107">
        <f t="shared" ref="E3:R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3">
      <c r="I4" s="21"/>
    </row>
    <row r="5" spans="1:18" x14ac:dyDescent="0.3">
      <c r="A5" s="43">
        <v>300</v>
      </c>
      <c r="B5" s="44" t="s">
        <v>0</v>
      </c>
      <c r="C5" s="5">
        <f t="shared" ref="C5:C15" si="1">SUM(D5:I5)+R5</f>
        <v>2392173</v>
      </c>
      <c r="D5" s="5">
        <v>2160166</v>
      </c>
      <c r="E5" s="5">
        <v>433</v>
      </c>
      <c r="F5" s="5">
        <v>23174</v>
      </c>
      <c r="G5" s="5">
        <v>0</v>
      </c>
      <c r="H5" s="5">
        <v>131611</v>
      </c>
      <c r="I5" s="11">
        <f t="shared" ref="I5:I15" si="2">SUM(J5:Q5)</f>
        <v>76789</v>
      </c>
      <c r="J5" s="5"/>
      <c r="K5" s="5">
        <v>73575</v>
      </c>
      <c r="L5" s="5">
        <v>0</v>
      </c>
      <c r="M5" s="5">
        <v>3</v>
      </c>
      <c r="N5" s="5">
        <v>3211</v>
      </c>
      <c r="O5" s="5">
        <v>0</v>
      </c>
      <c r="P5" s="5">
        <v>0</v>
      </c>
      <c r="Q5" s="5"/>
      <c r="R5" s="5">
        <v>0</v>
      </c>
    </row>
    <row r="6" spans="1:18" x14ac:dyDescent="0.3">
      <c r="A6" s="43">
        <v>1100</v>
      </c>
      <c r="B6" s="44" t="s">
        <v>141</v>
      </c>
      <c r="C6" s="5">
        <f t="shared" si="1"/>
        <v>2833636</v>
      </c>
      <c r="D6" s="5">
        <v>2322507</v>
      </c>
      <c r="E6" s="5">
        <v>71987</v>
      </c>
      <c r="F6" s="5">
        <v>4413</v>
      </c>
      <c r="G6" s="5">
        <v>125</v>
      </c>
      <c r="H6" s="5">
        <v>241875</v>
      </c>
      <c r="I6" s="11">
        <f t="shared" si="2"/>
        <v>192729</v>
      </c>
      <c r="J6" s="5"/>
      <c r="K6" s="5">
        <v>130696</v>
      </c>
      <c r="L6" s="5">
        <v>27186</v>
      </c>
      <c r="M6" s="5">
        <v>16285</v>
      </c>
      <c r="N6" s="5">
        <v>13738</v>
      </c>
      <c r="O6" s="5">
        <v>0</v>
      </c>
      <c r="P6" s="5">
        <v>4824</v>
      </c>
      <c r="Q6" s="5"/>
      <c r="R6" s="5">
        <v>0</v>
      </c>
    </row>
    <row r="7" spans="1:18" x14ac:dyDescent="0.3">
      <c r="A7" s="43">
        <v>1500</v>
      </c>
      <c r="B7" s="44" t="s">
        <v>142</v>
      </c>
      <c r="C7" s="5">
        <f t="shared" si="1"/>
        <v>1621048</v>
      </c>
      <c r="D7" s="5">
        <v>1258314</v>
      </c>
      <c r="E7" s="5">
        <v>36660</v>
      </c>
      <c r="F7" s="5">
        <v>22577</v>
      </c>
      <c r="G7" s="5">
        <v>8228</v>
      </c>
      <c r="H7" s="5">
        <v>113479</v>
      </c>
      <c r="I7" s="11">
        <f t="shared" si="2"/>
        <v>181790</v>
      </c>
      <c r="J7" s="5"/>
      <c r="K7" s="5">
        <v>124269</v>
      </c>
      <c r="L7" s="5">
        <v>29301</v>
      </c>
      <c r="M7" s="5">
        <v>14567</v>
      </c>
      <c r="N7" s="5">
        <v>13653</v>
      </c>
      <c r="O7" s="5">
        <v>0</v>
      </c>
      <c r="P7" s="5">
        <v>0</v>
      </c>
      <c r="Q7" s="5"/>
      <c r="R7" s="5">
        <v>0</v>
      </c>
    </row>
    <row r="8" spans="1:18" x14ac:dyDescent="0.3">
      <c r="A8" s="43">
        <v>1800</v>
      </c>
      <c r="B8" s="44" t="s">
        <v>143</v>
      </c>
      <c r="C8" s="5">
        <f t="shared" si="1"/>
        <v>1892941</v>
      </c>
      <c r="D8" s="5">
        <v>1379301</v>
      </c>
      <c r="E8" s="5">
        <v>44869</v>
      </c>
      <c r="F8" s="5">
        <v>15268</v>
      </c>
      <c r="G8" s="5">
        <v>1743</v>
      </c>
      <c r="H8" s="5">
        <v>166486</v>
      </c>
      <c r="I8" s="11">
        <f t="shared" si="2"/>
        <v>285274</v>
      </c>
      <c r="J8" s="5"/>
      <c r="K8" s="5">
        <v>184962</v>
      </c>
      <c r="L8" s="5">
        <v>39625</v>
      </c>
      <c r="M8" s="5">
        <v>28942</v>
      </c>
      <c r="N8" s="5">
        <v>31745</v>
      </c>
      <c r="O8" s="5">
        <v>0</v>
      </c>
      <c r="P8" s="5">
        <v>0</v>
      </c>
      <c r="Q8" s="5"/>
      <c r="R8" s="5">
        <v>0</v>
      </c>
    </row>
    <row r="9" spans="1:18" x14ac:dyDescent="0.3">
      <c r="A9" s="43">
        <v>3000</v>
      </c>
      <c r="B9" s="44" t="s">
        <v>341</v>
      </c>
      <c r="C9" s="5">
        <f t="shared" si="1"/>
        <v>6885107</v>
      </c>
      <c r="D9" s="5">
        <v>5629343</v>
      </c>
      <c r="E9" s="5">
        <v>133790</v>
      </c>
      <c r="F9" s="5">
        <v>44357</v>
      </c>
      <c r="G9" s="5">
        <v>0</v>
      </c>
      <c r="H9" s="5">
        <v>344130</v>
      </c>
      <c r="I9" s="11">
        <f t="shared" si="2"/>
        <v>733487</v>
      </c>
      <c r="J9" s="5"/>
      <c r="K9" s="5">
        <v>512070</v>
      </c>
      <c r="L9" s="5">
        <v>85394</v>
      </c>
      <c r="M9" s="5">
        <v>27200</v>
      </c>
      <c r="N9" s="5">
        <v>68861</v>
      </c>
      <c r="O9" s="5">
        <v>37607</v>
      </c>
      <c r="P9" s="5">
        <v>2355</v>
      </c>
      <c r="Q9" s="5"/>
      <c r="R9" s="5">
        <v>0</v>
      </c>
    </row>
    <row r="10" spans="1:18" x14ac:dyDescent="0.3">
      <c r="A10" s="43">
        <v>3400</v>
      </c>
      <c r="B10" s="44" t="s">
        <v>342</v>
      </c>
      <c r="C10" s="5">
        <f t="shared" si="1"/>
        <v>2395477</v>
      </c>
      <c r="D10" s="5">
        <v>1829285</v>
      </c>
      <c r="E10" s="5">
        <v>94118</v>
      </c>
      <c r="F10" s="5">
        <v>30438</v>
      </c>
      <c r="G10" s="5">
        <v>9768</v>
      </c>
      <c r="H10" s="5">
        <v>150743</v>
      </c>
      <c r="I10" s="11">
        <f t="shared" si="2"/>
        <v>281125</v>
      </c>
      <c r="J10" s="5"/>
      <c r="K10" s="5">
        <v>190935</v>
      </c>
      <c r="L10" s="5">
        <v>29935</v>
      </c>
      <c r="M10" s="5">
        <v>21770</v>
      </c>
      <c r="N10" s="5">
        <v>29701</v>
      </c>
      <c r="O10" s="5">
        <v>0</v>
      </c>
      <c r="P10" s="5">
        <v>8784</v>
      </c>
      <c r="Q10" s="5"/>
      <c r="R10" s="5">
        <v>0</v>
      </c>
    </row>
    <row r="11" spans="1:18" x14ac:dyDescent="0.3">
      <c r="A11" s="43">
        <v>3800</v>
      </c>
      <c r="B11" s="44" t="s">
        <v>343</v>
      </c>
      <c r="C11" s="5">
        <f t="shared" si="1"/>
        <v>2610180</v>
      </c>
      <c r="D11" s="5">
        <v>1969077</v>
      </c>
      <c r="E11" s="5">
        <v>148313</v>
      </c>
      <c r="F11" s="5">
        <v>26573</v>
      </c>
      <c r="G11" s="5">
        <v>0</v>
      </c>
      <c r="H11" s="5">
        <v>156778</v>
      </c>
      <c r="I11" s="11">
        <f t="shared" si="2"/>
        <v>309439</v>
      </c>
      <c r="J11" s="5"/>
      <c r="K11" s="5">
        <v>205775</v>
      </c>
      <c r="L11" s="5">
        <v>53530</v>
      </c>
      <c r="M11" s="5">
        <v>22687</v>
      </c>
      <c r="N11" s="5">
        <v>25411</v>
      </c>
      <c r="O11" s="5">
        <v>1260</v>
      </c>
      <c r="P11" s="5">
        <v>776</v>
      </c>
      <c r="Q11" s="5"/>
      <c r="R11" s="5">
        <v>0</v>
      </c>
    </row>
    <row r="12" spans="1:18" x14ac:dyDescent="0.3">
      <c r="A12" s="43">
        <v>4200</v>
      </c>
      <c r="B12" s="44" t="s">
        <v>344</v>
      </c>
      <c r="C12" s="5">
        <f t="shared" si="1"/>
        <v>2020318</v>
      </c>
      <c r="D12" s="5">
        <v>1608729</v>
      </c>
      <c r="E12" s="5">
        <v>51100</v>
      </c>
      <c r="F12" s="5">
        <v>1422</v>
      </c>
      <c r="G12" s="5">
        <v>451</v>
      </c>
      <c r="H12" s="5">
        <v>121547</v>
      </c>
      <c r="I12" s="11">
        <f t="shared" si="2"/>
        <v>237069</v>
      </c>
      <c r="J12" s="5"/>
      <c r="K12" s="5">
        <v>164207</v>
      </c>
      <c r="L12" s="5">
        <v>56439</v>
      </c>
      <c r="M12" s="5">
        <v>1526</v>
      </c>
      <c r="N12" s="5">
        <v>14165</v>
      </c>
      <c r="O12" s="5">
        <v>0</v>
      </c>
      <c r="P12" s="5">
        <v>732</v>
      </c>
      <c r="Q12" s="5"/>
      <c r="R12" s="5">
        <v>0</v>
      </c>
    </row>
    <row r="13" spans="1:18" x14ac:dyDescent="0.3">
      <c r="A13" s="43">
        <v>4600</v>
      </c>
      <c r="B13" s="44" t="s">
        <v>345</v>
      </c>
      <c r="C13" s="5">
        <f t="shared" si="1"/>
        <v>3616790</v>
      </c>
      <c r="D13" s="5">
        <v>2800585</v>
      </c>
      <c r="E13" s="5">
        <v>48568</v>
      </c>
      <c r="F13" s="5">
        <v>77008</v>
      </c>
      <c r="G13" s="5">
        <v>0</v>
      </c>
      <c r="H13" s="5">
        <v>279316</v>
      </c>
      <c r="I13" s="11">
        <f t="shared" si="2"/>
        <v>411313</v>
      </c>
      <c r="J13" s="5"/>
      <c r="K13" s="5">
        <v>287713</v>
      </c>
      <c r="L13" s="5">
        <v>33383</v>
      </c>
      <c r="M13" s="5">
        <v>45566</v>
      </c>
      <c r="N13" s="5">
        <v>44160</v>
      </c>
      <c r="O13" s="5">
        <v>0</v>
      </c>
      <c r="P13" s="5">
        <v>491</v>
      </c>
      <c r="Q13" s="5"/>
      <c r="R13" s="5">
        <v>0</v>
      </c>
    </row>
    <row r="14" spans="1:18" x14ac:dyDescent="0.3">
      <c r="A14" s="43">
        <v>5000</v>
      </c>
      <c r="B14" s="44" t="s">
        <v>340</v>
      </c>
      <c r="C14" s="5">
        <f t="shared" si="1"/>
        <v>2844292</v>
      </c>
      <c r="D14" s="5">
        <v>2230658</v>
      </c>
      <c r="E14" s="5">
        <v>59591</v>
      </c>
      <c r="F14" s="5">
        <v>21626</v>
      </c>
      <c r="G14" s="5">
        <v>148</v>
      </c>
      <c r="H14" s="5">
        <v>239451</v>
      </c>
      <c r="I14" s="11">
        <f t="shared" si="2"/>
        <v>292818</v>
      </c>
      <c r="J14" s="5"/>
      <c r="K14" s="5">
        <v>190807</v>
      </c>
      <c r="L14" s="5">
        <v>32774</v>
      </c>
      <c r="M14" s="5">
        <v>29801</v>
      </c>
      <c r="N14" s="5">
        <v>39436</v>
      </c>
      <c r="O14" s="5">
        <v>0</v>
      </c>
      <c r="P14" s="5">
        <v>0</v>
      </c>
      <c r="Q14" s="5"/>
      <c r="R14" s="5">
        <v>0</v>
      </c>
    </row>
    <row r="15" spans="1:18" x14ac:dyDescent="0.3">
      <c r="A15" s="43">
        <v>5400</v>
      </c>
      <c r="B15" s="44" t="s">
        <v>346</v>
      </c>
      <c r="C15" s="5">
        <f t="shared" si="1"/>
        <v>2119394</v>
      </c>
      <c r="D15" s="5">
        <v>1443753</v>
      </c>
      <c r="E15" s="5">
        <v>61571</v>
      </c>
      <c r="F15" s="5">
        <v>36693</v>
      </c>
      <c r="G15" s="5">
        <v>508</v>
      </c>
      <c r="H15" s="5">
        <v>228545</v>
      </c>
      <c r="I15" s="11">
        <f t="shared" si="2"/>
        <v>348324</v>
      </c>
      <c r="J15" s="5"/>
      <c r="K15" s="5">
        <v>222884</v>
      </c>
      <c r="L15" s="5">
        <v>22153</v>
      </c>
      <c r="M15" s="5">
        <v>24028</v>
      </c>
      <c r="N15" s="5">
        <v>42654</v>
      </c>
      <c r="O15" s="5">
        <v>0</v>
      </c>
      <c r="P15" s="5">
        <v>36605</v>
      </c>
      <c r="Q15" s="5"/>
      <c r="R15" s="5">
        <v>0</v>
      </c>
    </row>
    <row r="16" spans="1:18" x14ac:dyDescent="0.3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3">
      <c r="B17" s="44" t="s">
        <v>3</v>
      </c>
      <c r="C17" s="5">
        <f t="shared" ref="C17:R17" si="3">SUM(C5:C16)</f>
        <v>31231356</v>
      </c>
      <c r="D17" s="5">
        <f t="shared" si="3"/>
        <v>24631718</v>
      </c>
      <c r="E17" s="5">
        <f t="shared" si="3"/>
        <v>751000</v>
      </c>
      <c r="F17" s="5">
        <f t="shared" si="3"/>
        <v>303549</v>
      </c>
      <c r="G17" s="5">
        <f t="shared" si="3"/>
        <v>20971</v>
      </c>
      <c r="H17" s="5">
        <f t="shared" si="3"/>
        <v>2173961</v>
      </c>
      <c r="I17" s="17">
        <f t="shared" si="3"/>
        <v>3350157</v>
      </c>
      <c r="J17" s="5">
        <f t="shared" si="3"/>
        <v>0</v>
      </c>
      <c r="K17" s="5">
        <f t="shared" si="3"/>
        <v>2287893</v>
      </c>
      <c r="L17" s="5">
        <f t="shared" si="3"/>
        <v>409720</v>
      </c>
      <c r="M17" s="5">
        <f t="shared" si="3"/>
        <v>232375</v>
      </c>
      <c r="N17" s="5">
        <f t="shared" si="3"/>
        <v>326735</v>
      </c>
      <c r="O17" s="5">
        <f t="shared" si="3"/>
        <v>38867</v>
      </c>
      <c r="P17" s="5">
        <f t="shared" si="3"/>
        <v>54567</v>
      </c>
      <c r="Q17" s="5">
        <f t="shared" si="3"/>
        <v>0</v>
      </c>
      <c r="R17" s="5">
        <f t="shared" si="3"/>
        <v>0</v>
      </c>
    </row>
    <row r="18" spans="2:18" x14ac:dyDescent="0.3">
      <c r="B18" s="45"/>
      <c r="C18" s="5">
        <f>+C17*1000/'2023 Nto driftsutg'!$V$17</f>
        <v>5663.9533584715136</v>
      </c>
      <c r="D18" s="5">
        <f>+D17*1000/'2023 Nto driftsutg'!$V$17</f>
        <v>4467.0779549572944</v>
      </c>
      <c r="E18" s="5">
        <f>+E17*1000/'2023 Nto driftsutg'!$V$17</f>
        <v>136.19738355939802</v>
      </c>
      <c r="F18" s="5">
        <f>+F17*1000/'2023 Nto driftsutg'!$V$17</f>
        <v>55.050039390241956</v>
      </c>
      <c r="G18" s="5">
        <f>+G17*1000/'2023 Nto driftsutg'!$V$17</f>
        <v>3.8031895214702209</v>
      </c>
      <c r="H18" s="5">
        <f>+H17*1000/'2023 Nto driftsutg'!$V$17</f>
        <v>394.25805613871171</v>
      </c>
      <c r="I18" s="5">
        <f>+I17*1000/'2023 Nto driftsutg'!$V$17</f>
        <v>607.56673490439709</v>
      </c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3">
      <c r="C19" s="5"/>
      <c r="D19" s="5">
        <f>SUM(D18:H18)</f>
        <v>5056.3866235671157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17">
    <tabColor rgb="FF92D050"/>
  </sheetPr>
  <dimension ref="A1:S20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ColWidth="11.44140625" defaultRowHeight="14.4" x14ac:dyDescent="0.3"/>
  <cols>
    <col min="2" max="2" width="13.44140625" customWidth="1"/>
  </cols>
  <sheetData>
    <row r="1" spans="1:18" x14ac:dyDescent="0.3">
      <c r="C1" s="5"/>
    </row>
    <row r="2" spans="1:18" ht="93" x14ac:dyDescent="0.3">
      <c r="A2" s="24" t="s">
        <v>2</v>
      </c>
      <c r="B2" s="24" t="s">
        <v>1</v>
      </c>
      <c r="C2" s="24" t="s">
        <v>92</v>
      </c>
      <c r="D2" s="24" t="s">
        <v>208</v>
      </c>
      <c r="E2" s="24" t="s">
        <v>209</v>
      </c>
      <c r="F2" s="24" t="s">
        <v>363</v>
      </c>
      <c r="G2" s="24" t="s">
        <v>366</v>
      </c>
      <c r="H2" s="24" t="s">
        <v>210</v>
      </c>
      <c r="I2" s="13" t="s">
        <v>93</v>
      </c>
      <c r="J2" s="24" t="s">
        <v>94</v>
      </c>
      <c r="K2" s="24" t="s">
        <v>211</v>
      </c>
      <c r="L2" s="24" t="s">
        <v>212</v>
      </c>
      <c r="M2" s="24" t="s">
        <v>95</v>
      </c>
      <c r="N2" s="24" t="s">
        <v>213</v>
      </c>
      <c r="O2" s="24" t="s">
        <v>96</v>
      </c>
      <c r="P2" s="24" t="s">
        <v>97</v>
      </c>
      <c r="Q2" s="24" t="s">
        <v>214</v>
      </c>
      <c r="R2" s="24" t="s">
        <v>106</v>
      </c>
    </row>
    <row r="3" spans="1:18" x14ac:dyDescent="0.3">
      <c r="A3" s="107">
        <v>1</v>
      </c>
      <c r="B3" s="107">
        <v>2</v>
      </c>
      <c r="C3" s="107">
        <v>3</v>
      </c>
      <c r="D3" s="107">
        <f>+C3+1</f>
        <v>4</v>
      </c>
      <c r="E3" s="107">
        <f t="shared" ref="E3:R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3">
      <c r="I4" s="21"/>
    </row>
    <row r="5" spans="1:18" x14ac:dyDescent="0.3">
      <c r="A5" s="43">
        <v>300</v>
      </c>
      <c r="B5" s="44" t="s">
        <v>0</v>
      </c>
      <c r="C5" s="5">
        <f>SUM(D5:I5)+R5</f>
        <v>86277.569099609216</v>
      </c>
      <c r="D5" s="5">
        <v>328284</v>
      </c>
      <c r="E5" s="5">
        <v>72</v>
      </c>
      <c r="F5" s="5">
        <v>6151</v>
      </c>
      <c r="G5" s="5">
        <v>0</v>
      </c>
      <c r="H5" s="5">
        <v>57961</v>
      </c>
      <c r="I5" s="11">
        <f t="shared" ref="I5:I15" si="1">SUM(J5:Q5)</f>
        <v>43202</v>
      </c>
      <c r="J5" s="5"/>
      <c r="K5" s="5">
        <v>41941</v>
      </c>
      <c r="L5" s="5">
        <v>0</v>
      </c>
      <c r="M5" s="5">
        <v>0</v>
      </c>
      <c r="N5" s="5">
        <v>1261</v>
      </c>
      <c r="O5" s="5">
        <v>0</v>
      </c>
      <c r="P5" s="5">
        <v>0</v>
      </c>
      <c r="Q5" s="5"/>
      <c r="R5" s="113">
        <v>-349392.43090039078</v>
      </c>
    </row>
    <row r="6" spans="1:18" x14ac:dyDescent="0.3">
      <c r="A6" s="43">
        <v>1100</v>
      </c>
      <c r="B6" s="44" t="s">
        <v>141</v>
      </c>
      <c r="C6" s="5">
        <f t="shared" ref="C6:C15" si="2">SUM(D6:I6)+R6</f>
        <v>269293</v>
      </c>
      <c r="D6" s="5">
        <v>374398</v>
      </c>
      <c r="E6" s="5">
        <v>18345</v>
      </c>
      <c r="F6" s="5">
        <v>1289</v>
      </c>
      <c r="G6" s="5">
        <v>25</v>
      </c>
      <c r="H6" s="5">
        <v>61909</v>
      </c>
      <c r="I6" s="11">
        <f t="shared" si="1"/>
        <v>52413</v>
      </c>
      <c r="J6" s="5"/>
      <c r="K6" s="5">
        <v>29800</v>
      </c>
      <c r="L6" s="5">
        <v>13041</v>
      </c>
      <c r="M6" s="5">
        <v>4439</v>
      </c>
      <c r="N6" s="5">
        <v>3851</v>
      </c>
      <c r="O6" s="5">
        <v>0</v>
      </c>
      <c r="P6" s="5">
        <v>1282</v>
      </c>
      <c r="Q6" s="5"/>
      <c r="R6" s="5">
        <v>-239086</v>
      </c>
    </row>
    <row r="7" spans="1:18" x14ac:dyDescent="0.3">
      <c r="A7" s="43">
        <v>1500</v>
      </c>
      <c r="B7" s="44" t="s">
        <v>142</v>
      </c>
      <c r="C7" s="5">
        <f t="shared" si="2"/>
        <v>171153</v>
      </c>
      <c r="D7" s="5">
        <v>216646</v>
      </c>
      <c r="E7" s="5">
        <v>27191</v>
      </c>
      <c r="F7" s="5">
        <v>7521</v>
      </c>
      <c r="G7" s="5">
        <v>2328</v>
      </c>
      <c r="H7" s="5">
        <v>33161</v>
      </c>
      <c r="I7" s="11">
        <f t="shared" si="1"/>
        <v>49600</v>
      </c>
      <c r="J7" s="5"/>
      <c r="K7" s="5">
        <v>30781</v>
      </c>
      <c r="L7" s="5">
        <v>10795</v>
      </c>
      <c r="M7" s="5">
        <v>3903</v>
      </c>
      <c r="N7" s="5">
        <v>4121</v>
      </c>
      <c r="O7" s="5">
        <v>0</v>
      </c>
      <c r="P7" s="5">
        <v>0</v>
      </c>
      <c r="Q7" s="5"/>
      <c r="R7" s="5">
        <v>-165294</v>
      </c>
    </row>
    <row r="8" spans="1:18" x14ac:dyDescent="0.3">
      <c r="A8" s="43">
        <v>1800</v>
      </c>
      <c r="B8" s="44" t="s">
        <v>143</v>
      </c>
      <c r="C8" s="5">
        <f t="shared" si="2"/>
        <v>214112</v>
      </c>
      <c r="D8" s="5">
        <v>235282</v>
      </c>
      <c r="E8" s="5">
        <v>25596</v>
      </c>
      <c r="F8" s="5">
        <v>5319</v>
      </c>
      <c r="G8" s="5">
        <v>571</v>
      </c>
      <c r="H8" s="5">
        <v>53757</v>
      </c>
      <c r="I8" s="11">
        <f t="shared" si="1"/>
        <v>88650</v>
      </c>
      <c r="J8" s="5"/>
      <c r="K8" s="5">
        <v>55521</v>
      </c>
      <c r="L8" s="5">
        <v>14150</v>
      </c>
      <c r="M8" s="5">
        <v>8836</v>
      </c>
      <c r="N8" s="5">
        <v>10143</v>
      </c>
      <c r="O8" s="5">
        <v>0</v>
      </c>
      <c r="P8" s="5">
        <v>0</v>
      </c>
      <c r="Q8" s="5"/>
      <c r="R8" s="5">
        <v>-195063</v>
      </c>
    </row>
    <row r="9" spans="1:18" x14ac:dyDescent="0.3">
      <c r="A9" s="43">
        <v>3000</v>
      </c>
      <c r="B9" s="44" t="s">
        <v>341</v>
      </c>
      <c r="C9" s="5">
        <f t="shared" si="2"/>
        <v>744573</v>
      </c>
      <c r="D9" s="5">
        <v>664637</v>
      </c>
      <c r="E9" s="5">
        <v>27182</v>
      </c>
      <c r="F9" s="5">
        <v>8578</v>
      </c>
      <c r="G9" s="5">
        <v>0</v>
      </c>
      <c r="H9" s="5">
        <v>39465</v>
      </c>
      <c r="I9" s="11">
        <f t="shared" si="1"/>
        <v>557232</v>
      </c>
      <c r="J9" s="5"/>
      <c r="K9" s="5">
        <v>529712</v>
      </c>
      <c r="L9" s="5">
        <v>12584</v>
      </c>
      <c r="M9" s="5">
        <v>3114</v>
      </c>
      <c r="N9" s="5">
        <v>7397</v>
      </c>
      <c r="O9" s="5">
        <v>4160</v>
      </c>
      <c r="P9" s="5">
        <v>265</v>
      </c>
      <c r="Q9" s="5"/>
      <c r="R9" s="5">
        <v>-552521</v>
      </c>
    </row>
    <row r="10" spans="1:18" x14ac:dyDescent="0.3">
      <c r="A10" s="43">
        <v>3400</v>
      </c>
      <c r="B10" s="44" t="s">
        <v>342</v>
      </c>
      <c r="C10" s="5">
        <f t="shared" si="2"/>
        <v>239943</v>
      </c>
      <c r="D10" s="5">
        <v>303766</v>
      </c>
      <c r="E10" s="5">
        <v>34664</v>
      </c>
      <c r="F10" s="5">
        <v>11182</v>
      </c>
      <c r="G10" s="5">
        <v>861</v>
      </c>
      <c r="H10" s="5">
        <v>49303</v>
      </c>
      <c r="I10" s="11">
        <f t="shared" si="1"/>
        <v>82329</v>
      </c>
      <c r="J10" s="5"/>
      <c r="K10" s="5">
        <v>47979</v>
      </c>
      <c r="L10" s="5">
        <v>19155</v>
      </c>
      <c r="M10" s="5">
        <v>7125</v>
      </c>
      <c r="N10" s="5">
        <v>3131</v>
      </c>
      <c r="O10" s="5">
        <v>0</v>
      </c>
      <c r="P10" s="5">
        <v>4939</v>
      </c>
      <c r="Q10" s="5"/>
      <c r="R10" s="5">
        <v>-242162</v>
      </c>
    </row>
    <row r="11" spans="1:18" x14ac:dyDescent="0.3">
      <c r="A11" s="43">
        <v>3800</v>
      </c>
      <c r="B11" s="44" t="s">
        <v>343</v>
      </c>
      <c r="C11" s="5">
        <f t="shared" si="2"/>
        <v>289880</v>
      </c>
      <c r="D11" s="5">
        <v>364727</v>
      </c>
      <c r="E11" s="5">
        <v>42909</v>
      </c>
      <c r="F11" s="5">
        <v>7768</v>
      </c>
      <c r="G11" s="5">
        <v>0</v>
      </c>
      <c r="H11" s="5">
        <v>51142</v>
      </c>
      <c r="I11" s="11">
        <f t="shared" si="1"/>
        <v>89272</v>
      </c>
      <c r="J11" s="5"/>
      <c r="K11" s="5">
        <v>56911</v>
      </c>
      <c r="L11" s="5">
        <v>17512</v>
      </c>
      <c r="M11" s="5">
        <v>6819</v>
      </c>
      <c r="N11" s="5">
        <v>7681</v>
      </c>
      <c r="O11" s="5">
        <v>210</v>
      </c>
      <c r="P11" s="5">
        <v>139</v>
      </c>
      <c r="Q11" s="5"/>
      <c r="R11" s="5">
        <v>-265938</v>
      </c>
    </row>
    <row r="12" spans="1:18" x14ac:dyDescent="0.3">
      <c r="A12" s="43">
        <v>4200</v>
      </c>
      <c r="B12" s="44" t="s">
        <v>344</v>
      </c>
      <c r="C12" s="5">
        <f t="shared" si="2"/>
        <v>172505</v>
      </c>
      <c r="D12" s="5">
        <v>242929</v>
      </c>
      <c r="E12" s="5">
        <v>21243</v>
      </c>
      <c r="F12" s="5">
        <v>285</v>
      </c>
      <c r="G12" s="5">
        <v>76</v>
      </c>
      <c r="H12" s="5">
        <v>32614</v>
      </c>
      <c r="I12" s="11">
        <f t="shared" si="1"/>
        <v>98825</v>
      </c>
      <c r="J12" s="5"/>
      <c r="K12" s="5">
        <v>78381</v>
      </c>
      <c r="L12" s="5">
        <v>16610</v>
      </c>
      <c r="M12" s="5">
        <v>369</v>
      </c>
      <c r="N12" s="5">
        <v>3334</v>
      </c>
      <c r="O12" s="5">
        <v>0</v>
      </c>
      <c r="P12" s="5">
        <v>131</v>
      </c>
      <c r="Q12" s="5"/>
      <c r="R12" s="5">
        <v>-223467</v>
      </c>
    </row>
    <row r="13" spans="1:18" x14ac:dyDescent="0.3">
      <c r="A13" s="43">
        <v>4600</v>
      </c>
      <c r="B13" s="44" t="s">
        <v>345</v>
      </c>
      <c r="C13" s="5">
        <f t="shared" si="2"/>
        <v>366287</v>
      </c>
      <c r="D13" s="5">
        <v>327696</v>
      </c>
      <c r="E13" s="5">
        <v>44692</v>
      </c>
      <c r="F13" s="5">
        <v>13339</v>
      </c>
      <c r="G13" s="5">
        <v>0</v>
      </c>
      <c r="H13" s="5">
        <v>52737</v>
      </c>
      <c r="I13" s="11">
        <f t="shared" si="1"/>
        <v>40414</v>
      </c>
      <c r="J13" s="5"/>
      <c r="K13" s="5">
        <v>14806</v>
      </c>
      <c r="L13" s="5">
        <v>9167</v>
      </c>
      <c r="M13" s="5">
        <v>8127</v>
      </c>
      <c r="N13" s="5">
        <v>8219</v>
      </c>
      <c r="O13" s="5">
        <v>0</v>
      </c>
      <c r="P13" s="5">
        <v>95</v>
      </c>
      <c r="Q13" s="5"/>
      <c r="R13" s="5">
        <v>-112591</v>
      </c>
    </row>
    <row r="14" spans="1:18" x14ac:dyDescent="0.3">
      <c r="A14" s="43">
        <v>5000</v>
      </c>
      <c r="B14" s="44" t="s">
        <v>340</v>
      </c>
      <c r="C14" s="5">
        <f t="shared" si="2"/>
        <v>324559</v>
      </c>
      <c r="D14" s="5">
        <v>311479</v>
      </c>
      <c r="E14" s="5">
        <v>24699</v>
      </c>
      <c r="F14" s="5">
        <v>3995</v>
      </c>
      <c r="G14" s="5">
        <v>22</v>
      </c>
      <c r="H14" s="5">
        <v>41844</v>
      </c>
      <c r="I14" s="11">
        <f t="shared" si="1"/>
        <v>57976</v>
      </c>
      <c r="J14" s="5"/>
      <c r="K14" s="5">
        <v>37515</v>
      </c>
      <c r="L14" s="5">
        <v>9046</v>
      </c>
      <c r="M14" s="5">
        <v>5027</v>
      </c>
      <c r="N14" s="5">
        <v>6388</v>
      </c>
      <c r="O14" s="5">
        <v>0</v>
      </c>
      <c r="P14" s="5">
        <v>0</v>
      </c>
      <c r="Q14" s="5"/>
      <c r="R14" s="5">
        <v>-115456</v>
      </c>
    </row>
    <row r="15" spans="1:18" x14ac:dyDescent="0.3">
      <c r="A15" s="43">
        <v>5400</v>
      </c>
      <c r="B15" s="44" t="s">
        <v>346</v>
      </c>
      <c r="C15" s="5">
        <f t="shared" si="2"/>
        <v>230474</v>
      </c>
      <c r="D15" s="5">
        <v>336651</v>
      </c>
      <c r="E15" s="5">
        <v>16768</v>
      </c>
      <c r="F15" s="5">
        <v>7737</v>
      </c>
      <c r="G15" s="5">
        <v>110</v>
      </c>
      <c r="H15" s="5">
        <v>51072</v>
      </c>
      <c r="I15" s="11">
        <f t="shared" si="1"/>
        <v>74064</v>
      </c>
      <c r="J15" s="5"/>
      <c r="K15" s="5">
        <v>40675</v>
      </c>
      <c r="L15" s="5">
        <v>10226</v>
      </c>
      <c r="M15" s="5">
        <v>5288</v>
      </c>
      <c r="N15" s="5">
        <v>9236</v>
      </c>
      <c r="O15" s="5">
        <v>0</v>
      </c>
      <c r="P15" s="5">
        <v>8639</v>
      </c>
      <c r="Q15" s="5"/>
      <c r="R15" s="5">
        <v>-255928</v>
      </c>
    </row>
    <row r="16" spans="1:18" x14ac:dyDescent="0.3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</row>
    <row r="17" spans="2:19" x14ac:dyDescent="0.3">
      <c r="B17" s="44" t="s">
        <v>3</v>
      </c>
      <c r="C17" s="5">
        <f t="shared" ref="C17:R17" si="3">SUM(C5:C16)</f>
        <v>3109056.5690996093</v>
      </c>
      <c r="D17" s="5">
        <f t="shared" si="3"/>
        <v>3706495</v>
      </c>
      <c r="E17" s="5">
        <f t="shared" si="3"/>
        <v>283361</v>
      </c>
      <c r="F17" s="5">
        <f t="shared" si="3"/>
        <v>73164</v>
      </c>
      <c r="G17" s="5">
        <f t="shared" si="3"/>
        <v>3993</v>
      </c>
      <c r="H17" s="5">
        <f t="shared" si="3"/>
        <v>524965</v>
      </c>
      <c r="I17" s="17">
        <f t="shared" si="3"/>
        <v>1233977</v>
      </c>
      <c r="J17" s="5">
        <f t="shared" si="3"/>
        <v>0</v>
      </c>
      <c r="K17" s="5">
        <f t="shared" si="3"/>
        <v>964022</v>
      </c>
      <c r="L17" s="5">
        <f t="shared" si="3"/>
        <v>132286</v>
      </c>
      <c r="M17" s="5">
        <f t="shared" si="3"/>
        <v>53047</v>
      </c>
      <c r="N17" s="5">
        <f t="shared" si="3"/>
        <v>64762</v>
      </c>
      <c r="O17" s="5">
        <f t="shared" si="3"/>
        <v>4370</v>
      </c>
      <c r="P17" s="5">
        <f t="shared" si="3"/>
        <v>15490</v>
      </c>
      <c r="Q17" s="5">
        <f t="shared" si="3"/>
        <v>0</v>
      </c>
      <c r="R17" s="5">
        <f t="shared" si="3"/>
        <v>-2716898.4309003907</v>
      </c>
      <c r="S17" s="60"/>
    </row>
    <row r="18" spans="2:19" x14ac:dyDescent="0.3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9" x14ac:dyDescent="0.3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9" x14ac:dyDescent="0.3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18"/>
  <dimension ref="A2:AE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I27" sqref="I27"/>
    </sheetView>
  </sheetViews>
  <sheetFormatPr baseColWidth="10" defaultRowHeight="14.4" x14ac:dyDescent="0.3"/>
  <cols>
    <col min="1" max="1" width="6.109375" customWidth="1"/>
    <col min="2" max="2" width="17.88671875" bestFit="1" customWidth="1"/>
    <col min="3" max="3" width="12" customWidth="1"/>
    <col min="4" max="9" width="17.88671875" customWidth="1"/>
    <col min="10" max="10" width="14.44140625" customWidth="1"/>
    <col min="11" max="11" width="14.109375" customWidth="1"/>
    <col min="12" max="12" width="15.44140625" customWidth="1"/>
    <col min="13" max="13" width="14.44140625" customWidth="1"/>
    <col min="14" max="14" width="15.109375" customWidth="1"/>
    <col min="15" max="15" width="15.44140625" customWidth="1"/>
    <col min="16" max="16" width="14.44140625" customWidth="1"/>
    <col min="17" max="17" width="13.44140625" customWidth="1"/>
    <col min="18" max="21" width="15.44140625" customWidth="1"/>
    <col min="22" max="22" width="14.44140625" customWidth="1"/>
    <col min="23" max="23" width="13.44140625" customWidth="1"/>
    <col min="24" max="24" width="15.44140625" customWidth="1"/>
    <col min="26" max="30" width="13.5546875" customWidth="1"/>
  </cols>
  <sheetData>
    <row r="2" spans="1:30" ht="40.200000000000003" x14ac:dyDescent="0.3">
      <c r="A2" s="24" t="s">
        <v>2</v>
      </c>
      <c r="B2" s="24" t="s">
        <v>1</v>
      </c>
      <c r="C2" s="24" t="s">
        <v>348</v>
      </c>
      <c r="D2" s="24" t="s">
        <v>215</v>
      </c>
      <c r="E2" s="24" t="s">
        <v>216</v>
      </c>
      <c r="F2" s="24" t="s">
        <v>367</v>
      </c>
      <c r="G2" s="24" t="s">
        <v>368</v>
      </c>
      <c r="H2" s="24" t="s">
        <v>217</v>
      </c>
      <c r="I2" s="24" t="s">
        <v>132</v>
      </c>
      <c r="J2" s="24" t="s">
        <v>218</v>
      </c>
      <c r="K2" s="24" t="s">
        <v>219</v>
      </c>
      <c r="L2" s="24" t="s">
        <v>220</v>
      </c>
      <c r="M2" s="24" t="s">
        <v>221</v>
      </c>
      <c r="N2" s="24" t="s">
        <v>222</v>
      </c>
      <c r="O2" s="24" t="s">
        <v>223</v>
      </c>
      <c r="P2" s="24" t="s">
        <v>369</v>
      </c>
      <c r="Q2" s="24" t="s">
        <v>370</v>
      </c>
      <c r="R2" s="24" t="s">
        <v>371</v>
      </c>
      <c r="S2" s="24" t="s">
        <v>372</v>
      </c>
      <c r="T2" s="24" t="s">
        <v>373</v>
      </c>
      <c r="U2" s="24" t="s">
        <v>374</v>
      </c>
      <c r="V2" s="24" t="s">
        <v>224</v>
      </c>
      <c r="W2" s="24" t="s">
        <v>225</v>
      </c>
      <c r="X2" s="24" t="s">
        <v>226</v>
      </c>
      <c r="Y2" s="24"/>
      <c r="Z2" s="24" t="s">
        <v>227</v>
      </c>
      <c r="AA2" s="24" t="s">
        <v>228</v>
      </c>
      <c r="AB2" s="24" t="s">
        <v>375</v>
      </c>
      <c r="AC2" s="24" t="s">
        <v>396</v>
      </c>
      <c r="AD2" s="24" t="s">
        <v>229</v>
      </c>
    </row>
    <row r="3" spans="1:30" x14ac:dyDescent="0.3">
      <c r="A3" s="107">
        <v>1</v>
      </c>
      <c r="B3" s="107">
        <f>+A3+1</f>
        <v>2</v>
      </c>
      <c r="C3" s="107">
        <f t="shared" ref="C3:AD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</row>
    <row r="5" spans="1:30" x14ac:dyDescent="0.3">
      <c r="A5" s="43">
        <v>300</v>
      </c>
      <c r="B5" s="44" t="s">
        <v>0</v>
      </c>
      <c r="C5" s="44">
        <f>+'2023 Nto driftsutg'!W5</f>
        <v>711918</v>
      </c>
      <c r="D5" s="3">
        <f>+'2023 Grunnlag korreksjoner'!D5</f>
        <v>0.71053058348772868</v>
      </c>
      <c r="E5" s="3">
        <f>+'2023 Grunnlag korreksjoner'!E5</f>
        <v>0.21462039411895759</v>
      </c>
      <c r="F5" s="3">
        <f>+'2023 Grunnlag korreksjoner'!F5</f>
        <v>1.5114284535122655</v>
      </c>
      <c r="G5" s="3">
        <f>+'2023 Grunnlag korreksjoner'!G5</f>
        <v>0</v>
      </c>
      <c r="H5" s="3">
        <f>+'2023 Grunnlag korreksjoner'!H5</f>
        <v>0.80830409059491792</v>
      </c>
      <c r="I5" s="2">
        <v>0.72711853063315557</v>
      </c>
      <c r="J5" s="5">
        <f>(D5-1)*'2023 Nto driftsutg landet'!$C$5*C5</f>
        <v>-1457859278.0857313</v>
      </c>
      <c r="K5" s="5">
        <f>+J5-$J$17*C5/$C$17</f>
        <v>-1457859278.0857313</v>
      </c>
      <c r="L5" s="5">
        <f t="shared" ref="L5:L15" si="1">+K5/C5</f>
        <v>-2047.7910069498612</v>
      </c>
      <c r="M5" s="5">
        <f>(E5-1)*'2023 Nto driftsutg landet'!$C$6*$C5</f>
        <v>-1125323704.306397</v>
      </c>
      <c r="N5" s="5">
        <f t="shared" ref="N5:N15" si="2">+M5-$M$17*$C5/$C$17</f>
        <v>-1125323704.306397</v>
      </c>
      <c r="O5" s="5">
        <f>+N5/$C5</f>
        <v>-1580.6928667436375</v>
      </c>
      <c r="P5" s="5">
        <f>(F5-1)*'2023 Nto driftsutg landet'!$C$7*$C5</f>
        <v>1063725450.2903917</v>
      </c>
      <c r="Q5" s="5">
        <f t="shared" ref="Q5:Q15" si="3">+P5-$P$17*$C5/$C$17</f>
        <v>1063725450.2903917</v>
      </c>
      <c r="R5" s="5">
        <f>+Q5/$C5</f>
        <v>1494.1685001508483</v>
      </c>
      <c r="S5" s="5">
        <f>(G5-1)*'2023 Nto driftsutg landet'!$C$8*$C5</f>
        <v>-536111286.78743923</v>
      </c>
      <c r="T5" s="5">
        <f>+S5-$S$17*$C5/$C$17</f>
        <v>-536111286.78743923</v>
      </c>
      <c r="U5" s="5">
        <f>+T5/$C5</f>
        <v>-753.05201833278443</v>
      </c>
      <c r="V5" s="5">
        <f>(H5-1)*'2023 Nto driftsutg landet'!$C$9*$C5</f>
        <v>-84800824.565524995</v>
      </c>
      <c r="W5" s="5">
        <f t="shared" ref="W5:W15" si="4">+V5-$V$17*$C5/$C$17</f>
        <v>-84800824.56552498</v>
      </c>
      <c r="X5" s="5">
        <f>+W5/$C5</f>
        <v>-119.11600010889595</v>
      </c>
      <c r="Z5" s="2">
        <f>1+L5/'2023 Nto driftsutg landet'!$C$5</f>
        <v>0.71053058348772868</v>
      </c>
      <c r="AA5" s="2">
        <f>1+O5/'2023 Nto driftsutg landet'!$C$6</f>
        <v>0.21462039411895761</v>
      </c>
      <c r="AB5" s="2">
        <f>1+R5/'2023 Nto driftsutg landet'!$C$7</f>
        <v>1.5114284535122655</v>
      </c>
      <c r="AC5" s="2">
        <f>1+U5/'2023 Nto driftsutg landet'!$C$8</f>
        <v>0</v>
      </c>
      <c r="AD5" s="2">
        <f>1+X5/'2023 Nto driftsutg landet'!$C$9</f>
        <v>0.80830409059491792</v>
      </c>
    </row>
    <row r="6" spans="1:30" x14ac:dyDescent="0.3">
      <c r="A6" s="43">
        <v>1100</v>
      </c>
      <c r="B6" s="44" t="s">
        <v>141</v>
      </c>
      <c r="C6" s="44">
        <f>+'2023 Nto driftsutg'!W6</f>
        <v>495545</v>
      </c>
      <c r="D6" s="3">
        <f>+'2023 Grunnlag korreksjoner'!D6</f>
        <v>1.0774887931615929</v>
      </c>
      <c r="E6" s="3">
        <f>+'2023 Grunnlag korreksjoner'!E6</f>
        <v>0.79939004925414059</v>
      </c>
      <c r="F6" s="3">
        <f>+'2023 Grunnlag korreksjoner'!F6</f>
        <v>0.9424851409192746</v>
      </c>
      <c r="G6" s="3">
        <f>+'2023 Grunnlag korreksjoner'!G6</f>
        <v>0.64870346692722514</v>
      </c>
      <c r="H6" s="3">
        <f>+'2023 Grunnlag korreksjoner'!H6</f>
        <v>1.0173396804533479</v>
      </c>
      <c r="I6" s="2">
        <v>0.96871128833669684</v>
      </c>
      <c r="J6" s="5">
        <f>(D6-1)*'2023 Nto driftsutg landet'!$C$5*C6</f>
        <v>271647017.60798842</v>
      </c>
      <c r="K6" s="5">
        <f t="shared" ref="K6:K15" si="5">+J6-$J$17*C6/$C$17</f>
        <v>271647017.60798842</v>
      </c>
      <c r="L6" s="5">
        <f t="shared" si="1"/>
        <v>548.17830390375934</v>
      </c>
      <c r="M6" s="5">
        <f>(E6-1)*'2023 Nto driftsutg landet'!$C$6*$C6</f>
        <v>-200079891.66625452</v>
      </c>
      <c r="N6" s="5">
        <f t="shared" si="2"/>
        <v>-200079891.66625452</v>
      </c>
      <c r="O6" s="5">
        <f t="shared" ref="O6:O15" si="6">+N6/$C6</f>
        <v>-403.75726052377587</v>
      </c>
      <c r="P6" s="5">
        <f>(F6-1)*'2023 Nto driftsutg landet'!$C$7*$C6</f>
        <v>-83267945.347702995</v>
      </c>
      <c r="Q6" s="5">
        <f t="shared" si="3"/>
        <v>-83267945.347702995</v>
      </c>
      <c r="R6" s="5">
        <f t="shared" ref="R6:R15" si="7">+Q6/$C6</f>
        <v>-168.03306530729398</v>
      </c>
      <c r="S6" s="5">
        <f>(G6-1)*'2023 Nto driftsutg landet'!$C$8*$C6</f>
        <v>-131093735.60254137</v>
      </c>
      <c r="T6" s="5">
        <f t="shared" ref="T6:T15" si="8">+S6-$S$17*$C6/$C$17</f>
        <v>-131093735.60254137</v>
      </c>
      <c r="U6" s="5">
        <f t="shared" ref="U6:U15" si="9">+T6/$C6</f>
        <v>-264.54456326376288</v>
      </c>
      <c r="V6" s="5">
        <f>(H6-1)*'2023 Nto driftsutg landet'!$C$9*$C6</f>
        <v>5339264.60329076</v>
      </c>
      <c r="W6" s="5">
        <f t="shared" si="4"/>
        <v>5339264.6032907674</v>
      </c>
      <c r="X6" s="5">
        <f t="shared" ref="X6:X15" si="10">+W6/$C6</f>
        <v>10.774530271298808</v>
      </c>
      <c r="Z6" s="2">
        <f>1+L6/'2023 Nto driftsutg landet'!$C$5</f>
        <v>1.0774887931615929</v>
      </c>
      <c r="AA6" s="2">
        <f>1+O6/'2023 Nto driftsutg landet'!$C$6</f>
        <v>0.79939004925414059</v>
      </c>
      <c r="AB6" s="2">
        <f>1+R6/'2023 Nto driftsutg landet'!$C$7</f>
        <v>0.9424851409192746</v>
      </c>
      <c r="AC6" s="2">
        <f>1+U6/'2023 Nto driftsutg landet'!$C$8</f>
        <v>0.64870346692722514</v>
      </c>
      <c r="AD6" s="2">
        <f>1+X6/'2023 Nto driftsutg landet'!$C$9</f>
        <v>1.0173396804533479</v>
      </c>
    </row>
    <row r="7" spans="1:30" x14ac:dyDescent="0.3">
      <c r="A7" s="43">
        <v>1500</v>
      </c>
      <c r="B7" s="44" t="s">
        <v>142</v>
      </c>
      <c r="C7" s="44">
        <f>+'2023 Nto driftsutg'!W7</f>
        <v>269164</v>
      </c>
      <c r="D7" s="3">
        <f>+'2023 Grunnlag korreksjoner'!D7</f>
        <v>1.0989358133062832</v>
      </c>
      <c r="E7" s="3">
        <f>+'2023 Grunnlag korreksjoner'!E7</f>
        <v>1.5552146008066416</v>
      </c>
      <c r="F7" s="3">
        <f>+'2023 Grunnlag korreksjoner'!F7</f>
        <v>1.0728168111973642</v>
      </c>
      <c r="G7" s="3">
        <f>+'2023 Grunnlag korreksjoner'!G7</f>
        <v>3.6508681383265915</v>
      </c>
      <c r="H7" s="3">
        <f>+'2023 Grunnlag korreksjoner'!H7</f>
        <v>1.0804828658338601</v>
      </c>
      <c r="I7" s="2">
        <v>1.3275293243605546</v>
      </c>
      <c r="J7" s="5">
        <f>(D7-1)*'2023 Nto driftsutg landet'!$C$5*C7</f>
        <v>188388092.01440051</v>
      </c>
      <c r="K7" s="5">
        <f t="shared" si="5"/>
        <v>188388092.01440048</v>
      </c>
      <c r="L7" s="5">
        <f t="shared" si="1"/>
        <v>699.9007743026574</v>
      </c>
      <c r="M7" s="5">
        <f>(E7-1)*'2023 Nto driftsutg landet'!$C$6*$C7</f>
        <v>300777763.6450789</v>
      </c>
      <c r="N7" s="5">
        <f t="shared" si="2"/>
        <v>300777763.6450789</v>
      </c>
      <c r="O7" s="5">
        <f t="shared" si="6"/>
        <v>1117.4516786980387</v>
      </c>
      <c r="P7" s="5">
        <f>(F7-1)*'2023 Nto driftsutg landet'!$C$7*$C7</f>
        <v>57261579.041853137</v>
      </c>
      <c r="Q7" s="5">
        <f t="shared" si="3"/>
        <v>57261579.041853137</v>
      </c>
      <c r="R7" s="5">
        <f t="shared" si="7"/>
        <v>212.73862419139684</v>
      </c>
      <c r="S7" s="5">
        <f>(G7-1)*'2023 Nto driftsutg landet'!$C$8*$C7</f>
        <v>537316374.53405666</v>
      </c>
      <c r="T7" s="5">
        <f t="shared" si="8"/>
        <v>537316374.53405666</v>
      </c>
      <c r="U7" s="5">
        <f t="shared" si="9"/>
        <v>1996.2416019009104</v>
      </c>
      <c r="V7" s="5">
        <f>(H7-1)*'2023 Nto driftsutg landet'!$C$9*$C7</f>
        <v>13461010.46514789</v>
      </c>
      <c r="W7" s="5">
        <f t="shared" si="4"/>
        <v>13461010.465147894</v>
      </c>
      <c r="X7" s="5">
        <f t="shared" si="10"/>
        <v>50.010441460031409</v>
      </c>
      <c r="Z7" s="2">
        <f>1+L7/'2023 Nto driftsutg landet'!$C$5</f>
        <v>1.0989358133062832</v>
      </c>
      <c r="AA7" s="2">
        <f>1+O7/'2023 Nto driftsutg landet'!$C$6</f>
        <v>1.5552146008066416</v>
      </c>
      <c r="AB7" s="2">
        <f>1+R7/'2023 Nto driftsutg landet'!$C$7</f>
        <v>1.0728168111973642</v>
      </c>
      <c r="AC7" s="2">
        <f>1+U7/'2023 Nto driftsutg landet'!$C$8</f>
        <v>3.6508681383265915</v>
      </c>
      <c r="AD7" s="2">
        <f>1+X7/'2023 Nto driftsutg landet'!$C$9</f>
        <v>1.0804828658338601</v>
      </c>
    </row>
    <row r="8" spans="1:30" x14ac:dyDescent="0.3">
      <c r="A8" s="43">
        <v>1800</v>
      </c>
      <c r="B8" s="44" t="s">
        <v>143</v>
      </c>
      <c r="C8" s="44">
        <f>+'2023 Nto driftsutg'!W8</f>
        <v>241960</v>
      </c>
      <c r="D8" s="3">
        <f>+'2023 Grunnlag korreksjoner'!D8</f>
        <v>1.0853378047755211</v>
      </c>
      <c r="E8" s="3">
        <f>+'2023 Grunnlag korreksjoner'!E8</f>
        <v>1.9381931214813777</v>
      </c>
      <c r="F8" s="3">
        <f>+'2023 Grunnlag korreksjoner'!F8</f>
        <v>1.3547771165025086</v>
      </c>
      <c r="G8" s="3">
        <f>+'2023 Grunnlag korreksjoner'!G8</f>
        <v>5.2548770101082702</v>
      </c>
      <c r="H8" s="3">
        <f>+'2023 Grunnlag korreksjoner'!H8</f>
        <v>1.1605514881983592</v>
      </c>
      <c r="I8" s="2">
        <v>1.544848768424659</v>
      </c>
      <c r="J8" s="5">
        <f>(D8-1)*'2023 Nto driftsutg landet'!$C$5*C8</f>
        <v>146072340.66228941</v>
      </c>
      <c r="K8" s="5">
        <f t="shared" si="5"/>
        <v>146072340.66228941</v>
      </c>
      <c r="L8" s="5">
        <f t="shared" si="1"/>
        <v>603.70449934819567</v>
      </c>
      <c r="M8" s="5">
        <f>(E8-1)*'2023 Nto driftsutg landet'!$C$6*$C8</f>
        <v>456881627.42759216</v>
      </c>
      <c r="N8" s="5">
        <f t="shared" si="2"/>
        <v>456881627.42759216</v>
      </c>
      <c r="O8" s="5">
        <f t="shared" si="6"/>
        <v>1888.2527170920489</v>
      </c>
      <c r="P8" s="5">
        <f>(F8-1)*'2023 Nto driftsutg landet'!$C$7*$C8</f>
        <v>250792107.7213231</v>
      </c>
      <c r="Q8" s="5">
        <f t="shared" si="3"/>
        <v>250792107.7213231</v>
      </c>
      <c r="R8" s="5">
        <f t="shared" si="7"/>
        <v>1036.502346343706</v>
      </c>
      <c r="S8" s="5">
        <f>(G8-1)*'2023 Nto driftsutg landet'!$C$8*$C8</f>
        <v>775274614.54438186</v>
      </c>
      <c r="T8" s="5">
        <f t="shared" si="8"/>
        <v>775274614.54438186</v>
      </c>
      <c r="U8" s="5">
        <f t="shared" si="9"/>
        <v>3204.1437202197963</v>
      </c>
      <c r="V8" s="5">
        <f>(H8-1)*'2023 Nto driftsutg landet'!$C$9*$C8</f>
        <v>24138771.698682543</v>
      </c>
      <c r="W8" s="5">
        <f t="shared" si="4"/>
        <v>24138771.698682547</v>
      </c>
      <c r="X8" s="5">
        <f t="shared" si="10"/>
        <v>99.763480321881914</v>
      </c>
      <c r="Z8" s="2">
        <f>1+L8/'2023 Nto driftsutg landet'!$C$5</f>
        <v>1.0853378047755211</v>
      </c>
      <c r="AA8" s="2">
        <f>1+O8/'2023 Nto driftsutg landet'!$C$6</f>
        <v>1.9381931214813777</v>
      </c>
      <c r="AB8" s="2">
        <f>1+R8/'2023 Nto driftsutg landet'!$C$7</f>
        <v>1.3547771165025086</v>
      </c>
      <c r="AC8" s="2">
        <f>1+U8/'2023 Nto driftsutg landet'!$C$8</f>
        <v>5.2548770101082702</v>
      </c>
      <c r="AD8" s="2">
        <f>1+X8/'2023 Nto driftsutg landet'!$C$9</f>
        <v>1.1605514881983592</v>
      </c>
    </row>
    <row r="9" spans="1:30" x14ac:dyDescent="0.3">
      <c r="A9" s="43">
        <v>3000</v>
      </c>
      <c r="B9" s="44" t="s">
        <v>341</v>
      </c>
      <c r="C9" s="44">
        <f>+'2023 Nto driftsutg'!W9</f>
        <v>1300096</v>
      </c>
      <c r="D9" s="3">
        <f>+'2023 Grunnlag korreksjoner'!D9</f>
        <v>1.0109508011160717</v>
      </c>
      <c r="E9" s="3">
        <f>+'2023 Grunnlag korreksjoner'!E9</f>
        <v>0.60627924197881555</v>
      </c>
      <c r="F9" s="3">
        <f>+'2023 Grunnlag korreksjoner'!F9</f>
        <v>0.65317532338165341</v>
      </c>
      <c r="G9" s="3">
        <f>+'2023 Grunnlag korreksjoner'!G9</f>
        <v>2.6179811137927375E-2</v>
      </c>
      <c r="H9" s="3">
        <f>+'2023 Grunnlag korreksjoner'!H9</f>
        <v>0.96460045526742033</v>
      </c>
      <c r="I9" s="2">
        <v>0.80383143915257038</v>
      </c>
      <c r="J9" s="5">
        <f>(D9-1)*'2023 Nto driftsutg landet'!$C$5*C9</f>
        <v>100717342.80040926</v>
      </c>
      <c r="K9" s="5">
        <f t="shared" si="5"/>
        <v>100717342.80040918</v>
      </c>
      <c r="L9" s="5">
        <f t="shared" si="1"/>
        <v>77.469158277857318</v>
      </c>
      <c r="M9" s="5">
        <f>(E9-1)*'2023 Nto driftsutg landet'!$C$6*$C9</f>
        <v>-1030223870.7181642</v>
      </c>
      <c r="N9" s="5">
        <f t="shared" si="2"/>
        <v>-1030223870.7181642</v>
      </c>
      <c r="O9" s="5">
        <f t="shared" si="6"/>
        <v>-792.42138328105329</v>
      </c>
      <c r="P9" s="5">
        <f>(F9-1)*'2023 Nto driftsutg landet'!$C$7*$C9</f>
        <v>-1317346743.0436616</v>
      </c>
      <c r="Q9" s="5">
        <f t="shared" si="3"/>
        <v>-1317346743.0436616</v>
      </c>
      <c r="R9" s="5">
        <f t="shared" si="7"/>
        <v>-1013.2688224897712</v>
      </c>
      <c r="S9" s="5">
        <f>(G9-1)*'2023 Nto driftsutg landet'!$C$8*$C9</f>
        <v>-953408836.70737302</v>
      </c>
      <c r="T9" s="5">
        <f t="shared" si="8"/>
        <v>-953408836.70737302</v>
      </c>
      <c r="U9" s="5">
        <f t="shared" si="9"/>
        <v>-733.33725871579713</v>
      </c>
      <c r="V9" s="5">
        <f>(H9-1)*'2023 Nto driftsutg landet'!$C$9*$C9</f>
        <v>-28597650.529471681</v>
      </c>
      <c r="W9" s="5">
        <f t="shared" si="4"/>
        <v>-28597650.529471662</v>
      </c>
      <c r="X9" s="5">
        <f t="shared" si="10"/>
        <v>-21.996568353007518</v>
      </c>
      <c r="Z9" s="2">
        <f>1+L9/'2023 Nto driftsutg landet'!$C$5</f>
        <v>1.0109508011160717</v>
      </c>
      <c r="AA9" s="2">
        <f>1+O9/'2023 Nto driftsutg landet'!$C$6</f>
        <v>0.60627924197881555</v>
      </c>
      <c r="AB9" s="2">
        <f>1+R9/'2023 Nto driftsutg landet'!$C$7</f>
        <v>0.65317532338165341</v>
      </c>
      <c r="AC9" s="2">
        <f>1+U9/'2023 Nto driftsutg landet'!$C$8</f>
        <v>2.6179811137927333E-2</v>
      </c>
      <c r="AD9" s="2">
        <f>1+X9/'2023 Nto driftsutg landet'!$C$9</f>
        <v>0.96460045526742033</v>
      </c>
    </row>
    <row r="10" spans="1:30" x14ac:dyDescent="0.3">
      <c r="A10" s="43">
        <v>3400</v>
      </c>
      <c r="B10" s="44" t="s">
        <v>342</v>
      </c>
      <c r="C10" s="44">
        <f>+'2023 Nto driftsutg'!W10</f>
        <v>374624</v>
      </c>
      <c r="D10" s="3">
        <f>+'2023 Grunnlag korreksjoner'!D10</f>
        <v>1.0062398373243804</v>
      </c>
      <c r="E10" s="3">
        <f>+'2023 Grunnlag korreksjoner'!E10</f>
        <v>1.5174599383336682</v>
      </c>
      <c r="F10" s="3">
        <f>+'2023 Grunnlag korreksjoner'!F10</f>
        <v>0.94309915694030932</v>
      </c>
      <c r="G10" s="3">
        <f>+'2023 Grunnlag korreksjoner'!G10</f>
        <v>5.9463031673505369E-2</v>
      </c>
      <c r="H10" s="3">
        <f>+'2023 Grunnlag korreksjoner'!H10</f>
        <v>1.0216409626046192</v>
      </c>
      <c r="I10" s="2">
        <v>1.0463243671153175</v>
      </c>
      <c r="J10" s="5">
        <f>(D10-1)*'2023 Nto driftsutg landet'!$C$5*C10</f>
        <v>16536812.793196285</v>
      </c>
      <c r="K10" s="5">
        <f t="shared" si="5"/>
        <v>16536812.793196263</v>
      </c>
      <c r="L10" s="5">
        <f t="shared" si="1"/>
        <v>44.142427589252861</v>
      </c>
      <c r="M10" s="5">
        <f>(E10-1)*'2023 Nto driftsutg landet'!$C$6*$C10</f>
        <v>390157718.38718301</v>
      </c>
      <c r="N10" s="5">
        <f t="shared" si="2"/>
        <v>390157718.38718301</v>
      </c>
      <c r="O10" s="5">
        <f t="shared" si="6"/>
        <v>1041.464824429783</v>
      </c>
      <c r="P10" s="5">
        <f>(F10-1)*'2023 Nto driftsutg landet'!$C$7*$C10</f>
        <v>-62277187.001428127</v>
      </c>
      <c r="Q10" s="5">
        <f t="shared" si="3"/>
        <v>-62277187.001428127</v>
      </c>
      <c r="R10" s="5">
        <f t="shared" si="7"/>
        <v>-166.2391811561142</v>
      </c>
      <c r="S10" s="5">
        <f>(G10-1)*'2023 Nto driftsutg landet'!$C$8*$C10</f>
        <v>-265336162.62144393</v>
      </c>
      <c r="T10" s="5">
        <f t="shared" si="8"/>
        <v>-265336162.62144393</v>
      </c>
      <c r="U10" s="5">
        <f t="shared" si="9"/>
        <v>-708.27326231486484</v>
      </c>
      <c r="V10" s="5">
        <f>(H10-1)*'2023 Nto driftsutg landet'!$C$9*$C10</f>
        <v>5037666.6610219805</v>
      </c>
      <c r="W10" s="5">
        <f t="shared" si="4"/>
        <v>5037666.661021986</v>
      </c>
      <c r="X10" s="5">
        <f t="shared" si="10"/>
        <v>13.447260882970621</v>
      </c>
      <c r="Z10" s="2">
        <f>1+L10/'2023 Nto driftsutg landet'!$C$5</f>
        <v>1.0062398373243804</v>
      </c>
      <c r="AA10" s="2">
        <f>1+O10/'2023 Nto driftsutg landet'!$C$6</f>
        <v>1.5174599383336682</v>
      </c>
      <c r="AB10" s="2">
        <f>1+R10/'2023 Nto driftsutg landet'!$C$7</f>
        <v>0.94309915694030932</v>
      </c>
      <c r="AC10" s="2">
        <f>1+U10/'2023 Nto driftsutg landet'!$C$8</f>
        <v>5.9463031673505529E-2</v>
      </c>
      <c r="AD10" s="2">
        <f>1+X10/'2023 Nto driftsutg landet'!$C$9</f>
        <v>1.0216409626046192</v>
      </c>
    </row>
    <row r="11" spans="1:30" x14ac:dyDescent="0.3">
      <c r="A11" s="43">
        <v>3800</v>
      </c>
      <c r="B11" s="44" t="s">
        <v>343</v>
      </c>
      <c r="C11" s="44">
        <f>+'2023 Nto driftsutg'!W11</f>
        <v>431103</v>
      </c>
      <c r="D11" s="3">
        <f>+'2023 Grunnlag korreksjoner'!D11</f>
        <v>1.0246976591874704</v>
      </c>
      <c r="E11" s="3">
        <f>+'2023 Grunnlag korreksjoner'!E11</f>
        <v>0.87778384106275287</v>
      </c>
      <c r="F11" s="3">
        <f>+'2023 Grunnlag korreksjoner'!F11</f>
        <v>0.66753460722060465</v>
      </c>
      <c r="G11" s="3">
        <f>+'2023 Grunnlag korreksjoner'!G11</f>
        <v>0.13457432220097482</v>
      </c>
      <c r="H11" s="3">
        <f>+'2023 Grunnlag korreksjoner'!H11</f>
        <v>0.96530680839609195</v>
      </c>
      <c r="I11" s="2">
        <v>0.87475513093184998</v>
      </c>
      <c r="J11" s="5">
        <f>(D11-1)*'2023 Nto driftsutg landet'!$C$5*C11</f>
        <v>75321642.888838753</v>
      </c>
      <c r="K11" s="5">
        <f t="shared" si="5"/>
        <v>75321642.888838723</v>
      </c>
      <c r="L11" s="5">
        <f t="shared" si="1"/>
        <v>174.71843825916017</v>
      </c>
      <c r="M11" s="5">
        <f>(E11-1)*'2023 Nto driftsutg landet'!$C$6*$C11</f>
        <v>-106041911.88419436</v>
      </c>
      <c r="N11" s="5">
        <f t="shared" si="2"/>
        <v>-106041911.88419436</v>
      </c>
      <c r="O11" s="5">
        <f t="shared" si="6"/>
        <v>-245.97813488700928</v>
      </c>
      <c r="P11" s="5">
        <f>(F11-1)*'2023 Nto driftsutg landet'!$C$7*$C11</f>
        <v>-418737812.66408068</v>
      </c>
      <c r="Q11" s="5">
        <f t="shared" si="3"/>
        <v>-418737812.66408068</v>
      </c>
      <c r="R11" s="5">
        <f t="shared" si="7"/>
        <v>-971.31732477872038</v>
      </c>
      <c r="S11" s="5">
        <f>(G11-1)*'2023 Nto driftsutg landet'!$C$8*$C11</f>
        <v>-280954374.69531888</v>
      </c>
      <c r="T11" s="5">
        <f t="shared" si="8"/>
        <v>-280954374.69531888</v>
      </c>
      <c r="U11" s="5">
        <f t="shared" si="9"/>
        <v>-651.71055338357394</v>
      </c>
      <c r="V11" s="5">
        <f>(H11-1)*'2023 Nto driftsutg landet'!$C$9*$C11</f>
        <v>-9293569.5972940028</v>
      </c>
      <c r="W11" s="5">
        <f t="shared" si="4"/>
        <v>-9293569.5972939972</v>
      </c>
      <c r="X11" s="5">
        <f t="shared" si="10"/>
        <v>-21.557654660937171</v>
      </c>
      <c r="Z11" s="2">
        <f>1+L11/'2023 Nto driftsutg landet'!$C$5</f>
        <v>1.0246976591874704</v>
      </c>
      <c r="AA11" s="2">
        <f>1+O11/'2023 Nto driftsutg landet'!$C$6</f>
        <v>0.87778384106275287</v>
      </c>
      <c r="AB11" s="2">
        <f>1+R11/'2023 Nto driftsutg landet'!$C$7</f>
        <v>0.66753460722060465</v>
      </c>
      <c r="AC11" s="2">
        <f>1+U11/'2023 Nto driftsutg landet'!$C$8</f>
        <v>0.13457432220097476</v>
      </c>
      <c r="AD11" s="2">
        <f>1+X11/'2023 Nto driftsutg landet'!$C$9</f>
        <v>0.96530680839609195</v>
      </c>
    </row>
    <row r="12" spans="1:30" x14ac:dyDescent="0.3">
      <c r="A12" s="43">
        <v>4200</v>
      </c>
      <c r="B12" s="44" t="s">
        <v>344</v>
      </c>
      <c r="C12" s="44">
        <f>+'2023 Nto driftsutg'!W12</f>
        <v>317444</v>
      </c>
      <c r="D12" s="3">
        <f>+'2023 Grunnlag korreksjoner'!D12</f>
        <v>1.084268975153569</v>
      </c>
      <c r="E12" s="3">
        <f>+'2023 Grunnlag korreksjoner'!E12</f>
        <v>1.2211575516772717</v>
      </c>
      <c r="F12" s="3">
        <f>+'2023 Grunnlag korreksjoner'!F12</f>
        <v>0.78004641987215195</v>
      </c>
      <c r="G12" s="3">
        <f>+'2023 Grunnlag korreksjoner'!G12</f>
        <v>0.1328769183331836</v>
      </c>
      <c r="H12" s="3">
        <f>+'2023 Grunnlag korreksjoner'!H12</f>
        <v>1.0388028742608666</v>
      </c>
      <c r="I12" s="2">
        <v>0.99934472690625165</v>
      </c>
      <c r="J12" s="5">
        <f>(D12-1)*'2023 Nto driftsutg landet'!$C$5*C12</f>
        <v>189242109.64093646</v>
      </c>
      <c r="K12" s="5">
        <f t="shared" si="5"/>
        <v>189242109.64093643</v>
      </c>
      <c r="L12" s="5">
        <f t="shared" si="1"/>
        <v>596.14328713390842</v>
      </c>
      <c r="M12" s="5">
        <f>(E12-1)*'2023 Nto driftsutg landet'!$C$6*$C12</f>
        <v>141298245.7820245</v>
      </c>
      <c r="N12" s="5">
        <f t="shared" si="2"/>
        <v>141298245.7820245</v>
      </c>
      <c r="O12" s="5">
        <f t="shared" si="6"/>
        <v>445.11235298832077</v>
      </c>
      <c r="P12" s="5">
        <f>(F12-1)*'2023 Nto driftsutg landet'!$C$7*$C12</f>
        <v>-203991864.80452591</v>
      </c>
      <c r="Q12" s="5">
        <f t="shared" si="3"/>
        <v>-203991864.80452591</v>
      </c>
      <c r="R12" s="5">
        <f t="shared" si="7"/>
        <v>-642.60740415483019</v>
      </c>
      <c r="S12" s="5">
        <f>(G12-1)*'2023 Nto driftsutg landet'!$C$8*$C12</f>
        <v>-207287372.4344441</v>
      </c>
      <c r="T12" s="5">
        <f t="shared" si="8"/>
        <v>-207287372.4344441</v>
      </c>
      <c r="U12" s="5">
        <f t="shared" si="9"/>
        <v>-652.98878679213999</v>
      </c>
      <c r="V12" s="5">
        <f>(H12-1)*'2023 Nto driftsutg landet'!$C$9*$C12</f>
        <v>7653996.7811390767</v>
      </c>
      <c r="W12" s="5">
        <f t="shared" si="4"/>
        <v>7653996.7811390813</v>
      </c>
      <c r="X12" s="5">
        <f t="shared" si="10"/>
        <v>24.111329182908108</v>
      </c>
      <c r="Z12" s="2">
        <f>1+L12/'2023 Nto driftsutg landet'!$C$5</f>
        <v>1.084268975153569</v>
      </c>
      <c r="AA12" s="2">
        <f>1+O12/'2023 Nto driftsutg landet'!$C$6</f>
        <v>1.2211575516772717</v>
      </c>
      <c r="AB12" s="2">
        <f>1+R12/'2023 Nto driftsutg landet'!$C$7</f>
        <v>0.78004641987215195</v>
      </c>
      <c r="AC12" s="2">
        <f>1+U12/'2023 Nto driftsutg landet'!$C$8</f>
        <v>0.1328769183331836</v>
      </c>
      <c r="AD12" s="2">
        <f>1+X12/'2023 Nto driftsutg landet'!$C$9</f>
        <v>1.0388028742608666</v>
      </c>
    </row>
    <row r="13" spans="1:30" x14ac:dyDescent="0.3">
      <c r="A13" s="43">
        <v>4600</v>
      </c>
      <c r="B13" s="44" t="s">
        <v>345</v>
      </c>
      <c r="C13" s="44">
        <f>+'2023 Nto driftsutg'!W13</f>
        <v>648436</v>
      </c>
      <c r="D13" s="3">
        <f>+'2023 Grunnlag korreksjoner'!D13</f>
        <v>1.048859894414335</v>
      </c>
      <c r="E13" s="3">
        <f>+'2023 Grunnlag korreksjoner'!E13</f>
        <v>1.2994326055707779</v>
      </c>
      <c r="F13" s="3">
        <f>+'2023 Grunnlag korreksjoner'!F13</f>
        <v>1.0646807692486568</v>
      </c>
      <c r="G13" s="3">
        <f>+'2023 Grunnlag korreksjoner'!G13</f>
        <v>2.300543280463788</v>
      </c>
      <c r="H13" s="3">
        <f>+'2023 Grunnlag korreksjoner'!H13</f>
        <v>1.0530401240046849</v>
      </c>
      <c r="I13" s="2">
        <v>1.1724734449843615</v>
      </c>
      <c r="J13" s="5">
        <f>(D13-1)*'2023 Nto driftsutg landet'!$C$5*C13</f>
        <v>224131340.16370472</v>
      </c>
      <c r="K13" s="5">
        <f t="shared" si="5"/>
        <v>224131340.16370469</v>
      </c>
      <c r="L13" s="5">
        <f t="shared" si="1"/>
        <v>345.64913139261961</v>
      </c>
      <c r="M13" s="5">
        <f>(E13-1)*'2023 Nto driftsutg landet'!$C$6*$C13</f>
        <v>390781577.11992967</v>
      </c>
      <c r="N13" s="5">
        <f t="shared" si="2"/>
        <v>390781577.11992967</v>
      </c>
      <c r="O13" s="5">
        <f t="shared" si="6"/>
        <v>602.65250097146009</v>
      </c>
      <c r="P13" s="5">
        <f>(F13-1)*'2023 Nto driftsutg landet'!$C$7*$C13</f>
        <v>122534105.38400148</v>
      </c>
      <c r="Q13" s="5">
        <f t="shared" si="3"/>
        <v>122534105.38400148</v>
      </c>
      <c r="R13" s="5">
        <f t="shared" si="7"/>
        <v>188.96869603785336</v>
      </c>
      <c r="S13" s="5">
        <f>(G13-1)*'2023 Nto driftsutg landet'!$C$8*$C13</f>
        <v>635063137.25862777</v>
      </c>
      <c r="T13" s="5">
        <f t="shared" si="8"/>
        <v>635063137.25862777</v>
      </c>
      <c r="U13" s="5">
        <f t="shared" si="9"/>
        <v>979.37674228239609</v>
      </c>
      <c r="V13" s="5">
        <f>(H13-1)*'2023 Nto driftsutg landet'!$C$9*$C13</f>
        <v>21371199.808597911</v>
      </c>
      <c r="W13" s="5">
        <f t="shared" si="4"/>
        <v>21371199.808597919</v>
      </c>
      <c r="X13" s="5">
        <f t="shared" si="10"/>
        <v>32.958071125905903</v>
      </c>
      <c r="Z13" s="2">
        <f>1+L13/'2023 Nto driftsutg landet'!$C$5</f>
        <v>1.048859894414335</v>
      </c>
      <c r="AA13" s="2">
        <f>1+O13/'2023 Nto driftsutg landet'!$C$6</f>
        <v>1.2994326055707779</v>
      </c>
      <c r="AB13" s="2">
        <f>1+R13/'2023 Nto driftsutg landet'!$C$7</f>
        <v>1.0646807692486568</v>
      </c>
      <c r="AC13" s="2">
        <f>1+U13/'2023 Nto driftsutg landet'!$C$8</f>
        <v>2.300543280463788</v>
      </c>
      <c r="AD13" s="2">
        <f>1+X13/'2023 Nto driftsutg landet'!$C$9</f>
        <v>1.0530401240046849</v>
      </c>
    </row>
    <row r="14" spans="1:30" x14ac:dyDescent="0.3">
      <c r="A14" s="43">
        <v>5000</v>
      </c>
      <c r="B14" s="44" t="s">
        <v>340</v>
      </c>
      <c r="C14" s="44">
        <f>+'2023 Nto driftsutg'!W14</f>
        <v>480437</v>
      </c>
      <c r="D14" s="3">
        <f>+'2023 Grunnlag korreksjoner'!D14</f>
        <v>1.0195042229505571</v>
      </c>
      <c r="E14" s="3">
        <f>+'2023 Grunnlag korreksjoner'!E14</f>
        <v>1.2666523308794941</v>
      </c>
      <c r="F14" s="3">
        <f>+'2023 Grunnlag korreksjoner'!F14</f>
        <v>1.0917317827078288</v>
      </c>
      <c r="G14" s="3">
        <f>+'2023 Grunnlag korreksjoner'!G14</f>
        <v>1.0558842371923283</v>
      </c>
      <c r="H14" s="3">
        <f>+'2023 Grunnlag korreksjoner'!H14</f>
        <v>1.0416844885673895</v>
      </c>
      <c r="I14" s="2">
        <v>1.0865235188462492</v>
      </c>
      <c r="J14" s="5">
        <f>(D14-1)*'2023 Nto driftsutg landet'!$C$5*C14</f>
        <v>66290003.939120829</v>
      </c>
      <c r="K14" s="5">
        <f t="shared" si="5"/>
        <v>66290003.939120799</v>
      </c>
      <c r="L14" s="5">
        <f t="shared" si="1"/>
        <v>137.97855689532821</v>
      </c>
      <c r="M14" s="5">
        <f>(E14-1)*'2023 Nto driftsutg landet'!$C$6*$C14</f>
        <v>257839650.92064828</v>
      </c>
      <c r="N14" s="5">
        <f t="shared" si="2"/>
        <v>257839650.92064828</v>
      </c>
      <c r="O14" s="5">
        <f t="shared" si="6"/>
        <v>536.6773394235837</v>
      </c>
      <c r="P14" s="5">
        <f>(F14-1)*'2023 Nto driftsutg landet'!$C$7*$C14</f>
        <v>128757035.81585547</v>
      </c>
      <c r="Q14" s="5">
        <f t="shared" si="3"/>
        <v>128757035.81585547</v>
      </c>
      <c r="R14" s="5">
        <f t="shared" si="7"/>
        <v>267.99983310164595</v>
      </c>
      <c r="S14" s="5">
        <f>(G14-1)*'2023 Nto driftsutg landet'!$C$8*$C14</f>
        <v>20218584.646457877</v>
      </c>
      <c r="T14" s="5">
        <f t="shared" si="8"/>
        <v>20218584.646457877</v>
      </c>
      <c r="U14" s="5">
        <f t="shared" si="9"/>
        <v>42.083737610670859</v>
      </c>
      <c r="V14" s="5">
        <f>(H14-1)*'2023 Nto driftsutg landet'!$C$9*$C14</f>
        <v>12444234.310507284</v>
      </c>
      <c r="W14" s="5">
        <f t="shared" si="4"/>
        <v>12444234.310507292</v>
      </c>
      <c r="X14" s="5">
        <f t="shared" si="10"/>
        <v>25.901906619405441</v>
      </c>
      <c r="Z14" s="2">
        <f>1+L14/'2023 Nto driftsutg landet'!$C$5</f>
        <v>1.0195042229505571</v>
      </c>
      <c r="AA14" s="2">
        <f>1+O14/'2023 Nto driftsutg landet'!$C$6</f>
        <v>1.2666523308794941</v>
      </c>
      <c r="AB14" s="2">
        <f>1+R14/'2023 Nto driftsutg landet'!$C$7</f>
        <v>1.0917317827078288</v>
      </c>
      <c r="AC14" s="2">
        <f>1+U14/'2023 Nto driftsutg landet'!$C$8</f>
        <v>1.0558842371923283</v>
      </c>
      <c r="AD14" s="2">
        <f>1+X14/'2023 Nto driftsutg landet'!$C$9</f>
        <v>1.0416844885673895</v>
      </c>
    </row>
    <row r="15" spans="1:30" x14ac:dyDescent="0.3">
      <c r="A15" s="43">
        <v>5400</v>
      </c>
      <c r="B15" s="44" t="s">
        <v>346</v>
      </c>
      <c r="C15" s="44">
        <f>+'2023 Nto driftsutg'!W15</f>
        <v>243329</v>
      </c>
      <c r="D15" s="3">
        <f>+'2023 Grunnlag korreksjoner'!D15</f>
        <v>1.1042840912589909</v>
      </c>
      <c r="E15" s="3">
        <f>+'2023 Grunnlag korreksjoner'!E15</f>
        <v>2.0698277004132728</v>
      </c>
      <c r="F15" s="3">
        <f>+'2023 Grunnlag korreksjoner'!F15</f>
        <v>1.6506558229265536</v>
      </c>
      <c r="G15" s="3">
        <f>+'2023 Grunnlag korreksjoner'!G15</f>
        <v>3.2174219622421876</v>
      </c>
      <c r="H15" s="3">
        <f>+'2023 Grunnlag korreksjoner'!H15</f>
        <v>1.2198806295668334</v>
      </c>
      <c r="I15" s="2">
        <v>1.5271117940854428</v>
      </c>
      <c r="J15" s="5">
        <f>(D15-1)*'2023 Nto driftsutg landet'!$C$5*C15</f>
        <v>179512575.57484692</v>
      </c>
      <c r="K15" s="5">
        <f t="shared" si="5"/>
        <v>179512575.57484692</v>
      </c>
      <c r="L15" s="5">
        <f t="shared" si="1"/>
        <v>737.73605108658205</v>
      </c>
      <c r="M15" s="5">
        <f>(E15-1)*'2023 Nto driftsutg landet'!$C$6*$C15</f>
        <v>523932795.29255378</v>
      </c>
      <c r="N15" s="5">
        <f t="shared" si="2"/>
        <v>523932795.29255378</v>
      </c>
      <c r="O15" s="5">
        <f t="shared" si="6"/>
        <v>2153.1868182278058</v>
      </c>
      <c r="P15" s="5">
        <f>(F15-1)*'2023 Nto driftsutg landet'!$C$7*$C15</f>
        <v>462551274.60797453</v>
      </c>
      <c r="Q15" s="5">
        <f t="shared" si="3"/>
        <v>462551274.60797453</v>
      </c>
      <c r="R15" s="5">
        <f t="shared" si="7"/>
        <v>1900.9295012430682</v>
      </c>
      <c r="S15" s="5">
        <f>(G15-1)*'2023 Nto driftsutg landet'!$C$8*$C15</f>
        <v>406319057.86503649</v>
      </c>
      <c r="T15" s="5">
        <f t="shared" si="8"/>
        <v>406319057.86503649</v>
      </c>
      <c r="U15" s="5">
        <f t="shared" si="9"/>
        <v>1669.8340841619226</v>
      </c>
      <c r="V15" s="5">
        <f>(H15-1)*'2023 Nto driftsutg landet'!$C$9*$C15</f>
        <v>33245900.363903161</v>
      </c>
      <c r="W15" s="5">
        <f t="shared" si="4"/>
        <v>33245900.363903165</v>
      </c>
      <c r="X15" s="5">
        <f t="shared" si="10"/>
        <v>136.62942092353632</v>
      </c>
      <c r="Z15" s="2">
        <f>1+L15/'2023 Nto driftsutg landet'!$C$5</f>
        <v>1.1042840912589909</v>
      </c>
      <c r="AA15" s="2">
        <f>1+O15/'2023 Nto driftsutg landet'!$C$6</f>
        <v>2.0698277004132728</v>
      </c>
      <c r="AB15" s="2">
        <f>1+R15/'2023 Nto driftsutg landet'!$C$7</f>
        <v>1.6506558229265536</v>
      </c>
      <c r="AC15" s="2">
        <f>1+U15/'2023 Nto driftsutg landet'!$C$8</f>
        <v>3.2174219622421876</v>
      </c>
      <c r="AD15" s="2">
        <f>1+X15/'2023 Nto driftsutg landet'!$C$9</f>
        <v>1.2198806295668334</v>
      </c>
    </row>
    <row r="16" spans="1:30" x14ac:dyDescent="0.3">
      <c r="B16" s="45"/>
      <c r="C16" s="45"/>
      <c r="D16" s="4"/>
      <c r="E16" s="4"/>
      <c r="F16" s="4"/>
      <c r="G16" s="4"/>
      <c r="H16" s="4"/>
      <c r="I16" s="4"/>
      <c r="Z16" s="4"/>
      <c r="AA16" s="4"/>
    </row>
    <row r="17" spans="2:31" x14ac:dyDescent="0.3">
      <c r="B17" s="44" t="s">
        <v>3</v>
      </c>
      <c r="C17" s="5">
        <f>SUM(C5:C16)</f>
        <v>5514056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5">
        <f>SUM(J5:J16)</f>
        <v>3.2782554626464844E-7</v>
      </c>
      <c r="K17" s="5">
        <f>SUM(K5:K16)</f>
        <v>0</v>
      </c>
      <c r="L17" s="5">
        <v>0</v>
      </c>
      <c r="M17" s="5">
        <f>SUM(M5:M16)</f>
        <v>0</v>
      </c>
      <c r="N17" s="5">
        <f>SUM(N5:N16)</f>
        <v>0</v>
      </c>
      <c r="O17" s="5">
        <v>0</v>
      </c>
      <c r="P17" s="5">
        <f>SUM(P5:P16)</f>
        <v>0</v>
      </c>
      <c r="Q17" s="5">
        <f>SUM(Q5:Q16)</f>
        <v>0</v>
      </c>
      <c r="R17" s="5">
        <v>0</v>
      </c>
      <c r="S17" s="5">
        <f>SUM(S5:S16)</f>
        <v>0</v>
      </c>
      <c r="T17" s="5">
        <f>SUM(T5:T16)</f>
        <v>0</v>
      </c>
      <c r="U17" s="5">
        <v>0</v>
      </c>
      <c r="V17" s="5">
        <f>SUM(V5:V16)</f>
        <v>-7.8231096267700195E-8</v>
      </c>
      <c r="W17" s="5">
        <f>SUM(W5:W16)</f>
        <v>0</v>
      </c>
      <c r="X17" s="5">
        <v>0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/>
    </row>
  </sheetData>
  <sheetProtection algorithmName="SHA-512" hashValue="53Iwc8iAAJWq7zajFvFlLBji+38xSWecN/pVD82RbNet6cg7gi8dr63ftOJuyfyU0ns6DdrbyrE8r7FVsrOjEg==" saltValue="7iO3p/ThvJdUXJ1nWObTdA==" spinCount="100000" sheet="1" selectLockedCells="1" selectUn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19"/>
  <dimension ref="A1:CE18"/>
  <sheetViews>
    <sheetView zoomScale="80" zoomScaleNormal="8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5" width="12" customWidth="1"/>
    <col min="6" max="6" width="13.44140625" customWidth="1"/>
    <col min="7" max="7" width="13.5546875" customWidth="1"/>
    <col min="8" max="8" width="14.44140625" customWidth="1"/>
    <col min="9" max="9" width="14.109375" customWidth="1"/>
    <col min="10" max="14" width="15.44140625" customWidth="1"/>
    <col min="15" max="15" width="14.44140625" customWidth="1"/>
    <col min="16" max="16" width="12.44140625" customWidth="1"/>
    <col min="17" max="21" width="15.44140625" customWidth="1"/>
    <col min="22" max="22" width="14.44140625" customWidth="1"/>
    <col min="23" max="23" width="13.44140625" customWidth="1"/>
    <col min="24" max="35" width="15.44140625" customWidth="1"/>
    <col min="36" max="36" width="14.44140625" customWidth="1"/>
    <col min="37" max="37" width="13.44140625" customWidth="1"/>
    <col min="38" max="42" width="15.44140625" customWidth="1"/>
    <col min="43" max="43" width="14.44140625" customWidth="1"/>
    <col min="44" max="44" width="13.44140625" customWidth="1"/>
    <col min="45" max="49" width="15.44140625" customWidth="1"/>
    <col min="50" max="50" width="14.44140625" customWidth="1"/>
    <col min="51" max="51" width="13.44140625" customWidth="1"/>
    <col min="52" max="56" width="15.44140625" customWidth="1"/>
    <col min="57" max="57" width="14.44140625" customWidth="1"/>
    <col min="58" max="58" width="13.44140625" customWidth="1"/>
    <col min="59" max="63" width="15.44140625" customWidth="1"/>
    <col min="64" max="64" width="14.44140625" customWidth="1"/>
    <col min="65" max="65" width="13.44140625" customWidth="1"/>
    <col min="66" max="70" width="15.44140625" customWidth="1"/>
    <col min="71" max="71" width="14.44140625" customWidth="1"/>
    <col min="72" max="72" width="13.44140625" customWidth="1"/>
    <col min="73" max="77" width="15.44140625" customWidth="1"/>
    <col min="78" max="78" width="14.44140625" customWidth="1"/>
    <col min="79" max="79" width="13.44140625" customWidth="1"/>
    <col min="80" max="80" width="15.44140625" customWidth="1"/>
    <col min="81" max="81" width="14.44140625" customWidth="1"/>
    <col min="82" max="82" width="13.44140625" customWidth="1"/>
    <col min="83" max="83" width="15.44140625" customWidth="1"/>
  </cols>
  <sheetData>
    <row r="1" spans="1:83" x14ac:dyDescent="0.3">
      <c r="H1" s="58"/>
      <c r="CB1" s="5"/>
    </row>
    <row r="2" spans="1:83" ht="79.8" x14ac:dyDescent="0.3">
      <c r="A2" s="24" t="s">
        <v>2</v>
      </c>
      <c r="B2" s="24" t="s">
        <v>1</v>
      </c>
      <c r="C2" s="24" t="s">
        <v>348</v>
      </c>
      <c r="D2" s="24" t="s">
        <v>282</v>
      </c>
      <c r="E2" s="24" t="s">
        <v>283</v>
      </c>
      <c r="F2" s="24" t="s">
        <v>285</v>
      </c>
      <c r="G2" s="24" t="s">
        <v>284</v>
      </c>
      <c r="H2" s="24" t="s">
        <v>286</v>
      </c>
      <c r="I2" s="24" t="s">
        <v>231</v>
      </c>
      <c r="J2" s="24" t="s">
        <v>230</v>
      </c>
      <c r="K2" s="108" t="s">
        <v>287</v>
      </c>
      <c r="L2" s="108" t="s">
        <v>288</v>
      </c>
      <c r="M2" s="108" t="s">
        <v>289</v>
      </c>
      <c r="N2" s="108" t="s">
        <v>290</v>
      </c>
      <c r="O2" s="108" t="s">
        <v>291</v>
      </c>
      <c r="P2" s="108" t="s">
        <v>233</v>
      </c>
      <c r="Q2" s="108" t="s">
        <v>232</v>
      </c>
      <c r="R2" s="24" t="s">
        <v>376</v>
      </c>
      <c r="S2" s="24" t="s">
        <v>377</v>
      </c>
      <c r="T2" s="24" t="s">
        <v>378</v>
      </c>
      <c r="U2" s="24" t="s">
        <v>379</v>
      </c>
      <c r="V2" s="24" t="s">
        <v>380</v>
      </c>
      <c r="W2" s="24" t="s">
        <v>381</v>
      </c>
      <c r="X2" s="24" t="s">
        <v>382</v>
      </c>
      <c r="Y2" s="108" t="s">
        <v>383</v>
      </c>
      <c r="Z2" s="108" t="s">
        <v>384</v>
      </c>
      <c r="AA2" s="108" t="s">
        <v>385</v>
      </c>
      <c r="AB2" s="108" t="s">
        <v>386</v>
      </c>
      <c r="AC2" s="108" t="s">
        <v>387</v>
      </c>
      <c r="AD2" s="108" t="s">
        <v>388</v>
      </c>
      <c r="AE2" s="108" t="s">
        <v>389</v>
      </c>
      <c r="AF2" s="24" t="s">
        <v>292</v>
      </c>
      <c r="AG2" s="24" t="s">
        <v>293</v>
      </c>
      <c r="AH2" s="24" t="s">
        <v>294</v>
      </c>
      <c r="AI2" s="24" t="s">
        <v>295</v>
      </c>
      <c r="AJ2" s="24" t="s">
        <v>296</v>
      </c>
      <c r="AK2" s="24" t="s">
        <v>297</v>
      </c>
      <c r="AL2" s="24" t="s">
        <v>298</v>
      </c>
      <c r="AM2" s="108" t="s">
        <v>299</v>
      </c>
      <c r="AN2" s="108" t="s">
        <v>300</v>
      </c>
      <c r="AO2" s="108" t="s">
        <v>301</v>
      </c>
      <c r="AP2" s="108" t="s">
        <v>302</v>
      </c>
      <c r="AQ2" s="108" t="s">
        <v>303</v>
      </c>
      <c r="AR2" s="108" t="s">
        <v>235</v>
      </c>
      <c r="AS2" s="108" t="s">
        <v>234</v>
      </c>
      <c r="AT2" s="24" t="s">
        <v>304</v>
      </c>
      <c r="AU2" s="24" t="s">
        <v>305</v>
      </c>
      <c r="AV2" s="24" t="s">
        <v>306</v>
      </c>
      <c r="AW2" s="24" t="s">
        <v>307</v>
      </c>
      <c r="AX2" s="24" t="s">
        <v>308</v>
      </c>
      <c r="AY2" s="24" t="s">
        <v>309</v>
      </c>
      <c r="AZ2" s="24" t="s">
        <v>310</v>
      </c>
      <c r="BA2" s="108" t="s">
        <v>311</v>
      </c>
      <c r="BB2" s="108" t="s">
        <v>312</v>
      </c>
      <c r="BC2" s="108" t="s">
        <v>313</v>
      </c>
      <c r="BD2" s="108" t="s">
        <v>314</v>
      </c>
      <c r="BE2" s="108" t="s">
        <v>315</v>
      </c>
      <c r="BF2" s="108" t="s">
        <v>237</v>
      </c>
      <c r="BG2" s="108" t="s">
        <v>236</v>
      </c>
      <c r="BH2" s="24" t="s">
        <v>316</v>
      </c>
      <c r="BI2" s="24" t="s">
        <v>317</v>
      </c>
      <c r="BJ2" s="24" t="s">
        <v>318</v>
      </c>
      <c r="BK2" s="24" t="s">
        <v>319</v>
      </c>
      <c r="BL2" s="24" t="s">
        <v>320</v>
      </c>
      <c r="BM2" s="24" t="s">
        <v>239</v>
      </c>
      <c r="BN2" s="24" t="s">
        <v>238</v>
      </c>
      <c r="BO2" s="108" t="s">
        <v>321</v>
      </c>
      <c r="BP2" s="108" t="s">
        <v>322</v>
      </c>
      <c r="BQ2" s="108" t="s">
        <v>323</v>
      </c>
      <c r="BR2" s="108" t="s">
        <v>324</v>
      </c>
      <c r="BS2" s="108" t="s">
        <v>325</v>
      </c>
      <c r="BT2" s="108" t="s">
        <v>326</v>
      </c>
      <c r="BU2" s="108" t="s">
        <v>327</v>
      </c>
      <c r="BV2" s="24" t="s">
        <v>328</v>
      </c>
      <c r="BW2" s="24" t="s">
        <v>329</v>
      </c>
      <c r="BX2" s="24" t="s">
        <v>330</v>
      </c>
      <c r="BY2" s="24" t="s">
        <v>331</v>
      </c>
      <c r="BZ2" s="24" t="s">
        <v>332</v>
      </c>
      <c r="CA2" s="24" t="s">
        <v>333</v>
      </c>
      <c r="CB2" s="24" t="s">
        <v>334</v>
      </c>
      <c r="CC2" s="108"/>
      <c r="CD2" s="108"/>
      <c r="CE2" s="108"/>
    </row>
    <row r="3" spans="1:83" x14ac:dyDescent="0.3">
      <c r="A3" s="107">
        <v>1</v>
      </c>
      <c r="B3" s="107">
        <f>+A3+1</f>
        <v>2</v>
      </c>
      <c r="C3" s="107">
        <f t="shared" ref="C3:CE3" si="0">+B3+1</f>
        <v>3</v>
      </c>
      <c r="D3" s="107">
        <f t="shared" ref="D3" si="1">+C3+1</f>
        <v>4</v>
      </c>
      <c r="E3" s="107">
        <f t="shared" ref="E3" si="2">+D3+1</f>
        <v>5</v>
      </c>
      <c r="F3" s="107">
        <f t="shared" ref="F3" si="3">+E3+1</f>
        <v>6</v>
      </c>
      <c r="G3" s="107">
        <f t="shared" ref="G3" si="4">+F3+1</f>
        <v>7</v>
      </c>
      <c r="H3" s="107">
        <f t="shared" ref="H3" si="5">+G3+1</f>
        <v>8</v>
      </c>
      <c r="I3" s="107">
        <f t="shared" ref="I3" si="6">+H3+1</f>
        <v>9</v>
      </c>
      <c r="J3" s="107">
        <f t="shared" ref="J3" si="7">+I3+1</f>
        <v>10</v>
      </c>
      <c r="K3" s="109">
        <f t="shared" ref="K3" si="8">+J3+1</f>
        <v>11</v>
      </c>
      <c r="L3" s="109">
        <f t="shared" ref="L3" si="9">+K3+1</f>
        <v>12</v>
      </c>
      <c r="M3" s="109">
        <f t="shared" ref="M3" si="10">+L3+1</f>
        <v>13</v>
      </c>
      <c r="N3" s="109">
        <f t="shared" ref="N3" si="11">+M3+1</f>
        <v>14</v>
      </c>
      <c r="O3" s="109">
        <f t="shared" ref="O3" si="12">+N3+1</f>
        <v>15</v>
      </c>
      <c r="P3" s="109">
        <f t="shared" si="0"/>
        <v>16</v>
      </c>
      <c r="Q3" s="109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>+U3+1</f>
        <v>22</v>
      </c>
      <c r="W3" s="107">
        <f t="shared" si="0"/>
        <v>23</v>
      </c>
      <c r="X3" s="107">
        <f t="shared" si="0"/>
        <v>24</v>
      </c>
      <c r="Y3" s="109">
        <f t="shared" ref="Y3" si="13">+X3+1</f>
        <v>25</v>
      </c>
      <c r="Z3" s="109">
        <f t="shared" ref="Z3" si="14">+Y3+1</f>
        <v>26</v>
      </c>
      <c r="AA3" s="109">
        <f t="shared" ref="AA3" si="15">+Z3+1</f>
        <v>27</v>
      </c>
      <c r="AB3" s="109">
        <f t="shared" ref="AB3" si="16">+AA3+1</f>
        <v>28</v>
      </c>
      <c r="AC3" s="109">
        <f t="shared" ref="AC3" si="17">+AB3+1</f>
        <v>29</v>
      </c>
      <c r="AD3" s="109">
        <f t="shared" si="0"/>
        <v>30</v>
      </c>
      <c r="AE3" s="109">
        <f t="shared" si="0"/>
        <v>31</v>
      </c>
      <c r="AF3" s="107">
        <f t="shared" ref="AF3" si="18">+AE3+1</f>
        <v>32</v>
      </c>
      <c r="AG3" s="107">
        <f t="shared" ref="AG3" si="19">+AF3+1</f>
        <v>33</v>
      </c>
      <c r="AH3" s="107">
        <f t="shared" ref="AH3" si="20">+AG3+1</f>
        <v>34</v>
      </c>
      <c r="AI3" s="107">
        <f t="shared" ref="AI3" si="21">+AH3+1</f>
        <v>35</v>
      </c>
      <c r="AJ3" s="107">
        <f t="shared" ref="AJ3" si="22">+AI3+1</f>
        <v>36</v>
      </c>
      <c r="AK3" s="107">
        <f t="shared" ref="AK3" si="23">+AJ3+1</f>
        <v>37</v>
      </c>
      <c r="AL3" s="107">
        <f t="shared" ref="AL3" si="24">+AK3+1</f>
        <v>38</v>
      </c>
      <c r="AM3" s="109">
        <f t="shared" ref="AM3" si="25">+AL3+1</f>
        <v>39</v>
      </c>
      <c r="AN3" s="109">
        <f t="shared" ref="AN3" si="26">+AM3+1</f>
        <v>40</v>
      </c>
      <c r="AO3" s="109">
        <f t="shared" ref="AO3" si="27">+AN3+1</f>
        <v>41</v>
      </c>
      <c r="AP3" s="109">
        <f t="shared" ref="AP3:AQ3" si="28">+AO3+1</f>
        <v>42</v>
      </c>
      <c r="AQ3" s="109">
        <f t="shared" si="28"/>
        <v>43</v>
      </c>
      <c r="AR3" s="109">
        <f t="shared" si="0"/>
        <v>44</v>
      </c>
      <c r="AS3" s="109">
        <f t="shared" si="0"/>
        <v>45</v>
      </c>
      <c r="AT3" s="107">
        <f t="shared" ref="AT3" si="29">+AS3+1</f>
        <v>46</v>
      </c>
      <c r="AU3" s="107">
        <f t="shared" ref="AU3" si="30">+AT3+1</f>
        <v>47</v>
      </c>
      <c r="AV3" s="107">
        <f t="shared" ref="AV3" si="31">+AU3+1</f>
        <v>48</v>
      </c>
      <c r="AW3" s="107">
        <f t="shared" ref="AW3" si="32">+AV3+1</f>
        <v>49</v>
      </c>
      <c r="AX3" s="107">
        <f t="shared" ref="AX3" si="33">+AW3+1</f>
        <v>50</v>
      </c>
      <c r="AY3" s="107">
        <f t="shared" si="0"/>
        <v>51</v>
      </c>
      <c r="AZ3" s="107">
        <f t="shared" si="0"/>
        <v>52</v>
      </c>
      <c r="BA3" s="109">
        <f t="shared" ref="BA3" si="34">+AZ3+1</f>
        <v>53</v>
      </c>
      <c r="BB3" s="109">
        <f t="shared" ref="BB3" si="35">+BA3+1</f>
        <v>54</v>
      </c>
      <c r="BC3" s="109">
        <f t="shared" ref="BC3" si="36">+BB3+1</f>
        <v>55</v>
      </c>
      <c r="BD3" s="109">
        <f t="shared" ref="BD3" si="37">+BC3+1</f>
        <v>56</v>
      </c>
      <c r="BE3" s="109">
        <f t="shared" ref="BE3" si="38">+BD3+1</f>
        <v>57</v>
      </c>
      <c r="BF3" s="109">
        <f t="shared" si="0"/>
        <v>58</v>
      </c>
      <c r="BG3" s="109">
        <f t="shared" si="0"/>
        <v>59</v>
      </c>
      <c r="BH3" s="107">
        <f t="shared" ref="BH3" si="39">+BG3+1</f>
        <v>60</v>
      </c>
      <c r="BI3" s="107">
        <f t="shared" ref="BI3" si="40">+BH3+1</f>
        <v>61</v>
      </c>
      <c r="BJ3" s="107">
        <f t="shared" ref="BJ3" si="41">+BI3+1</f>
        <v>62</v>
      </c>
      <c r="BK3" s="107">
        <f t="shared" ref="BK3" si="42">+BJ3+1</f>
        <v>63</v>
      </c>
      <c r="BL3" s="107">
        <f t="shared" ref="BL3" si="43">+BK3+1</f>
        <v>64</v>
      </c>
      <c r="BM3" s="107">
        <f t="shared" si="0"/>
        <v>65</v>
      </c>
      <c r="BN3" s="107">
        <f t="shared" si="0"/>
        <v>66</v>
      </c>
      <c r="BO3" s="109">
        <f t="shared" ref="BO3" si="44">+BN3+1</f>
        <v>67</v>
      </c>
      <c r="BP3" s="109">
        <f t="shared" ref="BP3" si="45">+BO3+1</f>
        <v>68</v>
      </c>
      <c r="BQ3" s="109">
        <f t="shared" ref="BQ3" si="46">+BP3+1</f>
        <v>69</v>
      </c>
      <c r="BR3" s="109">
        <f t="shared" ref="BR3" si="47">+BQ3+1</f>
        <v>70</v>
      </c>
      <c r="BS3" s="109">
        <f>+BN3+1</f>
        <v>67</v>
      </c>
      <c r="BT3" s="109">
        <f t="shared" si="0"/>
        <v>68</v>
      </c>
      <c r="BU3" s="109">
        <f t="shared" si="0"/>
        <v>69</v>
      </c>
      <c r="BV3" s="107">
        <f t="shared" ref="BV3" si="48">+BU3+1</f>
        <v>70</v>
      </c>
      <c r="BW3" s="107">
        <f t="shared" ref="BW3" si="49">+BV3+1</f>
        <v>71</v>
      </c>
      <c r="BX3" s="107">
        <f t="shared" ref="BX3" si="50">+BW3+1</f>
        <v>72</v>
      </c>
      <c r="BY3" s="107">
        <f t="shared" ref="BY3" si="51">+BX3+1</f>
        <v>73</v>
      </c>
      <c r="BZ3" s="107">
        <f t="shared" ref="BZ3" si="52">+BY3+1</f>
        <v>74</v>
      </c>
      <c r="CA3" s="107">
        <f t="shared" si="0"/>
        <v>75</v>
      </c>
      <c r="CB3" s="107">
        <f t="shared" si="0"/>
        <v>76</v>
      </c>
      <c r="CC3" s="109">
        <f t="shared" si="0"/>
        <v>77</v>
      </c>
      <c r="CD3" s="109">
        <f t="shared" si="0"/>
        <v>78</v>
      </c>
      <c r="CE3" s="109">
        <f t="shared" si="0"/>
        <v>79</v>
      </c>
    </row>
    <row r="5" spans="1:83" x14ac:dyDescent="0.3">
      <c r="A5" s="43">
        <v>300</v>
      </c>
      <c r="B5" s="44" t="s">
        <v>0</v>
      </c>
      <c r="C5" s="44">
        <f>+'2023 Nto driftsutg'!W5</f>
        <v>711918</v>
      </c>
      <c r="D5" s="59">
        <f>IF('2023 Lønnsgr pensjon tjeneste'!D5&lt;100,0,(C5/$C$17)*'2023 Revekting utgiftsbehov'!D5*'2023 Pensjon tjeneste'!D5/'2023 Lønnsgr pensjon tjeneste'!D5)</f>
        <v>1.3941328724753789E-2</v>
      </c>
      <c r="E5" s="5">
        <f>IF('2023 Lønnsgr pensjon tjeneste'!D5&lt;100,0,C5)</f>
        <v>711918</v>
      </c>
      <c r="F5" s="59">
        <f>'2023 Revekting utgiftsbehov'!D5*E5/$E$17</f>
        <v>9.1736375534709272E-2</v>
      </c>
      <c r="G5" s="59">
        <f>'2023 Revekting utgiftsbehov'!D5/$F$17</f>
        <v>0.7105305834877288</v>
      </c>
      <c r="H5" s="59">
        <f>IF(E5=0,0,(E5/$E$17)*G5*'2023 Pensjon tjeneste'!D5/'2023 Lønnsgr pensjon tjeneste'!D5)</f>
        <v>1.3941328724753791E-2</v>
      </c>
      <c r="I5" s="5">
        <f>IF(E5=0,0,'2023 Nto driftsutg landet'!$C$5*'2023 Lønnsand og pensjon landet'!$D$6*('2023 Pensjon tjeneste'!D5/'2023 Lønnsgr pensjon tjeneste'!D5-$H$17)*'2023 Revekting utgiftsbehov'!D5)</f>
        <v>8.3786563781276069</v>
      </c>
      <c r="J5" s="5">
        <f>I5*C5/1000</f>
        <v>5964.9162914038498</v>
      </c>
      <c r="K5" s="59">
        <f>IF('2023 Lønnsgr pensjon tjeneste'!E5&lt;100,0,(C5/$C$17)*'2023 Revekting utgiftsbehov'!E5*'2023 Pensjon tjeneste'!E5/'2023 Lønnsgr pensjon tjeneste'!E5)</f>
        <v>4.6075959662284687E-3</v>
      </c>
      <c r="L5" s="5">
        <f>IF('2023 Lønnsgr pensjon tjeneste'!E5&lt;100,0,C5)</f>
        <v>711918</v>
      </c>
      <c r="M5" s="59">
        <f>'2023 Revekting utgiftsbehov'!E5*L5/$L$17</f>
        <v>2.770957018579065E-2</v>
      </c>
      <c r="N5" s="59">
        <f>'2023 Revekting utgiftsbehov'!E5/$M$17</f>
        <v>0.21462039411895759</v>
      </c>
      <c r="O5" s="59">
        <f>IF(L5=0,0,(L5/$L$17)*N5*'2023 Pensjon tjeneste'!E5/'2023 Lønnsgr pensjon tjeneste'!E5)</f>
        <v>4.6075959662284687E-3</v>
      </c>
      <c r="P5" s="5">
        <f>IF(L5=0,0,'2023 Nto driftsutg landet'!$C$6*'2023 Lønnsand og pensjon landet'!$D$7*('2023 Pensjon tjeneste'!E5/'2023 Lønnsgr pensjon tjeneste'!E5-$O$17)*'2023 Revekting utgiftsbehov'!E5)</f>
        <v>-7.9042854440117907</v>
      </c>
      <c r="Q5" s="5">
        <f>P5*C5/1000</f>
        <v>-5627.2030847299866</v>
      </c>
      <c r="R5" s="59">
        <f>IF('2023 Lønnsgr pensjon tjeneste'!F5&lt;100,0,(C5/$C$17)*'2023 Revekting utgiftsbehov'!F5*'2023 Pensjon tjeneste'!F5/'2023 Lønnsgr pensjon tjeneste'!F5)</f>
        <v>5.1795391427857454E-2</v>
      </c>
      <c r="S5" s="5">
        <f>IF('2023 Lønnsgr pensjon tjeneste'!F5&lt;100,0,C5)</f>
        <v>711918</v>
      </c>
      <c r="T5" s="59">
        <f>'2023 Revekting utgiftsbehov'!F5*S5/$S$17</f>
        <v>0.19514004242386096</v>
      </c>
      <c r="U5" s="59">
        <f>'2023 Revekting utgiftsbehov'!F5/$T$17</f>
        <v>1.5114284535122655</v>
      </c>
      <c r="V5" s="59">
        <f>IF(S5=0,0,(S5/$S$17)*U5*'2023 Pensjon tjeneste'!F5/'2023 Lønnsgr pensjon tjeneste'!F5)</f>
        <v>5.1795391427857454E-2</v>
      </c>
      <c r="W5" s="5">
        <f>IF(S5=0,0,'2023 Nto driftsutg landet'!$C$7*'2023 Lønnsand og pensjon landet'!$D$8*('2023 Pensjon tjeneste'!F5/'2023 Lønnsgr pensjon tjeneste'!F5-$V$17)*'2023 Revekting utgiftsbehov'!F5)</f>
        <v>1.1333786043811436</v>
      </c>
      <c r="X5" s="5">
        <f>W5*C5/1000</f>
        <v>806.87262927381494</v>
      </c>
      <c r="Y5" s="59">
        <f>IF('2023 Lønnsgr pensjon tjeneste'!G5&lt;100,0,(C5/$C$17)*'2023 Revekting utgiftsbehov'!G5*'2023 Pensjon tjeneste'!G5/'2023 Lønnsgr pensjon tjeneste'!G5)</f>
        <v>0</v>
      </c>
      <c r="Z5" s="5">
        <f>IF('2023 Lønnsgr pensjon tjeneste'!G5&lt;100,0,C5)</f>
        <v>0</v>
      </c>
      <c r="AA5" s="59">
        <f>'2023 Revekting utgiftsbehov'!G5*Z5/$Z$17</f>
        <v>0</v>
      </c>
      <c r="AB5" s="59">
        <f>'2023 Revekting utgiftsbehov'!G5/$AA$17</f>
        <v>0</v>
      </c>
      <c r="AC5" s="59">
        <f>IF(Z5=0,0,(Z5/$Z$17)*AB5*'2023 Pensjon tjeneste'!G5/'2023 Lønnsgr pensjon tjeneste'!G5)</f>
        <v>0</v>
      </c>
      <c r="AD5" s="5">
        <f>IF(Z5=0,0,'2023 Nto driftsutg landet'!$C$8*'2023 Lønnsand og pensjon landet'!$D$9*('2023 Pensjon tjeneste'!G5/'2023 Lønnsgr pensjon tjeneste'!G5-$AC$17)*'2023 Revekting utgiftsbehov'!G5)</f>
        <v>0</v>
      </c>
      <c r="AE5" s="5">
        <f>+AD5*$C5/1000</f>
        <v>0</v>
      </c>
      <c r="AF5" s="59">
        <f>IF('2023 Lønnsgr pensjon tjeneste'!H5&lt;100,0,(C5/$C$17)*'2023 Revekting utgiftsbehov'!H5*'2023 Pensjon tjeneste'!H5/'2023 Lønnsgr pensjon tjeneste'!H5)</f>
        <v>4.5959707777319191E-2</v>
      </c>
      <c r="AG5" s="5">
        <f>IF('2023 Lønnsgr pensjon tjeneste'!H5&lt;100,0,C5)</f>
        <v>711918</v>
      </c>
      <c r="AH5" s="59">
        <f>'2023 Revekting utgiftsbehov'!H5*AG5/$AG$17</f>
        <v>0.10435988164939797</v>
      </c>
      <c r="AI5" s="59">
        <f>'2023 Revekting utgiftsbehov'!H5/$AH$17</f>
        <v>0.80830409059491792</v>
      </c>
      <c r="AJ5" s="59">
        <f>IF(AG5=0,0,(AG5/$AG$17)*AI5*'2023 Pensjon tjeneste'!H5/'2023 Lønnsgr pensjon tjeneste'!H5)</f>
        <v>4.5959707777319191E-2</v>
      </c>
      <c r="AK5" s="5">
        <f>IF(AG5=0,0,'2023 Nto driftsutg landet'!$C$9*'2023 Lønnsand og pensjon landet'!$D$10*('2023 Pensjon tjeneste'!H5/'2023 Lønnsgr pensjon tjeneste'!H5-$AJ$17)*'2023 Revekting utgiftsbehov'!H5)</f>
        <v>49.76978040405335</v>
      </c>
      <c r="AL5" s="5">
        <f>+AK5*$C5/1000</f>
        <v>35432.002525692849</v>
      </c>
      <c r="AM5" s="59">
        <f>IF('2023 Lønnsgr pensjon tjeneste'!K5&lt;100,0,(C5/$C$17)*'2023 Pensjon tjeneste'!K5/'2023 Lønnsgr pensjon tjeneste'!K5)</f>
        <v>7.3598220126579683E-2</v>
      </c>
      <c r="AN5" s="5">
        <f>IF('2023 Lønnsgr pensjon tjeneste'!K5&lt;100,0,C5)</f>
        <v>711918</v>
      </c>
      <c r="AO5" s="59">
        <f t="shared" ref="AO5:AO15" si="53">AN5/$AN$17</f>
        <v>0.12910967897315515</v>
      </c>
      <c r="AP5" s="59">
        <f t="shared" ref="AP5:AP15" si="54">1/$AH$17</f>
        <v>1</v>
      </c>
      <c r="AQ5" s="59">
        <f>IF(AN5=0,0,(AN5/$AN$17)*AP5*'2023 Pensjon tjeneste'!K5/'2023 Lønnsgr pensjon tjeneste'!K5)</f>
        <v>7.3598220126579683E-2</v>
      </c>
      <c r="AR5" s="5">
        <f>IF(AN5=0,0,'2023 Nto driftsutg landet'!$C$23*'2023 Lønnsand og pensjon landet'!$D$13*('2023 Pensjon tjeneste'!K5/'2023 Lønnsgr pensjon tjeneste'!K5-$AQ$17))</f>
        <v>39.736260644737733</v>
      </c>
      <c r="AS5" s="5">
        <f>+AR5*$C5/1000</f>
        <v>28288.959205680396</v>
      </c>
      <c r="AT5" s="59">
        <f>IF('2023 Lønnsgr pensjon tjeneste'!L5&lt;100,0,(C5/$C$17)*'2023 Pensjon tjeneste'!L5/'2023 Lønnsgr pensjon tjeneste'!L5)</f>
        <v>0</v>
      </c>
      <c r="AU5" s="5">
        <f>IF('2023 Lønnsgr pensjon tjeneste'!L5&lt;100,0,C5)</f>
        <v>0</v>
      </c>
      <c r="AV5" s="59">
        <f t="shared" ref="AV5:AV15" si="55">AU5/$AU$17</f>
        <v>0</v>
      </c>
      <c r="AW5" s="59">
        <f t="shared" ref="AW5:AW15" si="56">1/$AV$17</f>
        <v>1</v>
      </c>
      <c r="AX5" s="59">
        <f>IF(AU5=0,0,(AU5/$AU$17)*AW5*'2023 Pensjon tjeneste'!L5/'2023 Lønnsgr pensjon tjeneste'!L5)</f>
        <v>0</v>
      </c>
      <c r="AY5" s="5">
        <f>IF(AU5=0,0,'2023 Nto driftsutg landet'!$C$24*'2023 Lønnsand og pensjon landet'!$D$14*('2023 Pensjon tjeneste'!L5/'2023 Lønnsgr pensjon tjeneste'!L5-$AX$17))</f>
        <v>0</v>
      </c>
      <c r="AZ5" s="5">
        <f>+AY5*$C5/1000</f>
        <v>0</v>
      </c>
      <c r="BA5" s="59">
        <f>IF('2023 Lønnsgr pensjon tjeneste'!M5&lt;100,0,(C5/$C$17)*'2023 Pensjon tjeneste'!M5/'2023 Lønnsgr pensjon tjeneste'!M5)</f>
        <v>0</v>
      </c>
      <c r="BB5" s="5">
        <f>IF('2023 Lønnsgr pensjon tjeneste'!M5&lt;100,0,C5)</f>
        <v>0</v>
      </c>
      <c r="BC5" s="59">
        <f t="shared" ref="BC5:BC15" si="57">BB5/$BB$17</f>
        <v>0</v>
      </c>
      <c r="BD5" s="59">
        <f t="shared" ref="BD5:BD15" si="58">1/$BC$17</f>
        <v>1</v>
      </c>
      <c r="BE5" s="59">
        <f>IF(BB5=0,0,(BB5/$BB$17)*BD5*'2023 Pensjon tjeneste'!M5/'2023 Lønnsgr pensjon tjeneste'!M5)</f>
        <v>0</v>
      </c>
      <c r="BF5" s="5">
        <f>IF(BB5=0,0,'2023 Nto driftsutg landet'!$C$25*'2023 Lønnsand og pensjon landet'!$D$15*('2023 Pensjon tjeneste'!M5/'2023 Lønnsgr pensjon tjeneste'!M5-$BE$17))</f>
        <v>0</v>
      </c>
      <c r="BG5" s="5">
        <f>+BF5*$C5/1000</f>
        <v>0</v>
      </c>
      <c r="BH5" s="59">
        <f>IF('2023 Lønnsgr pensjon tjeneste'!N5&lt;100,0,(C5/$C$17)*'2023 Pensjon tjeneste'!N5/'2023 Lønnsgr pensjon tjeneste'!N5)</f>
        <v>5.0702991337635825E-2</v>
      </c>
      <c r="BI5" s="5">
        <f>IF('2023 Lønnsgr pensjon tjeneste'!N5&lt;100,0,C5)</f>
        <v>711918</v>
      </c>
      <c r="BJ5" s="59">
        <f t="shared" ref="BJ5:BJ15" si="59">BI5/$BI$17</f>
        <v>0.12910967897315515</v>
      </c>
      <c r="BK5" s="59">
        <f t="shared" ref="BK5:BK15" si="60">1/$BJ$17</f>
        <v>1</v>
      </c>
      <c r="BL5" s="59">
        <f>IF(BI5=0,0,(BI5/$BI$17)*BK5*'2023 Pensjon tjeneste'!N5/'2023 Lønnsgr pensjon tjeneste'!N5)</f>
        <v>5.0702991337635825E-2</v>
      </c>
      <c r="BM5" s="5">
        <f>IF(BI5=0,0,'2023 Nto driftsutg landet'!$C$26*'2023 Lønnsand og pensjon landet'!$D$16*('2023 Pensjon tjeneste'!N5/'2023 Lønnsgr pensjon tjeneste'!N5-$BL$17))</f>
        <v>5.0875320564623108</v>
      </c>
      <c r="BN5" s="5">
        <f>+BM5*$C5/1000</f>
        <v>3621.9056465725353</v>
      </c>
      <c r="BO5" s="59">
        <f>IF('2023 Lønnsgr pensjon tjeneste'!O5&lt;100,0,(C5/$C$17)*'2023 Pensjon tjeneste'!O5/'2023 Lønnsgr pensjon tjeneste'!O5)</f>
        <v>0</v>
      </c>
      <c r="BP5" s="5">
        <f>IF('2023 Lønnsgr pensjon tjeneste'!O5&lt;100,0,C5)</f>
        <v>0</v>
      </c>
      <c r="BQ5" s="59">
        <f t="shared" ref="BQ5:BQ15" si="61">BP5/$BP$17</f>
        <v>0</v>
      </c>
      <c r="BR5" s="59">
        <f t="shared" ref="BR5:BR15" si="62">1/$BQ$17</f>
        <v>1</v>
      </c>
      <c r="BS5" s="59">
        <f>IF(BP5=0,0,(BP5/$BP$17)*BR5*'2023 Pensjon tjeneste'!O5/'2023 Lønnsgr pensjon tjeneste'!O5)</f>
        <v>0</v>
      </c>
      <c r="BT5" s="5">
        <f>IF(BP5=0,0,'2023 Nto driftsutg landet'!$C$27*'2023 Lønnsand og pensjon landet'!$D$17*('2023 Pensjon tjeneste'!O5/'2023 Lønnsgr pensjon tjeneste'!O5-$BS$17))</f>
        <v>0</v>
      </c>
      <c r="BU5" s="5">
        <f>+BT5*$C5/1000</f>
        <v>0</v>
      </c>
      <c r="BV5" s="59">
        <f>IF('2023 Lønnsgr pensjon tjeneste'!P5&lt;100,0,(C5/$C$17)*'2023 Pensjon tjeneste'!P5/'2023 Lønnsgr pensjon tjeneste'!P5)</f>
        <v>0</v>
      </c>
      <c r="BW5" s="5">
        <f>IF('2023 Lønnsgr pensjon tjeneste'!P5&lt;100,0,C5)</f>
        <v>0</v>
      </c>
      <c r="BX5" s="59">
        <f t="shared" ref="BX5:BX15" si="63">BW5/$BW$17</f>
        <v>0</v>
      </c>
      <c r="BY5" s="59">
        <f t="shared" ref="BY5:BY15" si="64">1/$BX$17</f>
        <v>1</v>
      </c>
      <c r="BZ5" s="59">
        <f>IF(BW5=0,0,(BW5/$BW$17)*BY5*'2023 Pensjon tjeneste'!P5/'2023 Lønnsgr pensjon tjeneste'!P5)</f>
        <v>0</v>
      </c>
      <c r="CA5" s="5">
        <f>IF(BW5=0,0,'2023 Nto driftsutg landet'!$C$28*'2023 Lønnsand og pensjon landet'!$D$18*('2023 Pensjon tjeneste'!P5/'2023 Lønnsgr pensjon tjeneste'!P5-$BZ$17))</f>
        <v>0</v>
      </c>
      <c r="CB5" s="5">
        <f>+CA5*$C5/1000</f>
        <v>0</v>
      </c>
      <c r="CC5" s="5"/>
      <c r="CD5" s="5"/>
      <c r="CE5" s="5"/>
    </row>
    <row r="6" spans="1:83" x14ac:dyDescent="0.3">
      <c r="A6" s="43">
        <v>1100</v>
      </c>
      <c r="B6" s="44" t="s">
        <v>141</v>
      </c>
      <c r="C6" s="44">
        <f>+'2023 Nto driftsutg'!W6</f>
        <v>495545</v>
      </c>
      <c r="D6" s="59">
        <f>IF('2023 Lønnsgr pensjon tjeneste'!D6&lt;100,0,(C6/$C$17)*'2023 Revekting utgiftsbehov'!D6*'2023 Pensjon tjeneste'!D6/'2023 Lønnsgr pensjon tjeneste'!D6)</f>
        <v>1.5609937937167393E-2</v>
      </c>
      <c r="E6" s="5">
        <f>IF('2023 Lønnsgr pensjon tjeneste'!D6&lt;100,0,C6)</f>
        <v>495545</v>
      </c>
      <c r="F6" s="59">
        <f>'2023 Revekting utgiftsbehov'!D6*E6/$E$17</f>
        <v>9.6833290051327292E-2</v>
      </c>
      <c r="G6" s="59">
        <f>'2023 Revekting utgiftsbehov'!D6/$F$17</f>
        <v>1.0774887931615931</v>
      </c>
      <c r="H6" s="59">
        <f>IF(E6=0,0,(E6/$E$17)*G6*'2023 Pensjon tjeneste'!D6/'2023 Lønnsgr pensjon tjeneste'!D6)</f>
        <v>1.5609937937167397E-2</v>
      </c>
      <c r="I6" s="5">
        <f>IF(E6=0,0,'2023 Nto driftsutg landet'!$C$5*'2023 Lønnsand og pensjon landet'!$D$6*('2023 Pensjon tjeneste'!D6/'2023 Lønnsgr pensjon tjeneste'!D6-$H$17)*'2023 Revekting utgiftsbehov'!D6)</f>
        <v>50.526811254242766</v>
      </c>
      <c r="J6" s="5">
        <f>I6*C6/1000</f>
        <v>25038.30868298373</v>
      </c>
      <c r="K6" s="59">
        <f>IF('2023 Lønnsgr pensjon tjeneste'!E6&lt;100,0,(C6/$C$17)*'2023 Revekting utgiftsbehov'!E6*'2023 Pensjon tjeneste'!E6/'2023 Lønnsgr pensjon tjeneste'!E6)</f>
        <v>1.8307721826569114E-2</v>
      </c>
      <c r="L6" s="5">
        <f>IF('2023 Lønnsgr pensjon tjeneste'!E6&lt;100,0,C6)</f>
        <v>495545</v>
      </c>
      <c r="M6" s="59">
        <f>'2023 Revekting utgiftsbehov'!E6*L6/$L$17</f>
        <v>7.1840717968341822E-2</v>
      </c>
      <c r="N6" s="59">
        <f>'2023 Revekting utgiftsbehov'!E6/$M$17</f>
        <v>0.79939004925414059</v>
      </c>
      <c r="O6" s="59">
        <f>IF(L6=0,0,(L6/$L$17)*N6*'2023 Pensjon tjeneste'!E6/'2023 Lønnsgr pensjon tjeneste'!E6)</f>
        <v>1.8307721826569114E-2</v>
      </c>
      <c r="P6" s="5">
        <f>IF(L6=0,0,'2023 Nto driftsutg landet'!$C$6*'2023 Lønnsand og pensjon landet'!$D$7*('2023 Pensjon tjeneste'!E6/'2023 Lønnsgr pensjon tjeneste'!E6-$O$17)*'2023 Revekting utgiftsbehov'!E6)</f>
        <v>-20.412780125731203</v>
      </c>
      <c r="Q6" s="5">
        <f t="shared" ref="Q6:Q15" si="65">P6*C6/1000</f>
        <v>-10115.451127405468</v>
      </c>
      <c r="R6" s="59">
        <f>IF('2023 Lønnsgr pensjon tjeneste'!F6&lt;100,0,(C6/$C$17)*'2023 Revekting utgiftsbehov'!F6*'2023 Pensjon tjeneste'!F6/'2023 Lønnsgr pensjon tjeneste'!F6)</f>
        <v>2.4740326565308605E-2</v>
      </c>
      <c r="S6" s="5">
        <f>IF('2023 Lønnsgr pensjon tjeneste'!F6&lt;100,0,C6)</f>
        <v>495545</v>
      </c>
      <c r="T6" s="59">
        <f>'2023 Revekting utgiftsbehov'!F6*S6/$S$17</f>
        <v>8.4700590483093016E-2</v>
      </c>
      <c r="U6" s="59">
        <f>'2023 Revekting utgiftsbehov'!F6/$T$17</f>
        <v>0.9424851409192746</v>
      </c>
      <c r="V6" s="59">
        <f>IF(S6=0,0,(S6/$S$17)*U6*'2023 Pensjon tjeneste'!F6/'2023 Lønnsgr pensjon tjeneste'!F6)</f>
        <v>2.4740326565308605E-2</v>
      </c>
      <c r="W6" s="5">
        <f>IF(S6=0,0,'2023 Nto driftsutg landet'!$C$7*'2023 Lønnsand og pensjon landet'!$D$8*('2023 Pensjon tjeneste'!F6/'2023 Lønnsgr pensjon tjeneste'!F6-$V$17)*'2023 Revekting utgiftsbehov'!F6)</f>
        <v>1.72326016474491</v>
      </c>
      <c r="X6" s="5">
        <f t="shared" ref="X6:X15" si="66">W6*C6/1000</f>
        <v>853.9529583385164</v>
      </c>
      <c r="Y6" s="59">
        <f>IF('2023 Lønnsgr pensjon tjeneste'!G6&lt;100,0,(C6/$C$17)*'2023 Revekting utgiftsbehov'!G6*'2023 Pensjon tjeneste'!G6/'2023 Lønnsgr pensjon tjeneste'!G6)</f>
        <v>1.1659720522187361E-2</v>
      </c>
      <c r="Z6" s="5">
        <f>IF('2023 Lønnsgr pensjon tjeneste'!G6&lt;100,0,C6)</f>
        <v>495545</v>
      </c>
      <c r="AA6" s="59">
        <f>'2023 Revekting utgiftsbehov'!G6*Z6/$Z$17</f>
        <v>0.13269818841027309</v>
      </c>
      <c r="AB6" s="59">
        <f>'2023 Revekting utgiftsbehov'!G6/$AA$17</f>
        <v>0.39984387567602769</v>
      </c>
      <c r="AC6" s="59">
        <f>IF(Z6=0,0,(Z6/$Z$17)*AB6*'2023 Pensjon tjeneste'!G6/'2023 Lønnsgr pensjon tjeneste'!G6)</f>
        <v>1.6358339566297928E-2</v>
      </c>
      <c r="AD6" s="5">
        <f>IF(Z6=0,0,'2023 Nto driftsutg landet'!$C$8*'2023 Lønnsand og pensjon landet'!$D$9*('2023 Pensjon tjeneste'!G6/'2023 Lønnsgr pensjon tjeneste'!G6-$AC$17)*'2023 Revekting utgiftsbehov'!G6)</f>
        <v>-0.12591244793790901</v>
      </c>
      <c r="AE6" s="5">
        <f t="shared" ref="AE6:AE15" si="67">+AD6*$C6/1000</f>
        <v>-62.395284013391127</v>
      </c>
      <c r="AF6" s="59">
        <f>IF('2023 Lønnsgr pensjon tjeneste'!H6&lt;100,0,(C6/$C$17)*'2023 Revekting utgiftsbehov'!H6*'2023 Pensjon tjeneste'!H6/'2023 Lønnsgr pensjon tjeneste'!H6)</f>
        <v>2.3401339477078367E-2</v>
      </c>
      <c r="AG6" s="5">
        <f>IF('2023 Lønnsgr pensjon tjeneste'!H6&lt;100,0,C6)</f>
        <v>495545</v>
      </c>
      <c r="AH6" s="59">
        <f>'2023 Revekting utgiftsbehov'!H6*AG6/$AG$17</f>
        <v>9.1427724337629926E-2</v>
      </c>
      <c r="AI6" s="59">
        <f>'2023 Revekting utgiftsbehov'!H6/$AH$17</f>
        <v>1.0173396804533479</v>
      </c>
      <c r="AJ6" s="59">
        <f>IF(AG6=0,0,(AG6/$AG$17)*AI6*'2023 Pensjon tjeneste'!H6/'2023 Lønnsgr pensjon tjeneste'!H6)</f>
        <v>2.3401339477078367E-2</v>
      </c>
      <c r="AK6" s="5">
        <f>IF(AG6=0,0,'2023 Nto driftsutg landet'!$C$9*'2023 Lønnsand og pensjon landet'!$D$10*('2023 Pensjon tjeneste'!H6/'2023 Lønnsgr pensjon tjeneste'!H6-$AJ$17)*'2023 Revekting utgiftsbehov'!H6)</f>
        <v>4.4242585693644862</v>
      </c>
      <c r="AL6" s="5">
        <f t="shared" ref="AL6:AL15" si="68">+AK6*$C6/1000</f>
        <v>2192.4192127557244</v>
      </c>
      <c r="AM6" s="59">
        <f>IF('2023 Lønnsgr pensjon tjeneste'!K6&lt;100,0,(C6/$C$17)*'2023 Pensjon tjeneste'!K6/'2023 Lønnsgr pensjon tjeneste'!K6)</f>
        <v>2.0491129317436865E-2</v>
      </c>
      <c r="AN6" s="5">
        <f>IF('2023 Lønnsgr pensjon tjeneste'!K6&lt;100,0,C6)</f>
        <v>495545</v>
      </c>
      <c r="AO6" s="59">
        <f t="shared" si="53"/>
        <v>8.98694173581117E-2</v>
      </c>
      <c r="AP6" s="59">
        <f t="shared" si="54"/>
        <v>1</v>
      </c>
      <c r="AQ6" s="59">
        <f>IF(AN6=0,0,(AN6/$AN$17)*AP6*'2023 Pensjon tjeneste'!K6/'2023 Lønnsgr pensjon tjeneste'!K6)</f>
        <v>2.0491129317436865E-2</v>
      </c>
      <c r="AR6" s="5">
        <f>IF(AN6=0,0,'2023 Nto driftsutg landet'!$C$23*'2023 Lønnsand og pensjon landet'!$D$13*('2023 Pensjon tjeneste'!K6/'2023 Lønnsgr pensjon tjeneste'!K6-$AQ$17))</f>
        <v>-84.520544647134003</v>
      </c>
      <c r="AS6" s="5">
        <f t="shared" ref="AS6:AS15" si="69">+AR6*$C6/1000</f>
        <v>-41883.733297164021</v>
      </c>
      <c r="AT6" s="59">
        <f>IF('2023 Lønnsgr pensjon tjeneste'!L6&lt;100,0,(C6/$C$17)*'2023 Pensjon tjeneste'!L6/'2023 Lønnsgr pensjon tjeneste'!L6)</f>
        <v>4.3109948935743936E-2</v>
      </c>
      <c r="AU6" s="5">
        <f>IF('2023 Lønnsgr pensjon tjeneste'!L6&lt;100,0,C6)</f>
        <v>495545</v>
      </c>
      <c r="AV6" s="59">
        <f>AU6/$AU$17</f>
        <v>0.10319257797256139</v>
      </c>
      <c r="AW6" s="59">
        <f t="shared" si="56"/>
        <v>1</v>
      </c>
      <c r="AX6" s="59">
        <f>IF(AU6=0,0,(AU6/$AU$17)*AW6*'2023 Pensjon tjeneste'!L6/'2023 Lønnsgr pensjon tjeneste'!L6)</f>
        <v>4.9501008215264215E-2</v>
      </c>
      <c r="AY6" s="5">
        <f>IF(AU6=0,0,'2023 Nto driftsutg landet'!$C$24*'2023 Lønnsand og pensjon landet'!$D$14*('2023 Pensjon tjeneste'!L6/'2023 Lønnsgr pensjon tjeneste'!L6-$AX$17))</f>
        <v>6.0871497449255285</v>
      </c>
      <c r="AZ6" s="5">
        <f t="shared" ref="AZ6:AZ15" si="70">+AY6*$C6/1000</f>
        <v>3016.4566203491208</v>
      </c>
      <c r="BA6" s="59">
        <f>IF('2023 Lønnsgr pensjon tjeneste'!M6&lt;100,0,(C6/$C$17)*'2023 Pensjon tjeneste'!M6/'2023 Lønnsgr pensjon tjeneste'!M6)</f>
        <v>2.4496797276798148E-2</v>
      </c>
      <c r="BB6" s="5">
        <f>IF('2023 Lønnsgr pensjon tjeneste'!M6&lt;100,0,C6)</f>
        <v>495545</v>
      </c>
      <c r="BC6" s="59">
        <f t="shared" si="57"/>
        <v>0.10319257797256139</v>
      </c>
      <c r="BD6" s="59">
        <f t="shared" si="58"/>
        <v>1</v>
      </c>
      <c r="BE6" s="59">
        <f>IF(BB6=0,0,(BB6/$BB$17)*BD6*'2023 Pensjon tjeneste'!M6/'2023 Lønnsgr pensjon tjeneste'!M6)</f>
        <v>2.8128452786011667E-2</v>
      </c>
      <c r="BF6" s="5">
        <f>IF(BB6=0,0,'2023 Nto driftsutg landet'!$C$25*'2023 Lønnsand og pensjon landet'!$D$15*('2023 Pensjon tjeneste'!M6/'2023 Lønnsgr pensjon tjeneste'!M6-$BE$17))</f>
        <v>-0.24927915563131853</v>
      </c>
      <c r="BG6" s="5">
        <f t="shared" ref="BG6:BG15" si="71">+BF6*$C6/1000</f>
        <v>-123.52903917732174</v>
      </c>
      <c r="BH6" s="59">
        <f>IF('2023 Lønnsgr pensjon tjeneste'!N6&lt;100,0,(C6/$C$17)*'2023 Pensjon tjeneste'!N6/'2023 Lønnsgr pensjon tjeneste'!N6)</f>
        <v>2.5191958527157384E-2</v>
      </c>
      <c r="BI6" s="5">
        <f>IF('2023 Lønnsgr pensjon tjeneste'!N6&lt;100,0,C6)</f>
        <v>495545</v>
      </c>
      <c r="BJ6" s="59">
        <f t="shared" si="59"/>
        <v>8.98694173581117E-2</v>
      </c>
      <c r="BK6" s="59">
        <f t="shared" si="60"/>
        <v>1</v>
      </c>
      <c r="BL6" s="59">
        <f>IF(BI6=0,0,(BI6/$BI$17)*BK6*'2023 Pensjon tjeneste'!N6/'2023 Lønnsgr pensjon tjeneste'!N6)</f>
        <v>2.5191958527157384E-2</v>
      </c>
      <c r="BM6" s="5">
        <f>IF(BI6=0,0,'2023 Nto driftsutg landet'!$C$26*'2023 Lønnsand og pensjon landet'!$D$16*('2023 Pensjon tjeneste'!N6/'2023 Lønnsgr pensjon tjeneste'!N6-$BL$17))</f>
        <v>1.7791028288735455</v>
      </c>
      <c r="BN6" s="5">
        <f t="shared" ref="BN6:BN15" si="72">+BM6*$C6/1000</f>
        <v>881.62551133414115</v>
      </c>
      <c r="BO6" s="59">
        <f>IF('2023 Lønnsgr pensjon tjeneste'!O6&lt;100,0,(C6/$C$17)*'2023 Pensjon tjeneste'!O6/'2023 Lønnsgr pensjon tjeneste'!O6)</f>
        <v>0</v>
      </c>
      <c r="BP6" s="5">
        <f>IF('2023 Lønnsgr pensjon tjeneste'!O6&lt;100,0,C6)</f>
        <v>0</v>
      </c>
      <c r="BQ6" s="59">
        <f t="shared" si="61"/>
        <v>0</v>
      </c>
      <c r="BR6" s="59">
        <f t="shared" si="62"/>
        <v>1</v>
      </c>
      <c r="BS6" s="59">
        <f>IF(BP6=0,0,(BP6/$BP$17)*BR6*'2023 Pensjon tjeneste'!O6/'2023 Lønnsgr pensjon tjeneste'!O6)</f>
        <v>0</v>
      </c>
      <c r="BT6" s="5">
        <f>IF(BP6=0,0,'2023 Nto driftsutg landet'!$C$27*'2023 Lønnsand og pensjon landet'!$D$17*('2023 Pensjon tjeneste'!O6/'2023 Lønnsgr pensjon tjeneste'!O6-$BS$17))</f>
        <v>0</v>
      </c>
      <c r="BU6" s="5">
        <f t="shared" ref="BU6:BU15" si="73">+BT6*$C6/1000</f>
        <v>0</v>
      </c>
      <c r="BV6" s="59">
        <f>IF('2023 Lønnsgr pensjon tjeneste'!P6&lt;100,0,(C6/$C$17)*'2023 Pensjon tjeneste'!P6/'2023 Lønnsgr pensjon tjeneste'!P6)</f>
        <v>2.3883207515153233E-2</v>
      </c>
      <c r="BW6" s="5">
        <f>IF('2023 Lønnsgr pensjon tjeneste'!P6&lt;100,0,C6)</f>
        <v>495545</v>
      </c>
      <c r="BX6" s="59">
        <f t="shared" si="63"/>
        <v>0.13004461004199627</v>
      </c>
      <c r="BY6" s="59">
        <f t="shared" si="64"/>
        <v>1</v>
      </c>
      <c r="BZ6" s="59">
        <f>IF(BW6=0,0,(BW6/$BW$17)*BY6*'2023 Pensjon tjeneste'!P6/'2023 Lønnsgr pensjon tjeneste'!P6)</f>
        <v>3.4559948191094363E-2</v>
      </c>
      <c r="CA6" s="5">
        <f>IF(BW6=0,0,'2023 Nto driftsutg landet'!$C$28*'2023 Lønnsand og pensjon landet'!$D$18*('2023 Pensjon tjeneste'!P6/'2023 Lønnsgr pensjon tjeneste'!P6-$BZ$17))</f>
        <v>-0.17655281549377005</v>
      </c>
      <c r="CB6" s="5">
        <f t="shared" ref="CB6:CB15" si="74">+CA6*$C6/1000</f>
        <v>-87.489864953860277</v>
      </c>
      <c r="CC6" s="5"/>
      <c r="CD6" s="5"/>
      <c r="CE6" s="5"/>
    </row>
    <row r="7" spans="1:83" x14ac:dyDescent="0.3">
      <c r="A7" s="43">
        <v>1500</v>
      </c>
      <c r="B7" s="44" t="s">
        <v>142</v>
      </c>
      <c r="C7" s="44">
        <f>+'2023 Nto driftsutg'!W7</f>
        <v>269164</v>
      </c>
      <c r="D7" s="59">
        <f>IF('2023 Lønnsgr pensjon tjeneste'!D7&lt;100,0,(C7/$C$17)*'2023 Revekting utgiftsbehov'!D7*'2023 Pensjon tjeneste'!D7/'2023 Lønnsgr pensjon tjeneste'!D7)</f>
        <v>9.2359117479403931E-3</v>
      </c>
      <c r="E7" s="5">
        <f>IF('2023 Lønnsgr pensjon tjeneste'!D7&lt;100,0,C7)</f>
        <v>269164</v>
      </c>
      <c r="F7" s="59">
        <f>'2023 Revekting utgiftsbehov'!D7*E7/$E$17</f>
        <v>5.3643626262187466E-2</v>
      </c>
      <c r="G7" s="59">
        <f>'2023 Revekting utgiftsbehov'!D7/$F$17</f>
        <v>1.0989358133062834</v>
      </c>
      <c r="H7" s="59">
        <f>IF(E7=0,0,(E7/$E$17)*G7*'2023 Pensjon tjeneste'!D7/'2023 Lønnsgr pensjon tjeneste'!D7)</f>
        <v>9.2359117479403931E-3</v>
      </c>
      <c r="I7" s="5">
        <f>IF(E7=0,0,'2023 Nto driftsutg landet'!$C$5*'2023 Lønnsand og pensjon landet'!$D$6*('2023 Pensjon tjeneste'!D7/'2023 Lønnsgr pensjon tjeneste'!D7-$H$17)*'2023 Revekting utgiftsbehov'!D7)</f>
        <v>97.354293033143392</v>
      </c>
      <c r="J7" s="5">
        <f t="shared" ref="J7:J15" si="75">I7*C7/1000</f>
        <v>26204.270929973005</v>
      </c>
      <c r="K7" s="59">
        <f>IF('2023 Lønnsgr pensjon tjeneste'!E7&lt;100,0,(C7/$C$17)*'2023 Revekting utgiftsbehov'!E7*'2023 Pensjon tjeneste'!E7/'2023 Lønnsgr pensjon tjeneste'!E7)</f>
        <v>5.6307837079740089E-2</v>
      </c>
      <c r="L7" s="5">
        <f>IF('2023 Lønnsgr pensjon tjeneste'!E7&lt;100,0,C7)</f>
        <v>269164</v>
      </c>
      <c r="M7" s="59">
        <f>'2023 Revekting utgiftsbehov'!E7*L7/$L$17</f>
        <v>7.5916491020678586E-2</v>
      </c>
      <c r="N7" s="59">
        <f>'2023 Revekting utgiftsbehov'!E7/$M$17</f>
        <v>1.5552146008066416</v>
      </c>
      <c r="O7" s="59">
        <f>IF(L7=0,0,(L7/$L$17)*N7*'2023 Pensjon tjeneste'!E7/'2023 Lønnsgr pensjon tjeneste'!E7)</f>
        <v>5.6307837079740089E-2</v>
      </c>
      <c r="P7" s="5">
        <f>IF(L7=0,0,'2023 Nto driftsutg landet'!$C$6*'2023 Lønnsand og pensjon landet'!$D$7*('2023 Pensjon tjeneste'!E7/'2023 Lønnsgr pensjon tjeneste'!E7-$O$17)*'2023 Revekting utgiftsbehov'!E7)</f>
        <v>56.852378277667995</v>
      </c>
      <c r="Q7" s="5">
        <f t="shared" si="65"/>
        <v>15302.613546730228</v>
      </c>
      <c r="R7" s="59">
        <f>IF('2023 Lønnsgr pensjon tjeneste'!F7&lt;100,0,(C7/$C$17)*'2023 Revekting utgiftsbehov'!F7*'2023 Pensjon tjeneste'!F7/'2023 Lønnsgr pensjon tjeneste'!F7)</f>
        <v>1.7445391788522439E-2</v>
      </c>
      <c r="S7" s="5">
        <f>IF('2023 Lønnsgr pensjon tjeneste'!F7&lt;100,0,C7)</f>
        <v>269164</v>
      </c>
      <c r="T7" s="59">
        <f>'2023 Revekting utgiftsbehov'!F7*S7/$S$17</f>
        <v>5.236864917025278E-2</v>
      </c>
      <c r="U7" s="59">
        <f>'2023 Revekting utgiftsbehov'!F7/$T$17</f>
        <v>1.0728168111973642</v>
      </c>
      <c r="V7" s="59">
        <f>IF(S7=0,0,(S7/$S$17)*U7*'2023 Pensjon tjeneste'!F7/'2023 Lønnsgr pensjon tjeneste'!F7)</f>
        <v>1.7445391788522439E-2</v>
      </c>
      <c r="W7" s="5">
        <f>IF(S7=0,0,'2023 Nto driftsutg landet'!$C$7*'2023 Lønnsand og pensjon landet'!$D$8*('2023 Pensjon tjeneste'!F7/'2023 Lønnsgr pensjon tjeneste'!F7-$V$17)*'2023 Revekting utgiftsbehov'!F7)</f>
        <v>3.7422291273086201</v>
      </c>
      <c r="X7" s="5">
        <f t="shared" si="66"/>
        <v>1007.2733608228974</v>
      </c>
      <c r="Y7" s="59">
        <f>IF('2023 Lønnsgr pensjon tjeneste'!G7&lt;100,0,(C7/$C$17)*'2023 Revekting utgiftsbehov'!G7*'2023 Pensjon tjeneste'!G7/'2023 Lønnsgr pensjon tjeneste'!G7)</f>
        <v>5.0423227613113873E-2</v>
      </c>
      <c r="Z7" s="5">
        <f>IF('2023 Lønnsgr pensjon tjeneste'!G7&lt;100,0,C7)</f>
        <v>269164</v>
      </c>
      <c r="AA7" s="59">
        <f>'2023 Revekting utgiftsbehov'!G7*Z7/$Z$17</f>
        <v>0.40564749417628737</v>
      </c>
      <c r="AB7" s="59">
        <f>'2023 Revekting utgiftsbehov'!G7/$AA$17</f>
        <v>2.2502997755280898</v>
      </c>
      <c r="AC7" s="59">
        <f>IF(Z7=0,0,(Z7/$Z$17)*AB7*'2023 Pensjon tjeneste'!G7/'2023 Lønnsgr pensjon tjeneste'!G7)</f>
        <v>7.0742714437661919E-2</v>
      </c>
      <c r="AD7" s="5">
        <f>IF(Z7=0,0,'2023 Nto driftsutg landet'!$C$8*'2023 Lønnsand og pensjon landet'!$D$9*('2023 Pensjon tjeneste'!G7/'2023 Lønnsgr pensjon tjeneste'!G7-$AC$17)*'2023 Revekting utgiftsbehov'!G7)</f>
        <v>0.3097759291328393</v>
      </c>
      <c r="AE7" s="5">
        <f t="shared" si="67"/>
        <v>83.380528189111558</v>
      </c>
      <c r="AF7" s="59">
        <f>IF('2023 Lønnsgr pensjon tjeneste'!H7&lt;100,0,(C7/$C$17)*'2023 Revekting utgiftsbehov'!H7*'2023 Pensjon tjeneste'!H7/'2023 Lønnsgr pensjon tjeneste'!H7)</f>
        <v>1.5412596333283467E-2</v>
      </c>
      <c r="AG7" s="5">
        <f>IF('2023 Lønnsgr pensjon tjeneste'!H7&lt;100,0,C7)</f>
        <v>269164</v>
      </c>
      <c r="AH7" s="59">
        <f>'2023 Revekting utgiftsbehov'!H7*AG7/$AG$17</f>
        <v>5.2742861171396364E-2</v>
      </c>
      <c r="AI7" s="59">
        <f>'2023 Revekting utgiftsbehov'!H7/$AH$17</f>
        <v>1.0804828658338601</v>
      </c>
      <c r="AJ7" s="59">
        <f>IF(AG7=0,0,(AG7/$AG$17)*AI7*'2023 Pensjon tjeneste'!H7/'2023 Lønnsgr pensjon tjeneste'!H7)</f>
        <v>1.5412596333283467E-2</v>
      </c>
      <c r="AK7" s="5">
        <f>IF(AG7=0,0,'2023 Nto driftsutg landet'!$C$9*'2023 Lønnsand og pensjon landet'!$D$10*('2023 Pensjon tjeneste'!H7/'2023 Lønnsgr pensjon tjeneste'!H7-$AJ$17)*'2023 Revekting utgiftsbehov'!H7)</f>
        <v>16.856506542334284</v>
      </c>
      <c r="AL7" s="5">
        <f t="shared" si="68"/>
        <v>4537.1647269608648</v>
      </c>
      <c r="AM7" s="59">
        <f>IF('2023 Lønnsgr pensjon tjeneste'!K7&lt;100,0,(C7/$C$17)*'2023 Pensjon tjeneste'!K7/'2023 Lønnsgr pensjon tjeneste'!K7)</f>
        <v>1.2091097481311621E-2</v>
      </c>
      <c r="AN7" s="5">
        <f>IF('2023 Lønnsgr pensjon tjeneste'!K7&lt;100,0,C7)</f>
        <v>269164</v>
      </c>
      <c r="AO7" s="59">
        <f t="shared" si="53"/>
        <v>4.8814157854037026E-2</v>
      </c>
      <c r="AP7" s="59">
        <f t="shared" si="54"/>
        <v>1</v>
      </c>
      <c r="AQ7" s="59">
        <f>IF(AN7=0,0,(AN7/$AN$17)*AP7*'2023 Pensjon tjeneste'!K7/'2023 Lønnsgr pensjon tjeneste'!K7)</f>
        <v>1.2091097481311621E-2</v>
      </c>
      <c r="AR7" s="5">
        <f>IF(AN7=0,0,'2023 Nto driftsutg landet'!$C$23*'2023 Lønnsand og pensjon landet'!$D$13*('2023 Pensjon tjeneste'!K7/'2023 Lønnsgr pensjon tjeneste'!K7-$AQ$17))</f>
        <v>-77.368684048112044</v>
      </c>
      <c r="AS7" s="5">
        <f t="shared" si="69"/>
        <v>-20824.864473126032</v>
      </c>
      <c r="AT7" s="59">
        <f>IF('2023 Lønnsgr pensjon tjeneste'!L7&lt;100,0,(C7/$C$17)*'2023 Pensjon tjeneste'!L7/'2023 Lønnsgr pensjon tjeneste'!L7)</f>
        <v>1.7983988056186808E-2</v>
      </c>
      <c r="AU7" s="5">
        <f>IF('2023 Lønnsgr pensjon tjeneste'!L7&lt;100,0,C7)</f>
        <v>269164</v>
      </c>
      <c r="AV7" s="59">
        <f t="shared" si="55"/>
        <v>5.6050867342837714E-2</v>
      </c>
      <c r="AW7" s="59">
        <f t="shared" si="56"/>
        <v>1</v>
      </c>
      <c r="AX7" s="59">
        <f>IF(AU7=0,0,(AU7/$AU$17)*AW7*'2023 Pensjon tjeneste'!L7/'2023 Lønnsgr pensjon tjeneste'!L7)</f>
        <v>2.0650118185929937E-2</v>
      </c>
      <c r="AY7" s="5">
        <f>IF(AU7=0,0,'2023 Nto driftsutg landet'!$C$24*'2023 Lønnsand og pensjon landet'!$D$14*('2023 Pensjon tjeneste'!L7/'2023 Lønnsgr pensjon tjeneste'!L7-$AX$17))</f>
        <v>1.9776596870666976</v>
      </c>
      <c r="AZ7" s="5">
        <f t="shared" si="70"/>
        <v>532.31479200962053</v>
      </c>
      <c r="BA7" s="59">
        <f>IF('2023 Lønnsgr pensjon tjeneste'!M7&lt;100,0,(C7/$C$17)*'2023 Pensjon tjeneste'!M7/'2023 Lønnsgr pensjon tjeneste'!M7)</f>
        <v>1.3078990739637983E-2</v>
      </c>
      <c r="BB7" s="5">
        <f>IF('2023 Lønnsgr pensjon tjeneste'!M7&lt;100,0,C7)</f>
        <v>269164</v>
      </c>
      <c r="BC7" s="59">
        <f t="shared" si="57"/>
        <v>5.6050867342837714E-2</v>
      </c>
      <c r="BD7" s="59">
        <f t="shared" si="58"/>
        <v>1</v>
      </c>
      <c r="BE7" s="59">
        <f>IF(BB7=0,0,(BB7/$BB$17)*BD7*'2023 Pensjon tjeneste'!M7/'2023 Lønnsgr pensjon tjeneste'!M7)</f>
        <v>1.5017953953394357E-2</v>
      </c>
      <c r="BF7" s="5">
        <f>IF(BB7=0,0,'2023 Nto driftsutg landet'!$C$25*'2023 Lønnsand og pensjon landet'!$D$15*('2023 Pensjon tjeneste'!M7/'2023 Lønnsgr pensjon tjeneste'!M7-$BE$17))</f>
        <v>-0.2307258830720845</v>
      </c>
      <c r="BG7" s="5">
        <f t="shared" si="71"/>
        <v>-62.103101591214553</v>
      </c>
      <c r="BH7" s="59">
        <f>IF('2023 Lønnsgr pensjon tjeneste'!N7&lt;100,0,(C7/$C$17)*'2023 Pensjon tjeneste'!N7/'2023 Lønnsgr pensjon tjeneste'!N7)</f>
        <v>1.4733988465281372E-2</v>
      </c>
      <c r="BI7" s="5">
        <f>IF('2023 Lønnsgr pensjon tjeneste'!N7&lt;100,0,C7)</f>
        <v>269164</v>
      </c>
      <c r="BJ7" s="59">
        <f t="shared" si="59"/>
        <v>4.8814157854037026E-2</v>
      </c>
      <c r="BK7" s="59">
        <f t="shared" si="60"/>
        <v>1</v>
      </c>
      <c r="BL7" s="59">
        <f>IF(BI7=0,0,(BI7/$BI$17)*BK7*'2023 Pensjon tjeneste'!N7/'2023 Lønnsgr pensjon tjeneste'!N7)</f>
        <v>1.4733988465281372E-2</v>
      </c>
      <c r="BM7" s="5">
        <f>IF(BI7=0,0,'2023 Nto driftsutg landet'!$C$26*'2023 Lønnsand og pensjon landet'!$D$16*('2023 Pensjon tjeneste'!N7/'2023 Lønnsgr pensjon tjeneste'!N7-$BL$17))</f>
        <v>2.4125898577636113</v>
      </c>
      <c r="BN7" s="5">
        <f t="shared" si="72"/>
        <v>649.38233647508468</v>
      </c>
      <c r="BO7" s="59">
        <f>IF('2023 Lønnsgr pensjon tjeneste'!O7&lt;100,0,(C7/$C$17)*'2023 Pensjon tjeneste'!O7/'2023 Lønnsgr pensjon tjeneste'!O7)</f>
        <v>0</v>
      </c>
      <c r="BP7" s="5">
        <f>IF('2023 Lønnsgr pensjon tjeneste'!O7&lt;100,0,C7)</f>
        <v>0</v>
      </c>
      <c r="BQ7" s="59">
        <f t="shared" si="61"/>
        <v>0</v>
      </c>
      <c r="BR7" s="59">
        <f t="shared" si="62"/>
        <v>1</v>
      </c>
      <c r="BS7" s="59">
        <f>IF(BP7=0,0,(BP7/$BP$17)*BR7*'2023 Pensjon tjeneste'!O7/'2023 Lønnsgr pensjon tjeneste'!O7)</f>
        <v>0</v>
      </c>
      <c r="BT7" s="5">
        <f>IF(BP7=0,0,'2023 Nto driftsutg landet'!$C$27*'2023 Lønnsand og pensjon landet'!$D$17*('2023 Pensjon tjeneste'!O7/'2023 Lønnsgr pensjon tjeneste'!O7-$BS$17))</f>
        <v>0</v>
      </c>
      <c r="BU7" s="5">
        <f t="shared" si="73"/>
        <v>0</v>
      </c>
      <c r="BV7" s="59">
        <f>IF('2023 Lønnsgr pensjon tjeneste'!P7&lt;100,0,(C7/$C$17)*'2023 Pensjon tjeneste'!P7/'2023 Lønnsgr pensjon tjeneste'!P7)</f>
        <v>0</v>
      </c>
      <c r="BW7" s="5">
        <f>IF('2023 Lønnsgr pensjon tjeneste'!P7&lt;100,0,C7)</f>
        <v>0</v>
      </c>
      <c r="BX7" s="59">
        <f t="shared" si="63"/>
        <v>0</v>
      </c>
      <c r="BY7" s="59">
        <f t="shared" si="64"/>
        <v>1</v>
      </c>
      <c r="BZ7" s="59">
        <f>IF(BW7=0,0,(BW7/$BW$17)*BY7*'2023 Pensjon tjeneste'!P7/'2023 Lønnsgr pensjon tjeneste'!P7)</f>
        <v>0</v>
      </c>
      <c r="CA7" s="5">
        <f>IF(BW7=0,0,'2023 Nto driftsutg landet'!$C$28*'2023 Lønnsand og pensjon landet'!$D$18*('2023 Pensjon tjeneste'!P7/'2023 Lønnsgr pensjon tjeneste'!P7-$BZ$17))</f>
        <v>0</v>
      </c>
      <c r="CB7" s="5">
        <f t="shared" si="74"/>
        <v>0</v>
      </c>
      <c r="CC7" s="5"/>
      <c r="CD7" s="5"/>
      <c r="CE7" s="5"/>
    </row>
    <row r="8" spans="1:83" x14ac:dyDescent="0.3">
      <c r="A8" s="43">
        <v>1800</v>
      </c>
      <c r="B8" s="44" t="s">
        <v>143</v>
      </c>
      <c r="C8" s="44">
        <f>+'2023 Nto driftsutg'!W8</f>
        <v>241960</v>
      </c>
      <c r="D8" s="59">
        <f>IF('2023 Lønnsgr pensjon tjeneste'!D8&lt;100,0,(C8/$C$17)*'2023 Revekting utgiftsbehov'!D8*'2023 Pensjon tjeneste'!D8/'2023 Lønnsgr pensjon tjeneste'!D8)</f>
        <v>8.1239452198883146E-3</v>
      </c>
      <c r="E8" s="5">
        <f>IF('2023 Lønnsgr pensjon tjeneste'!D8&lt;100,0,C8)</f>
        <v>241960</v>
      </c>
      <c r="F8" s="59">
        <f>'2023 Revekting utgiftsbehov'!D8*E8/$E$17</f>
        <v>4.7625257205129057E-2</v>
      </c>
      <c r="G8" s="59">
        <f>'2023 Revekting utgiftsbehov'!D8/$F$17</f>
        <v>1.0853378047755213</v>
      </c>
      <c r="H8" s="59">
        <f>IF(E8=0,0,(E8/$E$17)*G8*'2023 Pensjon tjeneste'!D8/'2023 Lønnsgr pensjon tjeneste'!D8)</f>
        <v>8.1239452198883164E-3</v>
      </c>
      <c r="I8" s="5">
        <f>IF(E8=0,0,'2023 Nto driftsutg landet'!$C$5*'2023 Lønnsand og pensjon landet'!$D$6*('2023 Pensjon tjeneste'!D8/'2023 Lønnsgr pensjon tjeneste'!D8-$H$17)*'2023 Revekting utgiftsbehov'!D8)</f>
        <v>89.58451876783657</v>
      </c>
      <c r="J8" s="5">
        <f t="shared" si="75"/>
        <v>21675.870161065734</v>
      </c>
      <c r="K8" s="59">
        <f>IF('2023 Lønnsgr pensjon tjeneste'!E8&lt;100,0,(C8/$C$17)*'2023 Revekting utgiftsbehov'!E8*'2023 Pensjon tjeneste'!E8/'2023 Lønnsgr pensjon tjeneste'!E8)</f>
        <v>4.8517136685455847E-2</v>
      </c>
      <c r="L8" s="5">
        <f>IF('2023 Lønnsgr pensjon tjeneste'!E8&lt;100,0,C8)</f>
        <v>241960</v>
      </c>
      <c r="M8" s="59">
        <f>'2023 Revekting utgiftsbehov'!E8*L8/$L$17</f>
        <v>8.5049046958107458E-2</v>
      </c>
      <c r="N8" s="59">
        <f>'2023 Revekting utgiftsbehov'!E8/$M$17</f>
        <v>1.9381931214813777</v>
      </c>
      <c r="O8" s="59">
        <f>IF(L8=0,0,(L8/$L$17)*N8*'2023 Pensjon tjeneste'!E8/'2023 Lønnsgr pensjon tjeneste'!E8)</f>
        <v>4.8517136685455847E-2</v>
      </c>
      <c r="P8" s="5">
        <f>IF(L8=0,0,'2023 Nto driftsutg landet'!$C$6*'2023 Lønnsand og pensjon landet'!$D$7*('2023 Pensjon tjeneste'!E8/'2023 Lønnsgr pensjon tjeneste'!E8-$O$17)*'2023 Revekting utgiftsbehov'!E8)</f>
        <v>28.523490297794115</v>
      </c>
      <c r="Q8" s="5">
        <f t="shared" si="65"/>
        <v>6901.5437124542641</v>
      </c>
      <c r="R8" s="59">
        <f>IF('2023 Lønnsgr pensjon tjeneste'!F8&lt;100,0,(C8/$C$17)*'2023 Revekting utgiftsbehov'!F8*'2023 Pensjon tjeneste'!F8/'2023 Lønnsgr pensjon tjeneste'!F8)</f>
        <v>2.0710381302101909E-2</v>
      </c>
      <c r="S8" s="5">
        <f>IF('2023 Lønnsgr pensjon tjeneste'!F8&lt;100,0,C8)</f>
        <v>241960</v>
      </c>
      <c r="T8" s="59">
        <f>'2023 Revekting utgiftsbehov'!F8*S8/$S$17</f>
        <v>5.9448411678979497E-2</v>
      </c>
      <c r="U8" s="59">
        <f>'2023 Revekting utgiftsbehov'!F8/$T$17</f>
        <v>1.3547771165025086</v>
      </c>
      <c r="V8" s="59">
        <f>IF(S8=0,0,(S8/$S$17)*U8*'2023 Pensjon tjeneste'!F8/'2023 Lønnsgr pensjon tjeneste'!F8)</f>
        <v>2.0710381302101909E-2</v>
      </c>
      <c r="W8" s="5">
        <f>IF(S8=0,0,'2023 Nto driftsutg landet'!$C$7*'2023 Lønnsand og pensjon landet'!$D$8*('2023 Pensjon tjeneste'!F8/'2023 Lønnsgr pensjon tjeneste'!F8-$V$17)*'2023 Revekting utgiftsbehov'!F8)</f>
        <v>5.5613983544938881</v>
      </c>
      <c r="X8" s="5">
        <f t="shared" si="66"/>
        <v>1345.6359458533411</v>
      </c>
      <c r="Y8" s="59">
        <f>IF('2023 Lønnsgr pensjon tjeneste'!G8&lt;100,0,(C8/$C$17)*'2023 Revekting utgiftsbehov'!G8*'2023 Pensjon tjeneste'!G8/'2023 Lønnsgr pensjon tjeneste'!G8)</f>
        <v>7.553942599431121E-2</v>
      </c>
      <c r="Z8" s="5">
        <f>IF('2023 Lønnsgr pensjon tjeneste'!G8&lt;100,0,C8)</f>
        <v>241960</v>
      </c>
      <c r="AA8" s="59">
        <f>'2023 Revekting utgiftsbehov'!G8*Z8/$Z$17</f>
        <v>0.52485798422779961</v>
      </c>
      <c r="AB8" s="59">
        <f>'2023 Revekting utgiftsbehov'!G8/$AA$17</f>
        <v>3.2389689542976696</v>
      </c>
      <c r="AC8" s="59">
        <f>IF(Z8=0,0,(Z8/$Z$17)*AB8*'2023 Pensjon tjeneste'!G8/'2023 Lønnsgr pensjon tjeneste'!G8)</f>
        <v>0.10598020584685147</v>
      </c>
      <c r="AD8" s="5">
        <f>IF(Z8=0,0,'2023 Nto driftsutg landet'!$C$8*'2023 Lønnsand og pensjon landet'!$D$9*('2023 Pensjon tjeneste'!G8/'2023 Lønnsgr pensjon tjeneste'!G8-$AC$17)*'2023 Revekting utgiftsbehov'!G8)</f>
        <v>1.2352058798105245</v>
      </c>
      <c r="AE8" s="5">
        <f t="shared" si="67"/>
        <v>298.87041467895455</v>
      </c>
      <c r="AF8" s="59">
        <f>IF('2023 Lønnsgr pensjon tjeneste'!H8&lt;100,0,(C8/$C$17)*'2023 Revekting utgiftsbehov'!H8*'2023 Pensjon tjeneste'!H8/'2023 Lønnsgr pensjon tjeneste'!H8)</f>
        <v>1.644349465032794E-2</v>
      </c>
      <c r="AG8" s="5">
        <f>IF('2023 Lønnsgr pensjon tjeneste'!H8&lt;100,0,C8)</f>
        <v>241960</v>
      </c>
      <c r="AH8" s="59">
        <f>'2023 Revekting utgiftsbehov'!H8*AG8/$AG$17</f>
        <v>5.0925677592769274E-2</v>
      </c>
      <c r="AI8" s="59">
        <f>'2023 Revekting utgiftsbehov'!H8/$AH$17</f>
        <v>1.1605514881983592</v>
      </c>
      <c r="AJ8" s="59">
        <f>IF(AG8=0,0,(AG8/$AG$17)*AI8*'2023 Pensjon tjeneste'!H8/'2023 Lønnsgr pensjon tjeneste'!H8)</f>
        <v>1.644349465032794E-2</v>
      </c>
      <c r="AK8" s="5">
        <f>IF(AG8=0,0,'2023 Nto driftsutg landet'!$C$9*'2023 Lønnsand og pensjon landet'!$D$10*('2023 Pensjon tjeneste'!H8/'2023 Lønnsgr pensjon tjeneste'!H8-$AJ$17)*'2023 Revekting utgiftsbehov'!H8)</f>
        <v>29.149146004268228</v>
      </c>
      <c r="AL8" s="5">
        <f t="shared" si="68"/>
        <v>7052.9273671927403</v>
      </c>
      <c r="AM8" s="59">
        <f>IF('2023 Lønnsgr pensjon tjeneste'!K8&lt;100,0,(C8/$C$17)*'2023 Pensjon tjeneste'!K8/'2023 Lønnsgr pensjon tjeneste'!K8)</f>
        <v>1.3171861947590454E-2</v>
      </c>
      <c r="AN8" s="5">
        <f>IF('2023 Lønnsgr pensjon tjeneste'!K8&lt;100,0,C8)</f>
        <v>241960</v>
      </c>
      <c r="AO8" s="59">
        <f t="shared" si="53"/>
        <v>4.3880584455435342E-2</v>
      </c>
      <c r="AP8" s="59">
        <f t="shared" si="54"/>
        <v>1</v>
      </c>
      <c r="AQ8" s="59">
        <f>IF(AN8=0,0,(AN8/$AN$17)*AP8*'2023 Pensjon tjeneste'!K8/'2023 Lønnsgr pensjon tjeneste'!K8)</f>
        <v>1.3171861947590454E-2</v>
      </c>
      <c r="AR8" s="5">
        <f>IF(AN8=0,0,'2023 Nto driftsutg landet'!$C$23*'2023 Lønnsand og pensjon landet'!$D$13*('2023 Pensjon tjeneste'!K8/'2023 Lønnsgr pensjon tjeneste'!K8-$AQ$17))</f>
        <v>-58.303837213948974</v>
      </c>
      <c r="AS8" s="5">
        <f t="shared" si="69"/>
        <v>-14107.196452287093</v>
      </c>
      <c r="AT8" s="59">
        <f>IF('2023 Lønnsgr pensjon tjeneste'!L8&lt;100,0,(C8/$C$17)*'2023 Pensjon tjeneste'!L8/'2023 Lønnsgr pensjon tjeneste'!L8)</f>
        <v>1.5669659811846311E-2</v>
      </c>
      <c r="AU8" s="5">
        <f>IF('2023 Lønnsgr pensjon tjeneste'!L8&lt;100,0,C8)</f>
        <v>241960</v>
      </c>
      <c r="AV8" s="59">
        <f t="shared" si="55"/>
        <v>5.0385890617887286E-2</v>
      </c>
      <c r="AW8" s="59">
        <f t="shared" si="56"/>
        <v>1</v>
      </c>
      <c r="AX8" s="59">
        <f>IF(AU8=0,0,(AU8/$AU$17)*AW8*'2023 Pensjon tjeneste'!L8/'2023 Lønnsgr pensjon tjeneste'!L8)</f>
        <v>1.799269027742852E-2</v>
      </c>
      <c r="AY8" s="5">
        <f>IF(AU8=0,0,'2023 Nto driftsutg landet'!$C$24*'2023 Lønnsand og pensjon landet'!$D$14*('2023 Pensjon tjeneste'!L8/'2023 Lønnsgr pensjon tjeneste'!L8-$AX$17))</f>
        <v>1.5596248862874549</v>
      </c>
      <c r="AZ8" s="5">
        <f t="shared" si="70"/>
        <v>377.36683748611262</v>
      </c>
      <c r="BA8" s="59">
        <f>IF('2023 Lønnsgr pensjon tjeneste'!M8&lt;100,0,(C8/$C$17)*'2023 Pensjon tjeneste'!M8/'2023 Lønnsgr pensjon tjeneste'!M8)</f>
        <v>1.3396753653798171E-2</v>
      </c>
      <c r="BB8" s="5">
        <f>IF('2023 Lønnsgr pensjon tjeneste'!M8&lt;100,0,C8)</f>
        <v>241960</v>
      </c>
      <c r="BC8" s="59">
        <f t="shared" si="57"/>
        <v>5.0385890617887286E-2</v>
      </c>
      <c r="BD8" s="59">
        <f t="shared" si="58"/>
        <v>1</v>
      </c>
      <c r="BE8" s="59">
        <f>IF(BB8=0,0,(BB8/$BB$17)*BD8*'2023 Pensjon tjeneste'!M8/'2023 Lønnsgr pensjon tjeneste'!M8)</f>
        <v>1.5382825288496028E-2</v>
      </c>
      <c r="BF8" s="5">
        <f>IF(BB8=0,0,'2023 Nto driftsutg landet'!$C$25*'2023 Lønnsand og pensjon landet'!$D$15*('2023 Pensjon tjeneste'!M8/'2023 Lønnsgr pensjon tjeneste'!M8-$BE$17))</f>
        <v>-0.37988582930153503</v>
      </c>
      <c r="BG8" s="5">
        <f t="shared" si="71"/>
        <v>-91.917175257799414</v>
      </c>
      <c r="BH8" s="59">
        <f>IF('2023 Lønnsgr pensjon tjeneste'!N8&lt;100,0,(C8/$C$17)*'2023 Pensjon tjeneste'!N8/'2023 Lønnsgr pensjon tjeneste'!N8)</f>
        <v>1.4020499862387169E-2</v>
      </c>
      <c r="BI8" s="5">
        <f>IF('2023 Lønnsgr pensjon tjeneste'!N8&lt;100,0,C8)</f>
        <v>241960</v>
      </c>
      <c r="BJ8" s="59">
        <f t="shared" si="59"/>
        <v>4.3880584455435342E-2</v>
      </c>
      <c r="BK8" s="59">
        <f t="shared" si="60"/>
        <v>1</v>
      </c>
      <c r="BL8" s="59">
        <f>IF(BI8=0,0,(BI8/$BI$17)*BK8*'2023 Pensjon tjeneste'!N8/'2023 Lønnsgr pensjon tjeneste'!N8)</f>
        <v>1.4020499862387169E-2</v>
      </c>
      <c r="BM8" s="5">
        <f>IF(BI8=0,0,'2023 Nto driftsutg landet'!$C$26*'2023 Lønnsand og pensjon landet'!$D$16*('2023 Pensjon tjeneste'!N8/'2023 Lønnsgr pensjon tjeneste'!N8-$BL$17))</f>
        <v>2.9329085845715102</v>
      </c>
      <c r="BN8" s="5">
        <f t="shared" si="72"/>
        <v>709.64656112292255</v>
      </c>
      <c r="BO8" s="59">
        <f>IF('2023 Lønnsgr pensjon tjeneste'!O8&lt;100,0,(C8/$C$17)*'2023 Pensjon tjeneste'!O8/'2023 Lønnsgr pensjon tjeneste'!O8)</f>
        <v>0</v>
      </c>
      <c r="BP8" s="5">
        <f>IF('2023 Lønnsgr pensjon tjeneste'!O8&lt;100,0,C8)</f>
        <v>0</v>
      </c>
      <c r="BQ8" s="59">
        <f t="shared" si="61"/>
        <v>0</v>
      </c>
      <c r="BR8" s="59">
        <f t="shared" si="62"/>
        <v>1</v>
      </c>
      <c r="BS8" s="59">
        <f>IF(BP8=0,0,(BP8/$BP$17)*BR8*'2023 Pensjon tjeneste'!O8/'2023 Lønnsgr pensjon tjeneste'!O8)</f>
        <v>0</v>
      </c>
      <c r="BT8" s="5">
        <f>IF(BP8=0,0,'2023 Nto driftsutg landet'!$C$27*'2023 Lønnsand og pensjon landet'!$D$17*('2023 Pensjon tjeneste'!O8/'2023 Lønnsgr pensjon tjeneste'!O8-$BS$17))</f>
        <v>0</v>
      </c>
      <c r="BU8" s="5">
        <f t="shared" si="73"/>
        <v>0</v>
      </c>
      <c r="BV8" s="59">
        <f>IF('2023 Lønnsgr pensjon tjeneste'!P8&lt;100,0,(C8/$C$17)*'2023 Pensjon tjeneste'!P8/'2023 Lønnsgr pensjon tjeneste'!P8)</f>
        <v>0</v>
      </c>
      <c r="BW8" s="5">
        <f>IF('2023 Lønnsgr pensjon tjeneste'!P8&lt;100,0,C8)</f>
        <v>0</v>
      </c>
      <c r="BX8" s="59">
        <f t="shared" si="63"/>
        <v>0</v>
      </c>
      <c r="BY8" s="59">
        <f t="shared" si="64"/>
        <v>1</v>
      </c>
      <c r="BZ8" s="59">
        <f>IF(BW8=0,0,(BW8/$BW$17)*BY8*'2023 Pensjon tjeneste'!P8/'2023 Lønnsgr pensjon tjeneste'!P8)</f>
        <v>0</v>
      </c>
      <c r="CA8" s="5">
        <f>IF(BW8=0,0,'2023 Nto driftsutg landet'!$C$28*'2023 Lønnsand og pensjon landet'!$D$18*('2023 Pensjon tjeneste'!P8/'2023 Lønnsgr pensjon tjeneste'!P8-$BZ$17))</f>
        <v>0</v>
      </c>
      <c r="CB8" s="5">
        <f t="shared" si="74"/>
        <v>0</v>
      </c>
      <c r="CC8" s="5"/>
      <c r="CD8" s="5"/>
      <c r="CE8" s="5"/>
    </row>
    <row r="9" spans="1:83" x14ac:dyDescent="0.3">
      <c r="A9" s="43">
        <v>3000</v>
      </c>
      <c r="B9" s="44" t="s">
        <v>341</v>
      </c>
      <c r="C9" s="44">
        <f>+'2023 Nto driftsutg'!W9</f>
        <v>1300096</v>
      </c>
      <c r="D9" s="59">
        <f>IF('2023 Lønnsgr pensjon tjeneste'!D9&lt;100,0,(C9/$C$17)*'2023 Revekting utgiftsbehov'!D9*'2023 Pensjon tjeneste'!D9/'2023 Lønnsgr pensjon tjeneste'!D9)</f>
        <v>2.8142396246810218E-2</v>
      </c>
      <c r="E9" s="5">
        <f>IF('2023 Lønnsgr pensjon tjeneste'!D9&lt;100,0,C9)</f>
        <v>1300096</v>
      </c>
      <c r="F9" s="59">
        <f>'2023 Revekting utgiftsbehov'!D9*E9/$E$17</f>
        <v>0.23836049048609598</v>
      </c>
      <c r="G9" s="59">
        <f>'2023 Revekting utgiftsbehov'!D9/$F$17</f>
        <v>1.0109508011160719</v>
      </c>
      <c r="H9" s="59">
        <f>IF(E9=0,0,(E9/$E$17)*G9*'2023 Pensjon tjeneste'!D9/'2023 Lønnsgr pensjon tjeneste'!D9)</f>
        <v>2.8142396246810218E-2</v>
      </c>
      <c r="I9" s="5">
        <f>IF(E9=0,0,'2023 Nto driftsutg landet'!$C$5*'2023 Lønnsand og pensjon landet'!$D$6*('2023 Pensjon tjeneste'!D9/'2023 Lønnsgr pensjon tjeneste'!D9-$H$17)*'2023 Revekting utgiftsbehov'!D9)</f>
        <v>-118.39275612815726</v>
      </c>
      <c r="J9" s="5">
        <f t="shared" si="75"/>
        <v>-153921.94867119275</v>
      </c>
      <c r="K9" s="59">
        <f>IF('2023 Lønnsgr pensjon tjeneste'!E9&lt;100,0,(C9/$C$17)*'2023 Revekting utgiftsbehov'!E9*'2023 Pensjon tjeneste'!E9/'2023 Lønnsgr pensjon tjeneste'!E9)</f>
        <v>2.9042547144747029E-2</v>
      </c>
      <c r="L9" s="5">
        <f>IF('2023 Lønnsgr pensjon tjeneste'!E9&lt;100,0,C9)</f>
        <v>1300096</v>
      </c>
      <c r="M9" s="59">
        <f>'2023 Revekting utgiftsbehov'!E9*L9/$L$17</f>
        <v>0.14294762646220679</v>
      </c>
      <c r="N9" s="59">
        <f>'2023 Revekting utgiftsbehov'!E9/$M$17</f>
        <v>0.60627924197881555</v>
      </c>
      <c r="O9" s="59">
        <f>IF(L9=0,0,(L9/$L$17)*N9*'2023 Pensjon tjeneste'!E9/'2023 Lønnsgr pensjon tjeneste'!E9)</f>
        <v>2.9042547144747029E-2</v>
      </c>
      <c r="P9" s="5">
        <f>IF(L9=0,0,'2023 Nto driftsutg landet'!$C$6*'2023 Lønnsand og pensjon landet'!$D$7*('2023 Pensjon tjeneste'!E9/'2023 Lønnsgr pensjon tjeneste'!E9-$O$17)*'2023 Revekting utgiftsbehov'!E9)</f>
        <v>-19.476616035427313</v>
      </c>
      <c r="Q9" s="5">
        <f t="shared" si="65"/>
        <v>-25321.470601194906</v>
      </c>
      <c r="R9" s="59">
        <f>IF('2023 Lønnsgr pensjon tjeneste'!F9&lt;100,0,(C9/$C$17)*'2023 Revekting utgiftsbehov'!F9*'2023 Pensjon tjeneste'!F9/'2023 Lønnsgr pensjon tjeneste'!F9)</f>
        <v>2.9782276733915168E-2</v>
      </c>
      <c r="S9" s="5">
        <f>IF('2023 Lønnsgr pensjon tjeneste'!F9&lt;100,0,C9)</f>
        <v>1300096</v>
      </c>
      <c r="T9" s="59">
        <f>'2023 Revekting utgiftsbehov'!F9*S9/$S$17</f>
        <v>0.15400471544489103</v>
      </c>
      <c r="U9" s="59">
        <f>'2023 Revekting utgiftsbehov'!F9/$T$17</f>
        <v>0.65317532338165341</v>
      </c>
      <c r="V9" s="59">
        <f>IF(S9=0,0,(S9/$S$17)*U9*'2023 Pensjon tjeneste'!F9/'2023 Lønnsgr pensjon tjeneste'!F9)</f>
        <v>2.9782276733915168E-2</v>
      </c>
      <c r="W9" s="5">
        <f>IF(S9=0,0,'2023 Nto driftsutg landet'!$C$7*'2023 Lønnsand og pensjon landet'!$D$8*('2023 Pensjon tjeneste'!F9/'2023 Lønnsgr pensjon tjeneste'!F9-$V$17)*'2023 Revekting utgiftsbehov'!F9)</f>
        <v>-1.4135278658136174</v>
      </c>
      <c r="X9" s="5">
        <f t="shared" si="66"/>
        <v>-1837.7219242328208</v>
      </c>
      <c r="Y9" s="59">
        <f>IF('2023 Lønnsgr pensjon tjeneste'!G9&lt;100,0,(C9/$C$17)*'2023 Revekting utgiftsbehov'!G9*'2023 Pensjon tjeneste'!G9/'2023 Lønnsgr pensjon tjeneste'!G9)</f>
        <v>0</v>
      </c>
      <c r="Z9" s="5">
        <f>IF('2023 Lønnsgr pensjon tjeneste'!G9&lt;100,0,C9)</f>
        <v>0</v>
      </c>
      <c r="AA9" s="59">
        <f>'2023 Revekting utgiftsbehov'!G9*Z9/$Z$17</f>
        <v>0</v>
      </c>
      <c r="AB9" s="59">
        <f>'2023 Revekting utgiftsbehov'!G9/$AA$17</f>
        <v>1.613655188161597E-2</v>
      </c>
      <c r="AC9" s="59">
        <f>IF(Z9=0,0,(Z9/$Z$17)*AB9*'2023 Pensjon tjeneste'!G9/'2023 Lønnsgr pensjon tjeneste'!G9)</f>
        <v>0</v>
      </c>
      <c r="AD9" s="5">
        <f>IF(Z9=0,0,'2023 Nto driftsutg landet'!$C$8*'2023 Lønnsand og pensjon landet'!$D$9*('2023 Pensjon tjeneste'!G9/'2023 Lønnsgr pensjon tjeneste'!G9-$AC$17)*'2023 Revekting utgiftsbehov'!G9)</f>
        <v>0</v>
      </c>
      <c r="AE9" s="5">
        <f t="shared" si="67"/>
        <v>0</v>
      </c>
      <c r="AF9" s="59">
        <f>IF('2023 Lønnsgr pensjon tjeneste'!H9&lt;100,0,(C9/$C$17)*'2023 Revekting utgiftsbehov'!H9*'2023 Pensjon tjeneste'!H9/'2023 Lønnsgr pensjon tjeneste'!H9)</f>
        <v>2.6082023681231969E-2</v>
      </c>
      <c r="AG9" s="5">
        <f>IF('2023 Lønnsgr pensjon tjeneste'!H9&lt;100,0,C9)</f>
        <v>1300096</v>
      </c>
      <c r="AH9" s="59">
        <f>'2023 Revekting utgiftsbehov'!H9*AG9/$AG$17</f>
        <v>0.22743207422836331</v>
      </c>
      <c r="AI9" s="59">
        <f>'2023 Revekting utgiftsbehov'!H9/$AH$17</f>
        <v>0.96460045526742033</v>
      </c>
      <c r="AJ9" s="59">
        <f>IF(AG9=0,0,(AG9/$AG$17)*AI9*'2023 Pensjon tjeneste'!H9/'2023 Lønnsgr pensjon tjeneste'!H9)</f>
        <v>2.6082023681231969E-2</v>
      </c>
      <c r="AK9" s="5">
        <f>IF(AG9=0,0,'2023 Nto driftsutg landet'!$C$9*'2023 Lønnsand og pensjon landet'!$D$10*('2023 Pensjon tjeneste'!H9/'2023 Lønnsgr pensjon tjeneste'!H9-$AJ$17)*'2023 Revekting utgiftsbehov'!H9)</f>
        <v>-38.084656143150873</v>
      </c>
      <c r="AL9" s="5">
        <f t="shared" si="68"/>
        <v>-49513.709113085883</v>
      </c>
      <c r="AM9" s="59">
        <f>IF('2023 Lønnsgr pensjon tjeneste'!K9&lt;100,0,(C9/$C$17)*'2023 Pensjon tjeneste'!K9/'2023 Lønnsgr pensjon tjeneste'!K9)</f>
        <v>0.24390164421363839</v>
      </c>
      <c r="AN9" s="5">
        <f>IF('2023 Lønnsgr pensjon tjeneste'!K9&lt;100,0,C9)</f>
        <v>1300096</v>
      </c>
      <c r="AO9" s="59">
        <f t="shared" si="53"/>
        <v>0.23577852673240896</v>
      </c>
      <c r="AP9" s="59">
        <f t="shared" si="54"/>
        <v>1</v>
      </c>
      <c r="AQ9" s="59">
        <f>IF(AN9=0,0,(AN9/$AN$17)*AP9*'2023 Pensjon tjeneste'!K9/'2023 Lønnsgr pensjon tjeneste'!K9)</f>
        <v>0.24390164421363839</v>
      </c>
      <c r="AR9" s="5">
        <f>IF(AN9=0,0,'2023 Nto driftsutg landet'!$C$23*'2023 Lønnsand og pensjon landet'!$D$13*('2023 Pensjon tjeneste'!K9/'2023 Lønnsgr pensjon tjeneste'!K9-$AQ$17))</f>
        <v>208.45004421729365</v>
      </c>
      <c r="AS9" s="5">
        <f t="shared" si="69"/>
        <v>271005.06868672662</v>
      </c>
      <c r="AT9" s="59">
        <f>IF('2023 Lønnsgr pensjon tjeneste'!L9&lt;100,0,(C9/$C$17)*'2023 Pensjon tjeneste'!L9/'2023 Lønnsgr pensjon tjeneste'!L9)</f>
        <v>3.4745262903724317E-2</v>
      </c>
      <c r="AU9" s="5">
        <f>IF('2023 Lønnsgr pensjon tjeneste'!L9&lt;100,0,C9)</f>
        <v>1300096</v>
      </c>
      <c r="AV9" s="59">
        <f t="shared" si="55"/>
        <v>0.27073274445673989</v>
      </c>
      <c r="AW9" s="59">
        <f t="shared" si="56"/>
        <v>1</v>
      </c>
      <c r="AX9" s="59">
        <f>IF(AU9=0,0,(AU9/$AU$17)*AW9*'2023 Pensjon tjeneste'!L9/'2023 Lønnsgr pensjon tjeneste'!L9)</f>
        <v>3.9896255664843137E-2</v>
      </c>
      <c r="AY9" s="5">
        <f>IF(AU9=0,0,'2023 Nto driftsutg landet'!$C$24*'2023 Lønnsand og pensjon landet'!$D$14*('2023 Pensjon tjeneste'!L9/'2023 Lønnsgr pensjon tjeneste'!L9-$AX$17))</f>
        <v>-6.1858344362803832</v>
      </c>
      <c r="AZ9" s="5">
        <f t="shared" si="70"/>
        <v>-8042.1786072703817</v>
      </c>
      <c r="BA9" s="59">
        <f>IF('2023 Lønnsgr pensjon tjeneste'!M9&lt;100,0,(C9/$C$17)*'2023 Pensjon tjeneste'!M9/'2023 Lønnsgr pensjon tjeneste'!M9)</f>
        <v>2.6993173979585349E-2</v>
      </c>
      <c r="BB9" s="5">
        <f>IF('2023 Lønnsgr pensjon tjeneste'!M9&lt;100,0,C9)</f>
        <v>1300096</v>
      </c>
      <c r="BC9" s="59">
        <f t="shared" si="57"/>
        <v>0.27073274445673989</v>
      </c>
      <c r="BD9" s="59">
        <f t="shared" si="58"/>
        <v>1</v>
      </c>
      <c r="BE9" s="59">
        <f>IF(BB9=0,0,(BB9/$BB$17)*BD9*'2023 Pensjon tjeneste'!M9/'2023 Lønnsgr pensjon tjeneste'!M9)</f>
        <v>3.0994917876407648E-2</v>
      </c>
      <c r="BF9" s="5">
        <f>IF(BB9=0,0,'2023 Nto driftsutg landet'!$C$25*'2023 Lønnsand og pensjon landet'!$D$15*('2023 Pensjon tjeneste'!M9/'2023 Lønnsgr pensjon tjeneste'!M9-$BE$17))</f>
        <v>0.38182369719301579</v>
      </c>
      <c r="BG9" s="5">
        <f t="shared" si="71"/>
        <v>496.40746142585107</v>
      </c>
      <c r="BH9" s="59">
        <f>IF('2023 Lønnsgr pensjon tjeneste'!N9&lt;100,0,(C9/$C$17)*'2023 Pensjon tjeneste'!N9/'2023 Lønnsgr pensjon tjeneste'!N9)</f>
        <v>2.5327162867800776E-2</v>
      </c>
      <c r="BI9" s="5">
        <f>IF('2023 Lønnsgr pensjon tjeneste'!N9&lt;100,0,C9)</f>
        <v>1300096</v>
      </c>
      <c r="BJ9" s="59">
        <f t="shared" si="59"/>
        <v>0.23577852673240896</v>
      </c>
      <c r="BK9" s="59">
        <f t="shared" si="60"/>
        <v>1</v>
      </c>
      <c r="BL9" s="59">
        <f>IF(BI9=0,0,(BI9/$BI$17)*BK9*'2023 Pensjon tjeneste'!N9/'2023 Lønnsgr pensjon tjeneste'!N9)</f>
        <v>2.5327162867800776E-2</v>
      </c>
      <c r="BM9" s="5">
        <f>IF(BI9=0,0,'2023 Nto driftsutg landet'!$C$26*'2023 Lønnsand og pensjon landet'!$D$16*('2023 Pensjon tjeneste'!N9/'2023 Lønnsgr pensjon tjeneste'!N9-$BL$17))</f>
        <v>-3.3102704643254355</v>
      </c>
      <c r="BN9" s="5">
        <f t="shared" si="72"/>
        <v>-4303.6693895876415</v>
      </c>
      <c r="BO9" s="59">
        <f>IF('2023 Lønnsgr pensjon tjeneste'!O9&lt;100,0,(C9/$C$17)*'2023 Pensjon tjeneste'!O9/'2023 Lønnsgr pensjon tjeneste'!O9)</f>
        <v>2.6081279315202523E-2</v>
      </c>
      <c r="BP9" s="5">
        <f>IF('2023 Lønnsgr pensjon tjeneste'!O9&lt;100,0,C9)</f>
        <v>1300096</v>
      </c>
      <c r="BQ9" s="59">
        <f t="shared" si="61"/>
        <v>0.75098010107445767</v>
      </c>
      <c r="BR9" s="59">
        <f t="shared" si="62"/>
        <v>1</v>
      </c>
      <c r="BS9" s="59">
        <f>IF(BP9=0,0,(BP9/$BP$17)*BR9*'2023 Pensjon tjeneste'!O9/'2023 Lønnsgr pensjon tjeneste'!O9)</f>
        <v>8.3071694643809507E-2</v>
      </c>
      <c r="BT9" s="5">
        <f>IF(BP9=0,0,'2023 Nto driftsutg landet'!$C$27*'2023 Lønnsand og pensjon landet'!$D$17*('2023 Pensjon tjeneste'!O9/'2023 Lønnsgr pensjon tjeneste'!O9-$BS$17))</f>
        <v>-5.4935444625606152E-3</v>
      </c>
      <c r="BU9" s="5">
        <f t="shared" si="73"/>
        <v>-7.1421351815972054</v>
      </c>
      <c r="BV9" s="59">
        <f>IF('2023 Lønnsgr pensjon tjeneste'!P9&lt;100,0,(C9/$C$17)*'2023 Pensjon tjeneste'!P9/'2023 Lønnsgr pensjon tjeneste'!P9)</f>
        <v>2.6531341649294424E-2</v>
      </c>
      <c r="BW9" s="5">
        <f>IF('2023 Lønnsgr pensjon tjeneste'!P9&lt;100,0,C9)</f>
        <v>1300096</v>
      </c>
      <c r="BX9" s="59">
        <f t="shared" si="63"/>
        <v>0.3411808762819909</v>
      </c>
      <c r="BY9" s="59">
        <f t="shared" si="64"/>
        <v>1</v>
      </c>
      <c r="BZ9" s="59">
        <f>IF(BW9=0,0,(BW9/$BW$17)*BY9*'2023 Pensjon tjeneste'!P9/'2023 Lønnsgr pensjon tjeneste'!P9)</f>
        <v>3.8391903275892821E-2</v>
      </c>
      <c r="CA9" s="5">
        <f>IF(BW9=0,0,'2023 Nto driftsutg landet'!$C$28*'2023 Lønnsand og pensjon landet'!$D$18*('2023 Pensjon tjeneste'!P9/'2023 Lønnsgr pensjon tjeneste'!P9-$BZ$17))</f>
        <v>0.32114025318858991</v>
      </c>
      <c r="CB9" s="5">
        <f t="shared" si="74"/>
        <v>417.51315860947295</v>
      </c>
      <c r="CC9" s="5"/>
      <c r="CD9" s="5"/>
      <c r="CE9" s="5"/>
    </row>
    <row r="10" spans="1:83" x14ac:dyDescent="0.3">
      <c r="A10" s="43">
        <v>3400</v>
      </c>
      <c r="B10" s="44" t="s">
        <v>342</v>
      </c>
      <c r="C10" s="44">
        <f>+'2023 Nto driftsutg'!W10</f>
        <v>374624</v>
      </c>
      <c r="D10" s="59">
        <f>IF('2023 Lønnsgr pensjon tjeneste'!D10&lt;100,0,(C10/$C$17)*'2023 Revekting utgiftsbehov'!D10*'2023 Pensjon tjeneste'!D10/'2023 Lønnsgr pensjon tjeneste'!D10)</f>
        <v>1.1352296371984849E-2</v>
      </c>
      <c r="E10" s="5">
        <f>IF('2023 Lønnsgr pensjon tjeneste'!D10&lt;100,0,C10)</f>
        <v>374624</v>
      </c>
      <c r="F10" s="59">
        <f>'2023 Revekting utgiftsbehov'!D10*E10/$E$17</f>
        <v>6.8363758514205994E-2</v>
      </c>
      <c r="G10" s="59">
        <f>'2023 Revekting utgiftsbehov'!D10/$F$17</f>
        <v>1.0062398373243806</v>
      </c>
      <c r="H10" s="59">
        <f>IF(E10=0,0,(E10/$E$17)*G10*'2023 Pensjon tjeneste'!D10/'2023 Lønnsgr pensjon tjeneste'!D10)</f>
        <v>1.135229637198485E-2</v>
      </c>
      <c r="I10" s="5">
        <f>IF(E10=0,0,'2023 Nto driftsutg landet'!$C$5*'2023 Lønnsand og pensjon landet'!$D$6*('2023 Pensjon tjeneste'!D10/'2023 Lønnsgr pensjon tjeneste'!D10-$H$17)*'2023 Revekting utgiftsbehov'!D10)</f>
        <v>65.751185180847145</v>
      </c>
      <c r="J10" s="5">
        <f t="shared" si="75"/>
        <v>24631.971997189681</v>
      </c>
      <c r="K10" s="59">
        <f>IF('2023 Lønnsgr pensjon tjeneste'!E10&lt;100,0,(C10/$C$17)*'2023 Revekting utgiftsbehov'!E10*'2023 Pensjon tjeneste'!E10/'2023 Lønnsgr pensjon tjeneste'!E10)</f>
        <v>3.7970616168216363E-2</v>
      </c>
      <c r="L10" s="5">
        <f>IF('2023 Lønnsgr pensjon tjeneste'!E10&lt;100,0,C10)</f>
        <v>374624</v>
      </c>
      <c r="M10" s="59">
        <f>'2023 Revekting utgiftsbehov'!E10*L10/$L$17</f>
        <v>0.10309596274290869</v>
      </c>
      <c r="N10" s="59">
        <f>'2023 Revekting utgiftsbehov'!E10/$M$17</f>
        <v>1.5174599383336682</v>
      </c>
      <c r="O10" s="59">
        <f>IF(L10=0,0,(L10/$L$17)*N10*'2023 Pensjon tjeneste'!E10/'2023 Lønnsgr pensjon tjeneste'!E10)</f>
        <v>3.7970616168216363E-2</v>
      </c>
      <c r="P10" s="5">
        <f>IF(L10=0,0,'2023 Nto driftsutg landet'!$C$6*'2023 Lønnsand og pensjon landet'!$D$7*('2023 Pensjon tjeneste'!E10/'2023 Lønnsgr pensjon tjeneste'!E10-$O$17)*'2023 Revekting utgiftsbehov'!E10)</f>
        <v>-16.79057944026507</v>
      </c>
      <c r="Q10" s="5">
        <f t="shared" si="65"/>
        <v>-6290.1540322298615</v>
      </c>
      <c r="R10" s="59">
        <f>IF('2023 Lønnsgr pensjon tjeneste'!F10&lt;100,0,(C10/$C$17)*'2023 Revekting utgiftsbehov'!F10*'2023 Pensjon tjeneste'!F10/'2023 Lønnsgr pensjon tjeneste'!F10)</f>
        <v>2.3538845376808875E-2</v>
      </c>
      <c r="S10" s="5">
        <f>IF('2023 Lønnsgr pensjon tjeneste'!F10&lt;100,0,C10)</f>
        <v>374624</v>
      </c>
      <c r="T10" s="59">
        <f>'2023 Revekting utgiftsbehov'!F10*S10/$S$17</f>
        <v>6.4073991734869287E-2</v>
      </c>
      <c r="U10" s="59">
        <f>'2023 Revekting utgiftsbehov'!F10/$T$17</f>
        <v>0.94309915694030932</v>
      </c>
      <c r="V10" s="59">
        <f>IF(S10=0,0,(S10/$S$17)*U10*'2023 Pensjon tjeneste'!F10/'2023 Lønnsgr pensjon tjeneste'!F10)</f>
        <v>2.3538845376808875E-2</v>
      </c>
      <c r="W10" s="5">
        <f>IF(S10=0,0,'2023 Nto driftsutg landet'!$C$7*'2023 Lønnsand og pensjon landet'!$D$8*('2023 Pensjon tjeneste'!F10/'2023 Lønnsgr pensjon tjeneste'!F10-$V$17)*'2023 Revekting utgiftsbehov'!F10)</f>
        <v>4.596012856329291</v>
      </c>
      <c r="X10" s="5">
        <f t="shared" si="66"/>
        <v>1721.7767202895043</v>
      </c>
      <c r="Y10" s="59">
        <f>IF('2023 Lønnsgr pensjon tjeneste'!G10&lt;100,0,(C10/$C$17)*'2023 Revekting utgiftsbehov'!G10*'2023 Pensjon tjeneste'!G10/'2023 Lønnsgr pensjon tjeneste'!G10)</f>
        <v>3.5609753906441083E-4</v>
      </c>
      <c r="Z10" s="5">
        <f>IF('2023 Lønnsgr pensjon tjeneste'!G10&lt;100,0,C10)</f>
        <v>374624</v>
      </c>
      <c r="AA10" s="59">
        <f>'2023 Revekting utgiftsbehov'!G10*Z10/$Z$17</f>
        <v>9.1955629271275527E-3</v>
      </c>
      <c r="AB10" s="59">
        <f>'2023 Revekting utgiftsbehov'!G10/$AA$17</f>
        <v>3.6651459805514007E-2</v>
      </c>
      <c r="AC10" s="59">
        <f>IF(Z10=0,0,(Z10/$Z$17)*AB10*'2023 Pensjon tjeneste'!G10/'2023 Lønnsgr pensjon tjeneste'!G10)</f>
        <v>4.9959726321517986E-4</v>
      </c>
      <c r="AD10" s="5">
        <f>IF(Z10=0,0,'2023 Nto driftsutg landet'!$C$8*'2023 Lønnsand og pensjon landet'!$D$9*('2023 Pensjon tjeneste'!G10/'2023 Lønnsgr pensjon tjeneste'!G10-$AC$17)*'2023 Revekting utgiftsbehov'!G10)</f>
        <v>-3.3912516165307958E-2</v>
      </c>
      <c r="AE10" s="5">
        <f t="shared" si="67"/>
        <v>-12.704442455912329</v>
      </c>
      <c r="AF10" s="59">
        <f>IF('2023 Lønnsgr pensjon tjeneste'!H10&lt;100,0,(C10/$C$17)*'2023 Revekting utgiftsbehov'!H10*'2023 Pensjon tjeneste'!H10/'2023 Lønnsgr pensjon tjeneste'!H10)</f>
        <v>2.270172789520503E-2</v>
      </c>
      <c r="AG10" s="5">
        <f>IF('2023 Lønnsgr pensjon tjeneste'!H10&lt;100,0,C10)</f>
        <v>374624</v>
      </c>
      <c r="AH10" s="59">
        <f>'2023 Revekting utgiftsbehov'!H10*AG10/$AG$17</f>
        <v>6.9410108271441728E-2</v>
      </c>
      <c r="AI10" s="59">
        <f>'2023 Revekting utgiftsbehov'!H10/$AH$17</f>
        <v>1.0216409626046192</v>
      </c>
      <c r="AJ10" s="59">
        <f>IF(AG10=0,0,(AG10/$AG$17)*AI10*'2023 Pensjon tjeneste'!H10/'2023 Lønnsgr pensjon tjeneste'!H10)</f>
        <v>2.270172789520503E-2</v>
      </c>
      <c r="AK10" s="5">
        <f>IF(AG10=0,0,'2023 Nto driftsutg landet'!$C$9*'2023 Lønnsand og pensjon landet'!$D$10*('2023 Pensjon tjeneste'!H10/'2023 Lønnsgr pensjon tjeneste'!H10-$AJ$17)*'2023 Revekting utgiftsbehov'!H10)</f>
        <v>26.983400987871757</v>
      </c>
      <c r="AL10" s="5">
        <f t="shared" si="68"/>
        <v>10108.629611680468</v>
      </c>
      <c r="AM10" s="59">
        <f>IF('2023 Lønnsgr pensjon tjeneste'!K10&lt;100,0,(C10/$C$17)*'2023 Pensjon tjeneste'!K10/'2023 Lønnsgr pensjon tjeneste'!K10)</f>
        <v>1.7072222832155707E-2</v>
      </c>
      <c r="AN10" s="5">
        <f>IF('2023 Lønnsgr pensjon tjeneste'!K10&lt;100,0,C10)</f>
        <v>374624</v>
      </c>
      <c r="AO10" s="59">
        <f t="shared" si="53"/>
        <v>6.7939825057997241E-2</v>
      </c>
      <c r="AP10" s="59">
        <f t="shared" si="54"/>
        <v>1</v>
      </c>
      <c r="AQ10" s="59">
        <f>IF(AN10=0,0,(AN10/$AN$17)*AP10*'2023 Pensjon tjeneste'!K10/'2023 Lønnsgr pensjon tjeneste'!K10)</f>
        <v>1.7072222832155707E-2</v>
      </c>
      <c r="AR10" s="5">
        <f>IF(AN10=0,0,'2023 Nto driftsutg landet'!$C$23*'2023 Lønnsand og pensjon landet'!$D$13*('2023 Pensjon tjeneste'!K10/'2023 Lønnsgr pensjon tjeneste'!K10-$AQ$17))</f>
        <v>-76.065229736694334</v>
      </c>
      <c r="AS10" s="5">
        <f t="shared" si="69"/>
        <v>-28495.86062487938</v>
      </c>
      <c r="AT10" s="59">
        <f>IF('2023 Lønnsgr pensjon tjeneste'!L10&lt;100,0,(C10/$C$17)*'2023 Pensjon tjeneste'!L10/'2023 Lønnsgr pensjon tjeneste'!L10)</f>
        <v>4.3473771471051852E-2</v>
      </c>
      <c r="AU10" s="5">
        <f>IF('2023 Lønnsgr pensjon tjeneste'!L10&lt;100,0,C10)</f>
        <v>374624</v>
      </c>
      <c r="AV10" s="59">
        <f t="shared" si="55"/>
        <v>7.8011918857808754E-2</v>
      </c>
      <c r="AW10" s="59">
        <f t="shared" si="56"/>
        <v>1</v>
      </c>
      <c r="AX10" s="59">
        <f>IF(AU10=0,0,(AU10/$AU$17)*AW10*'2023 Pensjon tjeneste'!L10/'2023 Lønnsgr pensjon tjeneste'!L10)</f>
        <v>4.9918767520338289E-2</v>
      </c>
      <c r="AY10" s="5">
        <f>IF(AU10=0,0,'2023 Nto driftsutg landet'!$C$24*'2023 Lønnsand og pensjon landet'!$D$14*('2023 Pensjon tjeneste'!L10/'2023 Lønnsgr pensjon tjeneste'!L10-$AX$17))</f>
        <v>12.002995166054514</v>
      </c>
      <c r="AZ10" s="5">
        <f t="shared" si="70"/>
        <v>4496.6100610880058</v>
      </c>
      <c r="BA10" s="59">
        <f>IF('2023 Lønnsgr pensjon tjeneste'!M10&lt;100,0,(C10/$C$17)*'2023 Pensjon tjeneste'!M10/'2023 Lønnsgr pensjon tjeneste'!M10)</f>
        <v>2.2235702964548937E-2</v>
      </c>
      <c r="BB10" s="5">
        <f>IF('2023 Lønnsgr pensjon tjeneste'!M10&lt;100,0,C10)</f>
        <v>374624</v>
      </c>
      <c r="BC10" s="59">
        <f t="shared" si="57"/>
        <v>7.8011918857808754E-2</v>
      </c>
      <c r="BD10" s="59">
        <f t="shared" si="58"/>
        <v>1</v>
      </c>
      <c r="BE10" s="59">
        <f>IF(BB10=0,0,(BB10/$BB$17)*BD10*'2023 Pensjon tjeneste'!M10/'2023 Lønnsgr pensjon tjeneste'!M10)</f>
        <v>2.5532150751579573E-2</v>
      </c>
      <c r="BF10" s="5">
        <f>IF(BB10=0,0,'2023 Nto driftsutg landet'!$C$25*'2023 Lønnsand og pensjon landet'!$D$15*('2023 Pensjon tjeneste'!M10/'2023 Lønnsgr pensjon tjeneste'!M10-$BE$17))</f>
        <v>-0.46764720416679068</v>
      </c>
      <c r="BG10" s="5">
        <f t="shared" si="71"/>
        <v>-175.19186621377978</v>
      </c>
      <c r="BH10" s="59">
        <f>IF('2023 Lønnsgr pensjon tjeneste'!N10&lt;100,0,(C10/$C$17)*'2023 Pensjon tjeneste'!N10/'2023 Lønnsgr pensjon tjeneste'!N10)</f>
        <v>7.162034687606119E-3</v>
      </c>
      <c r="BI10" s="5">
        <f>IF('2023 Lønnsgr pensjon tjeneste'!N10&lt;100,0,C10)</f>
        <v>374624</v>
      </c>
      <c r="BJ10" s="59">
        <f t="shared" si="59"/>
        <v>6.7939825057997241E-2</v>
      </c>
      <c r="BK10" s="59">
        <f t="shared" si="60"/>
        <v>1</v>
      </c>
      <c r="BL10" s="59">
        <f>IF(BI10=0,0,(BI10/$BI$17)*BK10*'2023 Pensjon tjeneste'!N10/'2023 Lønnsgr pensjon tjeneste'!N10)</f>
        <v>7.162034687606119E-3</v>
      </c>
      <c r="BM10" s="5">
        <f>IF(BI10=0,0,'2023 Nto driftsutg landet'!$C$26*'2023 Lønnsand og pensjon landet'!$D$16*('2023 Pensjon tjeneste'!N10/'2023 Lønnsgr pensjon tjeneste'!N10-$BL$17))</f>
        <v>-3.3691997621124012</v>
      </c>
      <c r="BN10" s="5">
        <f t="shared" si="72"/>
        <v>-1262.1830916815961</v>
      </c>
      <c r="BO10" s="59">
        <f>IF('2023 Lønnsgr pensjon tjeneste'!O10&lt;100,0,(C10/$C$17)*'2023 Pensjon tjeneste'!O10/'2023 Lønnsgr pensjon tjeneste'!O10)</f>
        <v>0</v>
      </c>
      <c r="BP10" s="5">
        <f>IF('2023 Lønnsgr pensjon tjeneste'!O10&lt;100,0,C10)</f>
        <v>0</v>
      </c>
      <c r="BQ10" s="59">
        <f t="shared" si="61"/>
        <v>0</v>
      </c>
      <c r="BR10" s="59">
        <f t="shared" si="62"/>
        <v>1</v>
      </c>
      <c r="BS10" s="59">
        <f>IF(BP10=0,0,(BP10/$BP$17)*BR10*'2023 Pensjon tjeneste'!O10/'2023 Lønnsgr pensjon tjeneste'!O10)</f>
        <v>0</v>
      </c>
      <c r="BT10" s="5">
        <f>IF(BP10=0,0,'2023 Nto driftsutg landet'!$C$27*'2023 Lønnsand og pensjon landet'!$D$17*('2023 Pensjon tjeneste'!O10/'2023 Lønnsgr pensjon tjeneste'!O10-$BS$17))</f>
        <v>0</v>
      </c>
      <c r="BU10" s="5">
        <f t="shared" si="73"/>
        <v>0</v>
      </c>
      <c r="BV10" s="59">
        <f>IF('2023 Lønnsgr pensjon tjeneste'!P10&lt;100,0,(C10/$C$17)*'2023 Pensjon tjeneste'!P10/'2023 Lønnsgr pensjon tjeneste'!P10)</f>
        <v>3.8200682600347036E-2</v>
      </c>
      <c r="BW10" s="5">
        <f>IF('2023 Lønnsgr pensjon tjeneste'!P10&lt;100,0,C10)</f>
        <v>374624</v>
      </c>
      <c r="BX10" s="59">
        <f t="shared" si="63"/>
        <v>9.831162052361099E-2</v>
      </c>
      <c r="BY10" s="59">
        <f t="shared" si="64"/>
        <v>1</v>
      </c>
      <c r="BZ10" s="59">
        <f>IF(BW10=0,0,(BW10/$BW$17)*BY10*'2023 Pensjon tjeneste'!P10/'2023 Lønnsgr pensjon tjeneste'!P10)</f>
        <v>5.5277902295778086E-2</v>
      </c>
      <c r="CA10" s="5">
        <f>IF(BW10=0,0,'2023 Nto driftsutg landet'!$C$28*'2023 Lønnsand og pensjon landet'!$D$18*('2023 Pensjon tjeneste'!P10/'2023 Lønnsgr pensjon tjeneste'!P10-$BZ$17))</f>
        <v>-1.1396588393573055</v>
      </c>
      <c r="CB10" s="5">
        <f t="shared" si="74"/>
        <v>-426.94355303539118</v>
      </c>
      <c r="CC10" s="5"/>
      <c r="CD10" s="5"/>
      <c r="CE10" s="5"/>
    </row>
    <row r="11" spans="1:83" x14ac:dyDescent="0.3">
      <c r="A11" s="43">
        <v>3800</v>
      </c>
      <c r="B11" s="44" t="s">
        <v>343</v>
      </c>
      <c r="C11" s="44">
        <f>+'2023 Nto driftsutg'!W11</f>
        <v>431103</v>
      </c>
      <c r="D11" s="59">
        <f>IF('2023 Lønnsgr pensjon tjeneste'!D11&lt;100,0,(C11/$C$17)*'2023 Revekting utgiftsbehov'!D11*'2023 Pensjon tjeneste'!D11/'2023 Lønnsgr pensjon tjeneste'!D11)</f>
        <v>1.4839211740239522E-2</v>
      </c>
      <c r="E11" s="5">
        <f>IF('2023 Lønnsgr pensjon tjeneste'!D11&lt;100,0,C11)</f>
        <v>431103</v>
      </c>
      <c r="F11" s="59">
        <f>'2023 Revekting utgiftsbehov'!D11*E11/$E$17</f>
        <v>8.0113483607837141E-2</v>
      </c>
      <c r="G11" s="59">
        <f>'2023 Revekting utgiftsbehov'!D11/$F$17</f>
        <v>1.0246976591874706</v>
      </c>
      <c r="H11" s="59">
        <f>IF(E11=0,0,(E11/$E$17)*G11*'2023 Pensjon tjeneste'!D11/'2023 Lønnsgr pensjon tjeneste'!D11)</f>
        <v>1.4839211740239527E-2</v>
      </c>
      <c r="I11" s="5">
        <f>IF(E11=0,0,'2023 Nto driftsutg landet'!$C$5*'2023 Lønnsand og pensjon landet'!$D$6*('2023 Pensjon tjeneste'!D11/'2023 Lønnsgr pensjon tjeneste'!D11-$H$17)*'2023 Revekting utgiftsbehov'!D11)</f>
        <v>141.63951561792305</v>
      </c>
      <c r="J11" s="5">
        <f t="shared" si="75"/>
        <v>61061.220101433479</v>
      </c>
      <c r="K11" s="59">
        <f>IF('2023 Lønnsgr pensjon tjeneste'!E11&lt;100,0,(C11/$C$17)*'2023 Revekting utgiftsbehov'!E11*'2023 Pensjon tjeneste'!E11/'2023 Lønnsgr pensjon tjeneste'!E11)</f>
        <v>1.9854850808393849E-2</v>
      </c>
      <c r="L11" s="5">
        <f>IF('2023 Lønnsgr pensjon tjeneste'!E11&lt;100,0,C11)</f>
        <v>431103</v>
      </c>
      <c r="M11" s="59">
        <f>'2023 Revekting utgiftsbehov'!E11*L11/$L$17</f>
        <v>6.8627385582169631E-2</v>
      </c>
      <c r="N11" s="59">
        <f>'2023 Revekting utgiftsbehov'!E11/$M$17</f>
        <v>0.87778384106275287</v>
      </c>
      <c r="O11" s="59">
        <f>IF(L11=0,0,(L11/$L$17)*N11*'2023 Pensjon tjeneste'!E11/'2023 Lønnsgr pensjon tjeneste'!E11)</f>
        <v>1.9854850808393849E-2</v>
      </c>
      <c r="P11" s="5">
        <f>IF(L11=0,0,'2023 Nto driftsutg landet'!$C$6*'2023 Lønnsand og pensjon landet'!$D$7*('2023 Pensjon tjeneste'!E11/'2023 Lønnsgr pensjon tjeneste'!E11-$O$17)*'2023 Revekting utgiftsbehov'!E11)</f>
        <v>-18.555155908568153</v>
      </c>
      <c r="Q11" s="5">
        <f t="shared" si="65"/>
        <v>-7999.1833776514568</v>
      </c>
      <c r="R11" s="59">
        <f>IF('2023 Lønnsgr pensjon tjeneste'!F11&lt;100,0,(C11/$C$17)*'2023 Revekting utgiftsbehov'!F11*'2023 Pensjon tjeneste'!F11/'2023 Lønnsgr pensjon tjeneste'!F11)</f>
        <v>1.5256407769692382E-2</v>
      </c>
      <c r="S11" s="5">
        <f>IF('2023 Lønnsgr pensjon tjeneste'!F11&lt;100,0,C11)</f>
        <v>431103</v>
      </c>
      <c r="T11" s="59">
        <f>'2023 Revekting utgiftsbehov'!F11*S11/$S$17</f>
        <v>5.2189562778583373E-2</v>
      </c>
      <c r="U11" s="59">
        <f>'2023 Revekting utgiftsbehov'!F11/$T$17</f>
        <v>0.66753460722060465</v>
      </c>
      <c r="V11" s="59">
        <f>IF(S11=0,0,(S11/$S$17)*U11*'2023 Pensjon tjeneste'!F11/'2023 Lønnsgr pensjon tjeneste'!F11)</f>
        <v>1.5256407769692382E-2</v>
      </c>
      <c r="W11" s="5">
        <f>IF(S11=0,0,'2023 Nto driftsutg landet'!$C$7*'2023 Lønnsand og pensjon landet'!$D$8*('2023 Pensjon tjeneste'!F11/'2023 Lønnsgr pensjon tjeneste'!F11-$V$17)*'2023 Revekting utgiftsbehov'!F11)</f>
        <v>1.2268866073978242</v>
      </c>
      <c r="X11" s="5">
        <f t="shared" si="66"/>
        <v>528.91449710902418</v>
      </c>
      <c r="Y11" s="59">
        <f>IF('2023 Lønnsgr pensjon tjeneste'!G11&lt;100,0,(C11/$C$17)*'2023 Revekting utgiftsbehov'!G11*'2023 Pensjon tjeneste'!G11/'2023 Lønnsgr pensjon tjeneste'!G11)</f>
        <v>0</v>
      </c>
      <c r="Z11" s="5">
        <f>IF('2023 Lønnsgr pensjon tjeneste'!G11&lt;100,0,C11)</f>
        <v>0</v>
      </c>
      <c r="AA11" s="59">
        <f>'2023 Revekting utgiftsbehov'!G11*Z11/$Z$17</f>
        <v>0</v>
      </c>
      <c r="AB11" s="59">
        <f>'2023 Revekting utgiftsbehov'!G11/$AA$17</f>
        <v>8.2948097703551826E-2</v>
      </c>
      <c r="AC11" s="59">
        <f>IF(Z11=0,0,(Z11/$Z$17)*AB11*'2023 Pensjon tjeneste'!G11/'2023 Lønnsgr pensjon tjeneste'!G11)</f>
        <v>0</v>
      </c>
      <c r="AD11" s="5">
        <f>IF(Z11=0,0,'2023 Nto driftsutg landet'!$C$8*'2023 Lønnsand og pensjon landet'!$D$9*('2023 Pensjon tjeneste'!G11/'2023 Lønnsgr pensjon tjeneste'!G11-$AC$17)*'2023 Revekting utgiftsbehov'!G11)</f>
        <v>0</v>
      </c>
      <c r="AE11" s="5">
        <f t="shared" si="67"/>
        <v>0</v>
      </c>
      <c r="AF11" s="59">
        <f>IF('2023 Lønnsgr pensjon tjeneste'!H11&lt;100,0,(C11/$C$17)*'2023 Revekting utgiftsbehov'!H11*'2023 Pensjon tjeneste'!H11/'2023 Lønnsgr pensjon tjeneste'!H11)</f>
        <v>2.4618853839234831E-2</v>
      </c>
      <c r="AG11" s="5">
        <f>IF('2023 Lønnsgr pensjon tjeneste'!H11&lt;100,0,C11)</f>
        <v>431103</v>
      </c>
      <c r="AH11" s="59">
        <f>'2023 Revekting utgiftsbehov'!H11*AG11/$AG$17</f>
        <v>7.5470155003862935E-2</v>
      </c>
      <c r="AI11" s="59">
        <f>'2023 Revekting utgiftsbehov'!H11/$AH$17</f>
        <v>0.96530680839609195</v>
      </c>
      <c r="AJ11" s="59">
        <f>IF(AG11=0,0,(AG11/$AG$17)*AI11*'2023 Pensjon tjeneste'!H11/'2023 Lønnsgr pensjon tjeneste'!H11)</f>
        <v>2.4618853839234831E-2</v>
      </c>
      <c r="AK11" s="5">
        <f>IF(AG11=0,0,'2023 Nto driftsutg landet'!$C$9*'2023 Lønnsand og pensjon landet'!$D$10*('2023 Pensjon tjeneste'!H11/'2023 Lønnsgr pensjon tjeneste'!H11-$AJ$17)*'2023 Revekting utgiftsbehov'!H11)</f>
        <v>25.23791556691549</v>
      </c>
      <c r="AL11" s="5">
        <f t="shared" si="68"/>
        <v>10880.141114643968</v>
      </c>
      <c r="AM11" s="59">
        <f>IF('2023 Lønnsgr pensjon tjeneste'!K11&lt;100,0,(C11/$C$17)*'2023 Pensjon tjeneste'!K11/'2023 Lønnsgr pensjon tjeneste'!K11)</f>
        <v>2.1622877059948826E-2</v>
      </c>
      <c r="AN11" s="5">
        <f>IF('2023 Lønnsgr pensjon tjeneste'!K11&lt;100,0,C11)</f>
        <v>431103</v>
      </c>
      <c r="AO11" s="59">
        <f t="shared" si="53"/>
        <v>7.8182557449543499E-2</v>
      </c>
      <c r="AP11" s="59">
        <f t="shared" si="54"/>
        <v>1</v>
      </c>
      <c r="AQ11" s="59">
        <f>IF(AN11=0,0,(AN11/$AN$17)*AP11*'2023 Pensjon tjeneste'!K11/'2023 Lønnsgr pensjon tjeneste'!K11)</f>
        <v>2.1622877059948826E-2</v>
      </c>
      <c r="AR11" s="5">
        <f>IF(AN11=0,0,'2023 Nto driftsutg landet'!$C$23*'2023 Lønnsand og pensjon landet'!$D$13*('2023 Pensjon tjeneste'!K11/'2023 Lønnsgr pensjon tjeneste'!K11-$AQ$17))</f>
        <v>-66.879644851552413</v>
      </c>
      <c r="AS11" s="5">
        <f t="shared" si="69"/>
        <v>-28832.0155344388</v>
      </c>
      <c r="AT11" s="59">
        <f>IF('2023 Lønnsgr pensjon tjeneste'!L11&lt;100,0,(C11/$C$17)*'2023 Pensjon tjeneste'!L11/'2023 Lønnsgr pensjon tjeneste'!L11)</f>
        <v>2.5576927817231566E-2</v>
      </c>
      <c r="AU11" s="5">
        <f>IF('2023 Lønnsgr pensjon tjeneste'!L11&lt;100,0,C11)</f>
        <v>431103</v>
      </c>
      <c r="AV11" s="59">
        <f t="shared" si="55"/>
        <v>8.9773138547871806E-2</v>
      </c>
      <c r="AW11" s="59">
        <f t="shared" si="56"/>
        <v>1</v>
      </c>
      <c r="AX11" s="59">
        <f>IF(AU11=0,0,(AU11/$AU$17)*AW11*'2023 Pensjon tjeneste'!L11/'2023 Lønnsgr pensjon tjeneste'!L11)</f>
        <v>2.9368712913325819E-2</v>
      </c>
      <c r="AY11" s="5">
        <f>IF(AU11=0,0,'2023 Nto driftsutg landet'!$C$24*'2023 Lønnsand og pensjon landet'!$D$14*('2023 Pensjon tjeneste'!L11/'2023 Lønnsgr pensjon tjeneste'!L11-$AX$17))</f>
        <v>0.45342017608184182</v>
      </c>
      <c r="AZ11" s="5">
        <f t="shared" si="70"/>
        <v>195.47079816941027</v>
      </c>
      <c r="BA11" s="59">
        <f>IF('2023 Lønnsgr pensjon tjeneste'!M11&lt;100,0,(C11/$C$17)*'2023 Pensjon tjeneste'!M11/'2023 Lønnsgr pensjon tjeneste'!M11)</f>
        <v>2.3499222429075553E-2</v>
      </c>
      <c r="BB11" s="5">
        <f>IF('2023 Lønnsgr pensjon tjeneste'!M11&lt;100,0,C11)</f>
        <v>431103</v>
      </c>
      <c r="BC11" s="59">
        <f t="shared" si="57"/>
        <v>8.9773138547871806E-2</v>
      </c>
      <c r="BD11" s="59">
        <f t="shared" si="58"/>
        <v>1</v>
      </c>
      <c r="BE11" s="59">
        <f>IF(BB11=0,0,(BB11/$BB$17)*BD11*'2023 Pensjon tjeneste'!M11/'2023 Lønnsgr pensjon tjeneste'!M11)</f>
        <v>2.6982987250757606E-2</v>
      </c>
      <c r="BF11" s="5">
        <f>IF(BB11=0,0,'2023 Nto driftsutg landet'!$C$25*'2023 Lønnsand og pensjon landet'!$D$15*('2023 Pensjon tjeneste'!M11/'2023 Lønnsgr pensjon tjeneste'!M11-$BE$17))</f>
        <v>-0.36099768021348044</v>
      </c>
      <c r="BG11" s="5">
        <f t="shared" si="71"/>
        <v>-155.62718293307208</v>
      </c>
      <c r="BH11" s="59">
        <f>IF('2023 Lønnsgr pensjon tjeneste'!N11&lt;100,0,(C11/$C$17)*'2023 Pensjon tjeneste'!N11/'2023 Lønnsgr pensjon tjeneste'!N11)</f>
        <v>2.3632294036832223E-2</v>
      </c>
      <c r="BI11" s="5">
        <f>IF('2023 Lønnsgr pensjon tjeneste'!N11&lt;100,0,C11)</f>
        <v>431103</v>
      </c>
      <c r="BJ11" s="59">
        <f t="shared" si="59"/>
        <v>7.8182557449543499E-2</v>
      </c>
      <c r="BK11" s="59">
        <f t="shared" si="60"/>
        <v>1</v>
      </c>
      <c r="BL11" s="59">
        <f>IF(BI11=0,0,(BI11/$BI$17)*BK11*'2023 Pensjon tjeneste'!N11/'2023 Lønnsgr pensjon tjeneste'!N11)</f>
        <v>2.3632294036832223E-2</v>
      </c>
      <c r="BM11" s="5">
        <f>IF(BI11=0,0,'2023 Nto driftsutg landet'!$C$26*'2023 Lønnsand og pensjon landet'!$D$16*('2023 Pensjon tjeneste'!N11/'2023 Lønnsgr pensjon tjeneste'!N11-$BL$17))</f>
        <v>2.425313326546068</v>
      </c>
      <c r="BN11" s="5">
        <f t="shared" si="72"/>
        <v>1045.5598510139896</v>
      </c>
      <c r="BO11" s="59">
        <f>IF('2023 Lønnsgr pensjon tjeneste'!O11&lt;100,0,(C11/$C$17)*'2023 Pensjon tjeneste'!O11/'2023 Lønnsgr pensjon tjeneste'!O11)</f>
        <v>1.3030426241590584E-2</v>
      </c>
      <c r="BP11" s="5">
        <f>IF('2023 Lønnsgr pensjon tjeneste'!O11&lt;100,0,C11)</f>
        <v>431103</v>
      </c>
      <c r="BQ11" s="59">
        <f t="shared" si="61"/>
        <v>0.24901989892554235</v>
      </c>
      <c r="BR11" s="59">
        <f t="shared" si="62"/>
        <v>1</v>
      </c>
      <c r="BS11" s="59">
        <f>IF(BP11=0,0,(BP11/$BP$17)*BR11*'2023 Pensjon tjeneste'!O11/'2023 Lønnsgr pensjon tjeneste'!O11)</f>
        <v>4.150331648759039E-2</v>
      </c>
      <c r="BT11" s="5">
        <f>IF(BP11=0,0,'2023 Nto driftsutg landet'!$C$27*'2023 Lønnsand og pensjon landet'!$D$17*('2023 Pensjon tjeneste'!O11/'2023 Lønnsgr pensjon tjeneste'!O11-$BS$17))</f>
        <v>1.656712011189251E-2</v>
      </c>
      <c r="BU11" s="5">
        <f t="shared" si="73"/>
        <v>7.1421351815971965</v>
      </c>
      <c r="BV11" s="59">
        <f>IF('2023 Lønnsgr pensjon tjeneste'!P11&lt;100,0,(C11/$C$17)*'2023 Pensjon tjeneste'!P11/'2023 Lønnsgr pensjon tjeneste'!P11)</f>
        <v>1.4004349852431116E-2</v>
      </c>
      <c r="BW11" s="5">
        <f>IF('2023 Lønnsgr pensjon tjeneste'!P11&lt;100,0,C11)</f>
        <v>431103</v>
      </c>
      <c r="BX11" s="59">
        <f t="shared" si="63"/>
        <v>0.11313326039599778</v>
      </c>
      <c r="BY11" s="59">
        <f t="shared" si="64"/>
        <v>1</v>
      </c>
      <c r="BZ11" s="59">
        <f>IF(BW11=0,0,(BW11/$BW$17)*BY11*'2023 Pensjon tjeneste'!P11/'2023 Lønnsgr pensjon tjeneste'!P11)</f>
        <v>2.0264849478149084E-2</v>
      </c>
      <c r="CA11" s="5">
        <f>IF(BW11=0,0,'2023 Nto driftsutg landet'!$C$28*'2023 Lønnsand og pensjon landet'!$D$18*('2023 Pensjon tjeneste'!P11/'2023 Lønnsgr pensjon tjeneste'!P11-$BZ$17))</f>
        <v>0.10482896326785165</v>
      </c>
      <c r="CB11" s="5">
        <f t="shared" si="74"/>
        <v>45.192080551660652</v>
      </c>
      <c r="CC11" s="5"/>
      <c r="CD11" s="5"/>
      <c r="CE11" s="5"/>
    </row>
    <row r="12" spans="1:83" x14ac:dyDescent="0.3">
      <c r="A12" s="43">
        <v>4200</v>
      </c>
      <c r="B12" s="44" t="s">
        <v>344</v>
      </c>
      <c r="C12" s="44">
        <f>+'2023 Nto driftsutg'!W12</f>
        <v>317444</v>
      </c>
      <c r="D12" s="59">
        <f>IF('2023 Lønnsgr pensjon tjeneste'!D12&lt;100,0,(C12/$C$17)*'2023 Revekting utgiftsbehov'!D12*'2023 Pensjon tjeneste'!D12/'2023 Lønnsgr pensjon tjeneste'!D12)</f>
        <v>9.4260437977179996E-3</v>
      </c>
      <c r="E12" s="5">
        <f>IF('2023 Lønnsgr pensjon tjeneste'!D12&lt;100,0,C12)</f>
        <v>317444</v>
      </c>
      <c r="F12" s="59">
        <f>'2023 Revekting utgiftsbehov'!D12*E12/$E$17</f>
        <v>6.2421324801316777E-2</v>
      </c>
      <c r="G12" s="59">
        <f>'2023 Revekting utgiftsbehov'!D12/$F$17</f>
        <v>1.0842689751535692</v>
      </c>
      <c r="H12" s="59">
        <f>IF(E12=0,0,(E12/$E$17)*G12*'2023 Pensjon tjeneste'!D12/'2023 Lønnsgr pensjon tjeneste'!D12)</f>
        <v>9.426043797718003E-3</v>
      </c>
      <c r="I12" s="5">
        <f>IF(E12=0,0,'2023 Nto driftsutg landet'!$C$5*'2023 Lønnsand og pensjon landet'!$D$6*('2023 Pensjon tjeneste'!D12/'2023 Lønnsgr pensjon tjeneste'!D12-$H$17)*'2023 Revekting utgiftsbehov'!D12)</f>
        <v>8.8084191559337501</v>
      </c>
      <c r="J12" s="5">
        <f t="shared" si="75"/>
        <v>2796.1798105362332</v>
      </c>
      <c r="K12" s="59">
        <f>IF('2023 Lønnsgr pensjon tjeneste'!E12&lt;100,0,(C12/$C$17)*'2023 Revekting utgiftsbehov'!E12*'2023 Pensjon tjeneste'!E12/'2023 Lønnsgr pensjon tjeneste'!E12)</f>
        <v>2.9225543672876372E-2</v>
      </c>
      <c r="L12" s="5">
        <f>IF('2023 Lønnsgr pensjon tjeneste'!E12&lt;100,0,C12)</f>
        <v>317444</v>
      </c>
      <c r="M12" s="59">
        <f>'2023 Revekting utgiftsbehov'!E12*L12/$L$17</f>
        <v>7.0301995089393332E-2</v>
      </c>
      <c r="N12" s="59">
        <f>'2023 Revekting utgiftsbehov'!E12/$M$17</f>
        <v>1.2211575516772717</v>
      </c>
      <c r="O12" s="59">
        <f>IF(L12=0,0,(L12/$L$17)*N12*'2023 Pensjon tjeneste'!E12/'2023 Lønnsgr pensjon tjeneste'!E12)</f>
        <v>2.9225543672876372E-2</v>
      </c>
      <c r="P12" s="5">
        <f>IF(L12=0,0,'2023 Nto driftsutg landet'!$C$6*'2023 Lønnsand og pensjon landet'!$D$7*('2023 Pensjon tjeneste'!E12/'2023 Lønnsgr pensjon tjeneste'!E12-$O$17)*'2023 Revekting utgiftsbehov'!E12)</f>
        <v>-6.1284461151026193</v>
      </c>
      <c r="Q12" s="5">
        <f t="shared" si="65"/>
        <v>-1945.4384485626358</v>
      </c>
      <c r="R12" s="59">
        <f>IF('2023 Lønnsgr pensjon tjeneste'!F12&lt;100,0,(C12/$C$17)*'2023 Revekting utgiftsbehov'!F12*'2023 Pensjon tjeneste'!F12/'2023 Lønnsgr pensjon tjeneste'!F12)</f>
        <v>9.0003969129229949E-3</v>
      </c>
      <c r="S12" s="5">
        <f>IF('2023 Lønnsgr pensjon tjeneste'!F12&lt;100,0,C12)</f>
        <v>317444</v>
      </c>
      <c r="T12" s="59">
        <f>'2023 Revekting utgiftsbehov'!F12*S12/$S$17</f>
        <v>4.4907243544478948E-2</v>
      </c>
      <c r="U12" s="59">
        <f>'2023 Revekting utgiftsbehov'!F12/$T$17</f>
        <v>0.78004641987215195</v>
      </c>
      <c r="V12" s="59">
        <f>IF(S12=0,0,(S12/$S$17)*U12*'2023 Pensjon tjeneste'!F12/'2023 Lønnsgr pensjon tjeneste'!F12)</f>
        <v>9.0003969129229949E-3</v>
      </c>
      <c r="W12" s="5">
        <f>IF(S12=0,0,'2023 Nto driftsutg landet'!$C$7*'2023 Lønnsand og pensjon landet'!$D$8*('2023 Pensjon tjeneste'!F12/'2023 Lønnsgr pensjon tjeneste'!F12-$V$17)*'2023 Revekting utgiftsbehov'!F12)</f>
        <v>-1.466075945026112</v>
      </c>
      <c r="X12" s="5">
        <f t="shared" si="66"/>
        <v>-465.39701229286908</v>
      </c>
      <c r="Y12" s="59">
        <f>IF('2023 Lønnsgr pensjon tjeneste'!G12&lt;100,0,(C12/$C$17)*'2023 Revekting utgiftsbehov'!G12*'2023 Pensjon tjeneste'!G12/'2023 Lønnsgr pensjon tjeneste'!G12)</f>
        <v>1.2890879486805455E-3</v>
      </c>
      <c r="Z12" s="5">
        <f>IF('2023 Lønnsgr pensjon tjeneste'!G12&lt;100,0,C12)</f>
        <v>317444</v>
      </c>
      <c r="AA12" s="59">
        <f>'2023 Revekting utgiftsbehov'!G12*Z12/$Z$17</f>
        <v>1.7412147874887724E-2</v>
      </c>
      <c r="AB12" s="59">
        <f>'2023 Revekting utgiftsbehov'!G12/$AA$17</f>
        <v>8.1901862288316626E-2</v>
      </c>
      <c r="AC12" s="59">
        <f>IF(Z12=0,0,(Z12/$Z$17)*AB12*'2023 Pensjon tjeneste'!G12/'2023 Lønnsgr pensjon tjeneste'!G12)</f>
        <v>1.8085629372686562E-3</v>
      </c>
      <c r="AD12" s="5">
        <f>IF(Z12=0,0,'2023 Nto driftsutg landet'!$C$8*'2023 Lønnsand og pensjon landet'!$D$9*('2023 Pensjon tjeneste'!G12/'2023 Lønnsgr pensjon tjeneste'!G12-$AC$17)*'2023 Revekting utgiftsbehov'!G12)</f>
        <v>-3.9862737489032407E-2</v>
      </c>
      <c r="AE12" s="5">
        <f t="shared" si="67"/>
        <v>-12.654186839468405</v>
      </c>
      <c r="AF12" s="59">
        <f>IF('2023 Lønnsgr pensjon tjeneste'!H12&lt;100,0,(C12/$C$17)*'2023 Revekting utgiftsbehov'!H12*'2023 Pensjon tjeneste'!H12/'2023 Lønnsgr pensjon tjeneste'!H12)</f>
        <v>1.6046817588047348E-2</v>
      </c>
      <c r="AG12" s="5">
        <f>IF('2023 Lønnsgr pensjon tjeneste'!H12&lt;100,0,C12)</f>
        <v>317444</v>
      </c>
      <c r="AH12" s="59">
        <f>'2023 Revekting utgiftsbehov'!H12*AG12/$AG$17</f>
        <v>5.9803843054344483E-2</v>
      </c>
      <c r="AI12" s="59">
        <f>'2023 Revekting utgiftsbehov'!H12/$AH$17</f>
        <v>1.0388028742608666</v>
      </c>
      <c r="AJ12" s="59">
        <f>IF(AG12=0,0,(AG12/$AG$17)*AI12*'2023 Pensjon tjeneste'!H12/'2023 Lønnsgr pensjon tjeneste'!H12)</f>
        <v>1.6046817588047348E-2</v>
      </c>
      <c r="AK12" s="5">
        <f>IF(AG12=0,0,'2023 Nto driftsutg landet'!$C$9*'2023 Lønnsand og pensjon landet'!$D$10*('2023 Pensjon tjeneste'!H12/'2023 Lønnsgr pensjon tjeneste'!H12-$AJ$17)*'2023 Revekting utgiftsbehov'!H12)</f>
        <v>8.5042824388110088</v>
      </c>
      <c r="AL12" s="5">
        <f t="shared" si="68"/>
        <v>2699.6334345059217</v>
      </c>
      <c r="AM12" s="59">
        <f>IF('2023 Lønnsgr pensjon tjeneste'!K12&lt;100,0,(C12/$C$17)*'2023 Pensjon tjeneste'!K12/'2023 Lønnsgr pensjon tjeneste'!K12)</f>
        <v>2.7479895932119212E-2</v>
      </c>
      <c r="AN12" s="5">
        <f>IF('2023 Lønnsgr pensjon tjeneste'!K12&lt;100,0,C12)</f>
        <v>317444</v>
      </c>
      <c r="AO12" s="59">
        <f t="shared" si="53"/>
        <v>5.7569963018148526E-2</v>
      </c>
      <c r="AP12" s="59">
        <f t="shared" si="54"/>
        <v>1</v>
      </c>
      <c r="AQ12" s="59">
        <f>IF(AN12=0,0,(AN12/$AN$17)*AP12*'2023 Pensjon tjeneste'!K12/'2023 Lønnsgr pensjon tjeneste'!K12)</f>
        <v>2.7479895932119212E-2</v>
      </c>
      <c r="AR12" s="5">
        <f>IF(AN12=0,0,'2023 Nto driftsutg landet'!$C$23*'2023 Lønnsand og pensjon landet'!$D$13*('2023 Pensjon tjeneste'!K12/'2023 Lønnsgr pensjon tjeneste'!K12-$AQ$17))</f>
        <v>6.0544998432027048</v>
      </c>
      <c r="AS12" s="5">
        <f t="shared" si="69"/>
        <v>1921.9646482256394</v>
      </c>
      <c r="AT12" s="59">
        <f>IF('2023 Lønnsgr pensjon tjeneste'!L12&lt;100,0,(C12/$C$17)*'2023 Pensjon tjeneste'!L12/'2023 Lønnsgr pensjon tjeneste'!L12)</f>
        <v>1.6942842462330073E-2</v>
      </c>
      <c r="AU12" s="5">
        <f>IF('2023 Lønnsgr pensjon tjeneste'!L12&lt;100,0,C12)</f>
        <v>317444</v>
      </c>
      <c r="AV12" s="59">
        <f t="shared" si="55"/>
        <v>6.6104722521510215E-2</v>
      </c>
      <c r="AW12" s="59">
        <f t="shared" si="56"/>
        <v>1</v>
      </c>
      <c r="AX12" s="59">
        <f>IF(AU12=0,0,(AU12/$AU$17)*AW12*'2023 Pensjon tjeneste'!L12/'2023 Lønnsgr pensjon tjeneste'!L12)</f>
        <v>1.9454622531977616E-2</v>
      </c>
      <c r="AY12" s="5">
        <f>IF(AU12=0,0,'2023 Nto driftsutg landet'!$C$24*'2023 Lønnsand og pensjon landet'!$D$14*('2023 Pensjon tjeneste'!L12/'2023 Lønnsgr pensjon tjeneste'!L12-$AX$17))</f>
        <v>-0.75949299953872451</v>
      </c>
      <c r="AZ12" s="5">
        <f t="shared" si="70"/>
        <v>-241.09649574557088</v>
      </c>
      <c r="BA12" s="59">
        <f>IF('2023 Lønnsgr pensjon tjeneste'!M12&lt;100,0,(C12/$C$17)*'2023 Pensjon tjeneste'!M12/'2023 Lønnsgr pensjon tjeneste'!M12)</f>
        <v>1.3920915041741026E-2</v>
      </c>
      <c r="BB12" s="5">
        <f>IF('2023 Lønnsgr pensjon tjeneste'!M12&lt;100,0,C12)</f>
        <v>317444</v>
      </c>
      <c r="BC12" s="59">
        <f t="shared" si="57"/>
        <v>6.6104722521510215E-2</v>
      </c>
      <c r="BD12" s="59">
        <f t="shared" si="58"/>
        <v>1</v>
      </c>
      <c r="BE12" s="59">
        <f>IF(BB12=0,0,(BB12/$BB$17)*BD12*'2023 Pensjon tjeneste'!M12/'2023 Lønnsgr pensjon tjeneste'!M12)</f>
        <v>1.5984693715882878E-2</v>
      </c>
      <c r="BF12" s="5">
        <f>IF(BB12=0,0,'2023 Nto driftsutg landet'!$C$25*'2023 Lønnsand og pensjon landet'!$D$15*('2023 Pensjon tjeneste'!M12/'2023 Lønnsgr pensjon tjeneste'!M12-$BE$17))</f>
        <v>-0.12643525889071003</v>
      </c>
      <c r="BG12" s="5">
        <f t="shared" si="71"/>
        <v>-40.136114323302557</v>
      </c>
      <c r="BH12" s="59">
        <f>IF('2023 Lønnsgr pensjon tjeneste'!N12&lt;100,0,(C12/$C$17)*'2023 Pensjon tjeneste'!N12/'2023 Lønnsgr pensjon tjeneste'!N12)</f>
        <v>1.3550176964525745E-2</v>
      </c>
      <c r="BI12" s="5">
        <f>IF('2023 Lønnsgr pensjon tjeneste'!N12&lt;100,0,C12)</f>
        <v>317444</v>
      </c>
      <c r="BJ12" s="59">
        <f t="shared" si="59"/>
        <v>5.7569963018148526E-2</v>
      </c>
      <c r="BK12" s="59">
        <f t="shared" si="60"/>
        <v>1</v>
      </c>
      <c r="BL12" s="59">
        <f>IF(BI12=0,0,(BI12/$BI$17)*BK12*'2023 Pensjon tjeneste'!N12/'2023 Lønnsgr pensjon tjeneste'!N12)</f>
        <v>1.3550176964525745E-2</v>
      </c>
      <c r="BM12" s="5">
        <f>IF(BI12=0,0,'2023 Nto driftsutg landet'!$C$26*'2023 Lønnsand og pensjon landet'!$D$16*('2023 Pensjon tjeneste'!N12/'2023 Lønnsgr pensjon tjeneste'!N12-$BL$17))</f>
        <v>0.45601290004012374</v>
      </c>
      <c r="BN12" s="5">
        <f t="shared" si="72"/>
        <v>144.75855904033705</v>
      </c>
      <c r="BO12" s="59">
        <f>IF('2023 Lønnsgr pensjon tjeneste'!O12&lt;100,0,(C12/$C$17)*'2023 Pensjon tjeneste'!O12/'2023 Lønnsgr pensjon tjeneste'!O12)</f>
        <v>0</v>
      </c>
      <c r="BP12" s="5">
        <f>IF('2023 Lønnsgr pensjon tjeneste'!O12&lt;100,0,C12)</f>
        <v>0</v>
      </c>
      <c r="BQ12" s="59">
        <f t="shared" si="61"/>
        <v>0</v>
      </c>
      <c r="BR12" s="59">
        <f t="shared" si="62"/>
        <v>1</v>
      </c>
      <c r="BS12" s="59">
        <f>IF(BP12=0,0,(BP12/$BP$17)*BR12*'2023 Pensjon tjeneste'!O12/'2023 Lønnsgr pensjon tjeneste'!O12)</f>
        <v>0</v>
      </c>
      <c r="BT12" s="5">
        <f>IF(BP12=0,0,'2023 Nto driftsutg landet'!$C$27*'2023 Lønnsand og pensjon landet'!$D$17*('2023 Pensjon tjeneste'!O12/'2023 Lønnsgr pensjon tjeneste'!O12-$BS$17))</f>
        <v>0</v>
      </c>
      <c r="BU12" s="5">
        <f t="shared" si="73"/>
        <v>0</v>
      </c>
      <c r="BV12" s="59">
        <f>IF('2023 Lønnsgr pensjon tjeneste'!P12&lt;100,0,(C12/$C$17)*'2023 Pensjon tjeneste'!P12/'2023 Lønnsgr pensjon tjeneste'!P12)</f>
        <v>1.0302821250515652E-2</v>
      </c>
      <c r="BW12" s="5">
        <f>IF('2023 Lønnsgr pensjon tjeneste'!P12&lt;100,0,C12)</f>
        <v>317444</v>
      </c>
      <c r="BX12" s="59">
        <f t="shared" si="63"/>
        <v>8.3306019009719526E-2</v>
      </c>
      <c r="BY12" s="59">
        <f t="shared" si="64"/>
        <v>1</v>
      </c>
      <c r="BZ12" s="59">
        <f>IF(BW12=0,0,(BW12/$BW$17)*BY12*'2023 Pensjon tjeneste'!P12/'2023 Lønnsgr pensjon tjeneste'!P12)</f>
        <v>1.4908590833706638E-2</v>
      </c>
      <c r="CA12" s="5">
        <f>IF(BW12=0,0,'2023 Nto driftsutg landet'!$C$28*'2023 Lønnsand og pensjon landet'!$D$18*('2023 Pensjon tjeneste'!P12/'2023 Lønnsgr pensjon tjeneste'!P12-$BZ$17))</f>
        <v>0.10535502707566413</v>
      </c>
      <c r="CB12" s="5">
        <f t="shared" si="74"/>
        <v>33.444321215007129</v>
      </c>
      <c r="CC12" s="5"/>
      <c r="CD12" s="5"/>
      <c r="CE12" s="5"/>
    </row>
    <row r="13" spans="1:83" x14ac:dyDescent="0.3">
      <c r="A13" s="43">
        <v>4600</v>
      </c>
      <c r="B13" s="44" t="s">
        <v>345</v>
      </c>
      <c r="C13" s="44">
        <f>+'2023 Nto driftsutg'!W13</f>
        <v>648436</v>
      </c>
      <c r="D13" s="59">
        <f>IF('2023 Lønnsgr pensjon tjeneste'!D13&lt;100,0,(C13/$C$17)*'2023 Revekting utgiftsbehov'!D13*'2023 Pensjon tjeneste'!D13/'2023 Lønnsgr pensjon tjeneste'!D13)</f>
        <v>1.4432308611418797E-2</v>
      </c>
      <c r="E13" s="5">
        <f>IF('2023 Lønnsgr pensjon tjeneste'!D13&lt;100,0,C13)</f>
        <v>648436</v>
      </c>
      <c r="F13" s="59">
        <f>'2023 Revekting utgiftsbehov'!D13*E13/$E$17</f>
        <v>0.12334269265572453</v>
      </c>
      <c r="G13" s="59">
        <f>'2023 Revekting utgiftsbehov'!D13/$F$17</f>
        <v>1.0488598944143352</v>
      </c>
      <c r="H13" s="59">
        <f>IF(E13=0,0,(E13/$E$17)*G13*'2023 Pensjon tjeneste'!D13/'2023 Lønnsgr pensjon tjeneste'!D13)</f>
        <v>1.4432308611418799E-2</v>
      </c>
      <c r="I13" s="5">
        <f>IF(E13=0,0,'2023 Nto driftsutg landet'!$C$5*'2023 Lønnsand og pensjon landet'!$D$6*('2023 Pensjon tjeneste'!D13/'2023 Lønnsgr pensjon tjeneste'!D13-$H$17)*'2023 Revekting utgiftsbehov'!D13)</f>
        <v>-127.04598246298886</v>
      </c>
      <c r="J13" s="5">
        <f t="shared" si="75"/>
        <v>-82381.188684370645</v>
      </c>
      <c r="K13" s="59">
        <f>IF('2023 Lønnsgr pensjon tjeneste'!E13&lt;100,0,(C13/$C$17)*'2023 Revekting utgiftsbehov'!E13*'2023 Pensjon tjeneste'!E13/'2023 Lønnsgr pensjon tjeneste'!E13)</f>
        <v>0.14061423091732062</v>
      </c>
      <c r="L13" s="5">
        <f>IF('2023 Lønnsgr pensjon tjeneste'!E13&lt;100,0,C13)</f>
        <v>648436</v>
      </c>
      <c r="M13" s="59">
        <f>'2023 Revekting utgiftsbehov'!E13*L13/$L$17</f>
        <v>0.15280927161891228</v>
      </c>
      <c r="N13" s="59">
        <f>'2023 Revekting utgiftsbehov'!E13/$M$17</f>
        <v>1.2994326055707779</v>
      </c>
      <c r="O13" s="59">
        <f>IF(L13=0,0,(L13/$L$17)*N13*'2023 Pensjon tjeneste'!E13/'2023 Lønnsgr pensjon tjeneste'!E13)</f>
        <v>0.14061423091732062</v>
      </c>
      <c r="P13" s="5">
        <f>IF(L13=0,0,'2023 Nto driftsutg landet'!$C$6*'2023 Lønnsand og pensjon landet'!$D$7*('2023 Pensjon tjeneste'!E13/'2023 Lønnsgr pensjon tjeneste'!E13-$O$17)*'2023 Revekting utgiftsbehov'!E13)</f>
        <v>77.080675988542907</v>
      </c>
      <c r="Q13" s="5">
        <f t="shared" si="65"/>
        <v>49981.885215306815</v>
      </c>
      <c r="R13" s="59">
        <f>IF('2023 Lønnsgr pensjon tjeneste'!F13&lt;100,0,(C13/$C$17)*'2023 Revekting utgiftsbehov'!F13*'2023 Pensjon tjeneste'!F13/'2023 Lønnsgr pensjon tjeneste'!F13)</f>
        <v>2.1687164996245605E-2</v>
      </c>
      <c r="S13" s="5">
        <f>IF('2023 Lønnsgr pensjon tjeneste'!F13&lt;100,0,C13)</f>
        <v>648436</v>
      </c>
      <c r="T13" s="59">
        <f>'2023 Revekting utgiftsbehov'!F13*S13/$S$17</f>
        <v>0.12520317880132556</v>
      </c>
      <c r="U13" s="59">
        <f>'2023 Revekting utgiftsbehov'!F13/$T$17</f>
        <v>1.0646807692486568</v>
      </c>
      <c r="V13" s="59">
        <f>IF(S13=0,0,(S13/$S$17)*U13*'2023 Pensjon tjeneste'!F13/'2023 Lønnsgr pensjon tjeneste'!F13)</f>
        <v>2.1687164996245605E-2</v>
      </c>
      <c r="W13" s="5">
        <f>IF(S13=0,0,'2023 Nto driftsutg landet'!$C$7*'2023 Lønnsand og pensjon landet'!$D$8*('2023 Pensjon tjeneste'!F13/'2023 Lønnsgr pensjon tjeneste'!F13-$V$17)*'2023 Revekting utgiftsbehov'!F13)</f>
        <v>-3.1726639130366654</v>
      </c>
      <c r="X13" s="5">
        <f t="shared" si="66"/>
        <v>-2057.269497113843</v>
      </c>
      <c r="Y13" s="59">
        <f>IF('2023 Lønnsgr pensjon tjeneste'!G13&lt;100,0,(C13/$C$17)*'2023 Revekting utgiftsbehov'!G13*'2023 Pensjon tjeneste'!G13/'2023 Lønnsgr pensjon tjeneste'!G13)</f>
        <v>0</v>
      </c>
      <c r="Z13" s="5">
        <f>IF('2023 Lønnsgr pensjon tjeneste'!G13&lt;100,0,C13)</f>
        <v>0</v>
      </c>
      <c r="AA13" s="59">
        <f>'2023 Revekting utgiftsbehov'!G13*Z13/$Z$17</f>
        <v>0</v>
      </c>
      <c r="AB13" s="59">
        <f>'2023 Revekting utgiftsbehov'!G13/$AA$17</f>
        <v>1.4179947978053247</v>
      </c>
      <c r="AC13" s="59">
        <f>IF(Z13=0,0,(Z13/$Z$17)*AB13*'2023 Pensjon tjeneste'!G13/'2023 Lønnsgr pensjon tjeneste'!G13)</f>
        <v>0</v>
      </c>
      <c r="AD13" s="5">
        <f>IF(Z13=0,0,'2023 Nto driftsutg landet'!$C$8*'2023 Lønnsand og pensjon landet'!$D$9*('2023 Pensjon tjeneste'!G13/'2023 Lønnsgr pensjon tjeneste'!G13-$AC$17)*'2023 Revekting utgiftsbehov'!G13)</f>
        <v>0</v>
      </c>
      <c r="AE13" s="5">
        <f t="shared" si="67"/>
        <v>0</v>
      </c>
      <c r="AF13" s="59">
        <f>IF('2023 Lønnsgr pensjon tjeneste'!H13&lt;100,0,(C13/$C$17)*'2023 Revekting utgiftsbehov'!H13*'2023 Pensjon tjeneste'!H13/'2023 Lønnsgr pensjon tjeneste'!H13)</f>
        <v>2.3380859488908418E-2</v>
      </c>
      <c r="AG13" s="5">
        <f>IF('2023 Lønnsgr pensjon tjeneste'!H13&lt;100,0,C13)</f>
        <v>648436</v>
      </c>
      <c r="AH13" s="59">
        <f>'2023 Revekting utgiftsbehov'!H13*AG13/$AG$17</f>
        <v>0.1238342747786932</v>
      </c>
      <c r="AI13" s="59">
        <f>'2023 Revekting utgiftsbehov'!H13/$AH$17</f>
        <v>1.0530401240046849</v>
      </c>
      <c r="AJ13" s="59">
        <f>IF(AG13=0,0,(AG13/$AG$17)*AI13*'2023 Pensjon tjeneste'!H13/'2023 Lønnsgr pensjon tjeneste'!H13)</f>
        <v>2.3380859488908418E-2</v>
      </c>
      <c r="AK13" s="5">
        <f>IF(AG13=0,0,'2023 Nto driftsutg landet'!$C$9*'2023 Lønnsand og pensjon landet'!$D$10*('2023 Pensjon tjeneste'!H13/'2023 Lønnsgr pensjon tjeneste'!H13-$AJ$17)*'2023 Revekting utgiftsbehov'!H13)</f>
        <v>-17.358197420254168</v>
      </c>
      <c r="AL13" s="5">
        <f t="shared" si="68"/>
        <v>-11255.680102399932</v>
      </c>
      <c r="AM13" s="59">
        <f>IF('2023 Lønnsgr pensjon tjeneste'!K13&lt;100,0,(C13/$C$17)*'2023 Pensjon tjeneste'!K13/'2023 Lønnsgr pensjon tjeneste'!K13)</f>
        <v>6.0516556127946635E-3</v>
      </c>
      <c r="AN13" s="5">
        <f>IF('2023 Lønnsgr pensjon tjeneste'!K13&lt;100,0,C13)</f>
        <v>648436</v>
      </c>
      <c r="AO13" s="59">
        <f t="shared" si="53"/>
        <v>0.1175969195815204</v>
      </c>
      <c r="AP13" s="59">
        <f t="shared" si="54"/>
        <v>1</v>
      </c>
      <c r="AQ13" s="59">
        <f>IF(AN13=0,0,(AN13/$AN$17)*AP13*'2023 Pensjon tjeneste'!K13/'2023 Lønnsgr pensjon tjeneste'!K13)</f>
        <v>6.0516556127946635E-3</v>
      </c>
      <c r="AR13" s="5">
        <f>IF(AN13=0,0,'2023 Nto driftsutg landet'!$C$23*'2023 Lønnsand og pensjon landet'!$D$13*('2023 Pensjon tjeneste'!K13/'2023 Lønnsgr pensjon tjeneste'!K13-$AQ$17))</f>
        <v>-148.65864304370268</v>
      </c>
      <c r="AS13" s="5">
        <f t="shared" si="69"/>
        <v>-96395.61586068639</v>
      </c>
      <c r="AT13" s="59">
        <f>IF('2023 Lønnsgr pensjon tjeneste'!L13&lt;100,0,(C13/$C$17)*'2023 Pensjon tjeneste'!L13/'2023 Lønnsgr pensjon tjeneste'!L13)</f>
        <v>3.2292213456064388E-2</v>
      </c>
      <c r="AU13" s="5">
        <f>IF('2023 Lønnsgr pensjon tjeneste'!L13&lt;100,0,C13)</f>
        <v>648436</v>
      </c>
      <c r="AV13" s="59">
        <f t="shared" si="55"/>
        <v>0.13503068841420218</v>
      </c>
      <c r="AW13" s="59">
        <f t="shared" si="56"/>
        <v>1</v>
      </c>
      <c r="AX13" s="59">
        <f>IF(AU13=0,0,(AU13/$AU$17)*AW13*'2023 Pensjon tjeneste'!L13/'2023 Lønnsgr pensjon tjeneste'!L13)</f>
        <v>3.7079541104543971E-2</v>
      </c>
      <c r="AY13" s="5">
        <f>IF(AU13=0,0,'2023 Nto driftsutg landet'!$C$24*'2023 Lønnsand og pensjon landet'!$D$14*('2023 Pensjon tjeneste'!L13/'2023 Lønnsgr pensjon tjeneste'!L13-$AX$17))</f>
        <v>-1.4869833482149153</v>
      </c>
      <c r="AZ13" s="5">
        <f t="shared" si="70"/>
        <v>-964.21353438308688</v>
      </c>
      <c r="BA13" s="59">
        <f>IF('2023 Lønnsgr pensjon tjeneste'!M13&lt;100,0,(C13/$C$17)*'2023 Pensjon tjeneste'!M13/'2023 Lønnsgr pensjon tjeneste'!M13)</f>
        <v>2.0974194913729892E-2</v>
      </c>
      <c r="BB13" s="5">
        <f>IF('2023 Lønnsgr pensjon tjeneste'!M13&lt;100,0,C13)</f>
        <v>648436</v>
      </c>
      <c r="BC13" s="59">
        <f t="shared" si="57"/>
        <v>0.13503068841420218</v>
      </c>
      <c r="BD13" s="59">
        <f t="shared" si="58"/>
        <v>1</v>
      </c>
      <c r="BE13" s="59">
        <f>IF(BB13=0,0,(BB13/$BB$17)*BD13*'2023 Pensjon tjeneste'!M13/'2023 Lønnsgr pensjon tjeneste'!M13)</f>
        <v>2.4083623858627511E-2</v>
      </c>
      <c r="BF13" s="5">
        <f>IF(BB13=0,0,'2023 Nto driftsutg landet'!$C$25*'2023 Lønnsand og pensjon landet'!$D$15*('2023 Pensjon tjeneste'!M13/'2023 Lønnsgr pensjon tjeneste'!M13-$BE$17))</f>
        <v>0.12685713346553079</v>
      </c>
      <c r="BG13" s="5">
        <f t="shared" si="71"/>
        <v>82.258732195854932</v>
      </c>
      <c r="BH13" s="59">
        <f>IF('2023 Lønnsgr pensjon tjeneste'!N13&lt;100,0,(C13/$C$17)*'2023 Pensjon tjeneste'!N13/'2023 Lønnsgr pensjon tjeneste'!N13)</f>
        <v>2.1886981024468212E-2</v>
      </c>
      <c r="BI13" s="5">
        <f>IF('2023 Lønnsgr pensjon tjeneste'!N13&lt;100,0,C13)</f>
        <v>648436</v>
      </c>
      <c r="BJ13" s="59">
        <f t="shared" si="59"/>
        <v>0.1175969195815204</v>
      </c>
      <c r="BK13" s="59">
        <f t="shared" si="60"/>
        <v>1</v>
      </c>
      <c r="BL13" s="59">
        <f>IF(BI13=0,0,(BI13/$BI$17)*BK13*'2023 Pensjon tjeneste'!N13/'2023 Lønnsgr pensjon tjeneste'!N13)</f>
        <v>2.1886981024468212E-2</v>
      </c>
      <c r="BM13" s="5">
        <f>IF(BI13=0,0,'2023 Nto driftsutg landet'!$C$26*'2023 Lønnsand og pensjon landet'!$D$16*('2023 Pensjon tjeneste'!N13/'2023 Lønnsgr pensjon tjeneste'!N13-$BL$17))</f>
        <v>-0.99370070892552864</v>
      </c>
      <c r="BN13" s="5">
        <f t="shared" si="72"/>
        <v>-644.35131289283413</v>
      </c>
      <c r="BO13" s="59">
        <f>IF('2023 Lønnsgr pensjon tjeneste'!O13&lt;100,0,(C13/$C$17)*'2023 Pensjon tjeneste'!O13/'2023 Lønnsgr pensjon tjeneste'!O13)</f>
        <v>0</v>
      </c>
      <c r="BP13" s="5">
        <f>IF('2023 Lønnsgr pensjon tjeneste'!O13&lt;100,0,C13)</f>
        <v>0</v>
      </c>
      <c r="BQ13" s="59">
        <f t="shared" si="61"/>
        <v>0</v>
      </c>
      <c r="BR13" s="59">
        <f t="shared" si="62"/>
        <v>1</v>
      </c>
      <c r="BS13" s="59">
        <f>IF(BP13=0,0,(BP13/$BP$17)*BR13*'2023 Pensjon tjeneste'!O13/'2023 Lønnsgr pensjon tjeneste'!O13)</f>
        <v>0</v>
      </c>
      <c r="BT13" s="5">
        <f>IF(BP13=0,0,'2023 Nto driftsutg landet'!$C$27*'2023 Lønnsand og pensjon landet'!$D$17*('2023 Pensjon tjeneste'!O13/'2023 Lønnsgr pensjon tjeneste'!O13-$BS$17))</f>
        <v>0</v>
      </c>
      <c r="BU13" s="5">
        <f t="shared" si="73"/>
        <v>0</v>
      </c>
      <c r="BV13" s="59">
        <f>IF('2023 Lønnsgr pensjon tjeneste'!P13&lt;100,0,(C13/$C$17)*'2023 Pensjon tjeneste'!P13/'2023 Lønnsgr pensjon tjeneste'!P13)</f>
        <v>2.2752968147137349E-2</v>
      </c>
      <c r="BW13" s="5">
        <f>IF('2023 Lønnsgr pensjon tjeneste'!P13&lt;100,0,C13)</f>
        <v>648436</v>
      </c>
      <c r="BX13" s="59">
        <f t="shared" si="63"/>
        <v>0.17016740509376926</v>
      </c>
      <c r="BY13" s="59">
        <f t="shared" si="64"/>
        <v>1</v>
      </c>
      <c r="BZ13" s="59">
        <f>IF(BW13=0,0,(BW13/$BW$17)*BY13*'2023 Pensjon tjeneste'!P13/'2023 Lønnsgr pensjon tjeneste'!P13)</f>
        <v>3.2924447014069415E-2</v>
      </c>
      <c r="CA13" s="5">
        <f>IF(BW13=0,0,'2023 Nto driftsutg landet'!$C$28*'2023 Lønnsand og pensjon landet'!$D$18*('2023 Pensjon tjeneste'!P13/'2023 Lønnsgr pensjon tjeneste'!P13-$BZ$17))</f>
        <v>5.8190213428552524E-2</v>
      </c>
      <c r="CB13" s="5">
        <f t="shared" si="74"/>
        <v>37.732629234756878</v>
      </c>
      <c r="CC13" s="5"/>
      <c r="CD13" s="5"/>
      <c r="CE13" s="5"/>
    </row>
    <row r="14" spans="1:83" x14ac:dyDescent="0.3">
      <c r="A14" s="43">
        <v>5000</v>
      </c>
      <c r="B14" s="44" t="s">
        <v>340</v>
      </c>
      <c r="C14" s="44">
        <f>+'2023 Nto driftsutg'!W14</f>
        <v>480437</v>
      </c>
      <c r="D14" s="59">
        <f>IF('2023 Lønnsgr pensjon tjeneste'!D14&lt;100,0,(C14/$C$17)*'2023 Revekting utgiftsbehov'!D14*'2023 Pensjon tjeneste'!D14/'2023 Lønnsgr pensjon tjeneste'!D14)</f>
        <v>1.2403666608123719E-2</v>
      </c>
      <c r="E14" s="5">
        <f>IF('2023 Lønnsgr pensjon tjeneste'!D14&lt;100,0,C14)</f>
        <v>480437</v>
      </c>
      <c r="F14" s="59">
        <f>'2023 Revekting utgiftsbehov'!D14*E14/$E$17</f>
        <v>8.8828903870707299E-2</v>
      </c>
      <c r="G14" s="59">
        <f>'2023 Revekting utgiftsbehov'!D14/$F$17</f>
        <v>1.0195042229505573</v>
      </c>
      <c r="H14" s="59">
        <f>IF(E14=0,0,(E14/$E$17)*G14*'2023 Pensjon tjeneste'!D14/'2023 Lønnsgr pensjon tjeneste'!D14)</f>
        <v>1.240366660812372E-2</v>
      </c>
      <c r="I14" s="5">
        <f>IF(E14=0,0,'2023 Nto driftsutg landet'!$C$5*'2023 Lønnsand og pensjon landet'!$D$6*('2023 Pensjon tjeneste'!D14/'2023 Lønnsgr pensjon tjeneste'!D14-$H$17)*'2023 Revekting utgiftsbehov'!D14)</f>
        <v>-35.793012955245636</v>
      </c>
      <c r="J14" s="5">
        <f t="shared" si="75"/>
        <v>-17196.287765179346</v>
      </c>
      <c r="K14" s="59">
        <f>IF('2023 Lønnsgr pensjon tjeneste'!E14&lt;100,0,(C14/$C$17)*'2023 Revekting utgiftsbehov'!E14*'2023 Pensjon tjeneste'!E14/'2023 Lønnsgr pensjon tjeneste'!E14)</f>
        <v>4.5742658055161277E-2</v>
      </c>
      <c r="L14" s="5">
        <f>IF('2023 Lønnsgr pensjon tjeneste'!E14&lt;100,0,C14)</f>
        <v>480437</v>
      </c>
      <c r="M14" s="59">
        <f>'2023 Revekting utgiftsbehov'!E14*L14/$L$17</f>
        <v>0.11036279752885199</v>
      </c>
      <c r="N14" s="59">
        <f>'2023 Revekting utgiftsbehov'!E14/$M$17</f>
        <v>1.2666523308794941</v>
      </c>
      <c r="O14" s="59">
        <f>IF(L14=0,0,(L14/$L$17)*N14*'2023 Pensjon tjeneste'!E14/'2023 Lønnsgr pensjon tjeneste'!E14)</f>
        <v>4.5742658055161277E-2</v>
      </c>
      <c r="P14" s="5">
        <f>IF(L14=0,0,'2023 Nto driftsutg landet'!$C$6*'2023 Lønnsand og pensjon landet'!$D$7*('2023 Pensjon tjeneste'!E14/'2023 Lønnsgr pensjon tjeneste'!E14-$O$17)*'2023 Revekting utgiftsbehov'!E14)</f>
        <v>-6.5569015544258544</v>
      </c>
      <c r="Q14" s="5">
        <f t="shared" si="65"/>
        <v>-3150.1781121036943</v>
      </c>
      <c r="R14" s="59">
        <f>IF('2023 Lønnsgr pensjon tjeneste'!F14&lt;100,0,(C14/$C$17)*'2023 Revekting utgiftsbehov'!F14*'2023 Pensjon tjeneste'!F14/'2023 Lønnsgr pensjon tjeneste'!F14)</f>
        <v>1.7572025011609118E-2</v>
      </c>
      <c r="S14" s="5">
        <f>IF('2023 Lønnsgr pensjon tjeneste'!F14&lt;100,0,C14)</f>
        <v>480437</v>
      </c>
      <c r="T14" s="59">
        <f>'2023 Revekting utgiftsbehov'!F14*S14/$S$17</f>
        <v>9.5122055795008445E-2</v>
      </c>
      <c r="U14" s="59">
        <f>'2023 Revekting utgiftsbehov'!F14/$T$17</f>
        <v>1.0917317827078288</v>
      </c>
      <c r="V14" s="59">
        <f>IF(S14=0,0,(S14/$S$17)*U14*'2023 Pensjon tjeneste'!F14/'2023 Lønnsgr pensjon tjeneste'!F14)</f>
        <v>1.7572025011609118E-2</v>
      </c>
      <c r="W14" s="5">
        <f>IF(S14=0,0,'2023 Nto driftsutg landet'!$C$7*'2023 Lønnsand og pensjon landet'!$D$8*('2023 Pensjon tjeneste'!F14/'2023 Lønnsgr pensjon tjeneste'!F14-$V$17)*'2023 Revekting utgiftsbehov'!F14)</f>
        <v>-2.7447591561821914</v>
      </c>
      <c r="X14" s="5">
        <f t="shared" si="66"/>
        <v>-1318.6838547187035</v>
      </c>
      <c r="Y14" s="59">
        <f>IF('2023 Lønnsgr pensjon tjeneste'!G14&lt;100,0,(C14/$C$17)*'2023 Revekting utgiftsbehov'!G14*'2023 Pensjon tjeneste'!G14/'2023 Lønnsgr pensjon tjeneste'!G14)</f>
        <v>1.3675478969303758E-2</v>
      </c>
      <c r="Z14" s="5">
        <f>IF('2023 Lønnsgr pensjon tjeneste'!G14&lt;100,0,C14)</f>
        <v>480437</v>
      </c>
      <c r="AA14" s="59">
        <f>'2023 Revekting utgiftsbehov'!G14*Z14/$Z$17</f>
        <v>0.20940566647965786</v>
      </c>
      <c r="AB14" s="59">
        <f>'2023 Revekting utgiftsbehov'!G14/$AA$17</f>
        <v>0.6508194686611255</v>
      </c>
      <c r="AC14" s="59">
        <f>IF(Z14=0,0,(Z14/$Z$17)*AB14*'2023 Pensjon tjeneste'!G14/'2023 Lønnsgr pensjon tjeneste'!G14)</f>
        <v>1.9186405736393179E-2</v>
      </c>
      <c r="AD14" s="5">
        <f>IF(Z14=0,0,'2023 Nto driftsutg landet'!$C$8*'2023 Lønnsand og pensjon landet'!$D$9*('2023 Pensjon tjeneste'!G14/'2023 Lønnsgr pensjon tjeneste'!G14-$AC$17)*'2023 Revekting utgiftsbehov'!G14)</f>
        <v>-0.38731322505498283</v>
      </c>
      <c r="AE14" s="5">
        <f t="shared" si="67"/>
        <v>-186.07960390574078</v>
      </c>
      <c r="AF14" s="59">
        <f>IF('2023 Lønnsgr pensjon tjeneste'!H14&lt;100,0,(C14/$C$17)*'2023 Revekting utgiftsbehov'!H14*'2023 Pensjon tjeneste'!H14/'2023 Lønnsgr pensjon tjeneste'!H14)</f>
        <v>1.5860541462193862E-2</v>
      </c>
      <c r="AG14" s="5">
        <f>IF('2023 Lønnsgr pensjon tjeneste'!H14&lt;100,0,C14)</f>
        <v>480437</v>
      </c>
      <c r="AH14" s="59">
        <f>'2023 Revekting utgiftsbehov'!H14*AG14/$AG$17</f>
        <v>9.0761459556060159E-2</v>
      </c>
      <c r="AI14" s="59">
        <f>'2023 Revekting utgiftsbehov'!H14/$AH$17</f>
        <v>1.0416844885673895</v>
      </c>
      <c r="AJ14" s="59">
        <f>IF(AG14=0,0,(AG14/$AG$17)*AI14*'2023 Pensjon tjeneste'!H14/'2023 Lønnsgr pensjon tjeneste'!H14)</f>
        <v>1.5860541462193862E-2</v>
      </c>
      <c r="AK14" s="5">
        <f>IF(AG14=0,0,'2023 Nto driftsutg landet'!$C$9*'2023 Lønnsand og pensjon landet'!$D$10*('2023 Pensjon tjeneste'!H14/'2023 Lønnsgr pensjon tjeneste'!H14-$AJ$17)*'2023 Revekting utgiftsbehov'!H14)</f>
        <v>-21.714380259058984</v>
      </c>
      <c r="AL14" s="5">
        <f t="shared" si="68"/>
        <v>-10432.39170852152</v>
      </c>
      <c r="AM14" s="59">
        <f>IF('2023 Lønnsgr pensjon tjeneste'!K14&lt;100,0,(C14/$C$17)*'2023 Pensjon tjeneste'!K14/'2023 Lønnsgr pensjon tjeneste'!K14)</f>
        <v>1.7130732024452849E-2</v>
      </c>
      <c r="AN14" s="5">
        <f>IF('2023 Lønnsgr pensjon tjeneste'!K14&lt;100,0,C14)</f>
        <v>480437</v>
      </c>
      <c r="AO14" s="59">
        <f t="shared" si="53"/>
        <v>8.7129510472871513E-2</v>
      </c>
      <c r="AP14" s="59">
        <f t="shared" si="54"/>
        <v>1</v>
      </c>
      <c r="AQ14" s="59">
        <f>IF(AN14=0,0,(AN14/$AN$17)*AP14*'2023 Pensjon tjeneste'!K14/'2023 Lønnsgr pensjon tjeneste'!K14)</f>
        <v>1.7130732024452849E-2</v>
      </c>
      <c r="AR14" s="5">
        <f>IF(AN14=0,0,'2023 Nto driftsutg landet'!$C$23*'2023 Lønnsand og pensjon landet'!$D$13*('2023 Pensjon tjeneste'!K14/'2023 Lønnsgr pensjon tjeneste'!K14-$AQ$17))</f>
        <v>-95.92696387427722</v>
      </c>
      <c r="AS14" s="5">
        <f t="shared" si="69"/>
        <v>-46086.86274286612</v>
      </c>
      <c r="AT14" s="59">
        <f>IF('2023 Lønnsgr pensjon tjeneste'!L14&lt;100,0,(C14/$C$17)*'2023 Pensjon tjeneste'!L14/'2023 Lønnsgr pensjon tjeneste'!L14)</f>
        <v>2.404874448457911E-2</v>
      </c>
      <c r="AU14" s="5">
        <f>IF('2023 Lønnsgr pensjon tjeneste'!L14&lt;100,0,C14)</f>
        <v>480437</v>
      </c>
      <c r="AV14" s="59">
        <f t="shared" si="55"/>
        <v>0.10004647929734631</v>
      </c>
      <c r="AW14" s="59">
        <f t="shared" si="56"/>
        <v>1</v>
      </c>
      <c r="AX14" s="59">
        <f>IF(AU14=0,0,(AU14/$AU$17)*AW14*'2023 Pensjon tjeneste'!L14/'2023 Lønnsgr pensjon tjeneste'!L14)</f>
        <v>2.7613976070171315E-2</v>
      </c>
      <c r="AY14" s="5">
        <f>IF(AU14=0,0,'2023 Nto driftsutg landet'!$C$24*'2023 Lønnsand og pensjon landet'!$D$14*('2023 Pensjon tjeneste'!L14/'2023 Lønnsgr pensjon tjeneste'!L14-$AX$17))</f>
        <v>-1.4348889335100814</v>
      </c>
      <c r="AZ14" s="5">
        <f t="shared" si="70"/>
        <v>-689.37373454878298</v>
      </c>
      <c r="BA14" s="59">
        <f>IF('2023 Lønnsgr pensjon tjeneste'!M14&lt;100,0,(C14/$C$17)*'2023 Pensjon tjeneste'!M14/'2023 Lønnsgr pensjon tjeneste'!M14)</f>
        <v>1.4697495021882659E-2</v>
      </c>
      <c r="BB14" s="5">
        <f>IF('2023 Lønnsgr pensjon tjeneste'!M14&lt;100,0,C14)</f>
        <v>480437</v>
      </c>
      <c r="BC14" s="59">
        <f t="shared" si="57"/>
        <v>0.10004647929734631</v>
      </c>
      <c r="BD14" s="59">
        <f t="shared" si="58"/>
        <v>1</v>
      </c>
      <c r="BE14" s="59">
        <f>IF(BB14=0,0,(BB14/$BB$17)*BD14*'2023 Pensjon tjeneste'!M14/'2023 Lønnsgr pensjon tjeneste'!M14)</f>
        <v>1.6876401846507162E-2</v>
      </c>
      <c r="BF14" s="5">
        <f>IF(BB14=0,0,'2023 Nto driftsutg landet'!$C$25*'2023 Lønnsand og pensjon landet'!$D$15*('2023 Pensjon tjeneste'!M14/'2023 Lønnsgr pensjon tjeneste'!M14-$BE$17))</f>
        <v>0.16546277824901981</v>
      </c>
      <c r="BG14" s="5">
        <f t="shared" si="71"/>
        <v>79.494440793624335</v>
      </c>
      <c r="BH14" s="59">
        <f>IF('2023 Lønnsgr pensjon tjeneste'!N14&lt;100,0,(C14/$C$17)*'2023 Pensjon tjeneste'!N14/'2023 Lønnsgr pensjon tjeneste'!N14)</f>
        <v>1.4113584362022093E-2</v>
      </c>
      <c r="BI14" s="5">
        <f>IF('2023 Lønnsgr pensjon tjeneste'!N14&lt;100,0,C14)</f>
        <v>480437</v>
      </c>
      <c r="BJ14" s="59">
        <f t="shared" si="59"/>
        <v>8.7129510472871513E-2</v>
      </c>
      <c r="BK14" s="59">
        <f t="shared" si="60"/>
        <v>1</v>
      </c>
      <c r="BL14" s="59">
        <f>IF(BI14=0,0,(BI14/$BI$17)*BK14*'2023 Pensjon tjeneste'!N14/'2023 Lønnsgr pensjon tjeneste'!N14)</f>
        <v>1.4113584362022093E-2</v>
      </c>
      <c r="BM14" s="5">
        <f>IF(BI14=0,0,'2023 Nto driftsutg landet'!$C$26*'2023 Lønnsand og pensjon landet'!$D$16*('2023 Pensjon tjeneste'!N14/'2023 Lønnsgr pensjon tjeneste'!N14-$BL$17))</f>
        <v>-1.7041217127166317</v>
      </c>
      <c r="BN14" s="5">
        <f t="shared" si="72"/>
        <v>-818.72312329244039</v>
      </c>
      <c r="BO14" s="59">
        <f>IF('2023 Lønnsgr pensjon tjeneste'!O14&lt;100,0,(C14/$C$17)*'2023 Pensjon tjeneste'!O14/'2023 Lønnsgr pensjon tjeneste'!O14)</f>
        <v>0</v>
      </c>
      <c r="BP14" s="5">
        <f>IF('2023 Lønnsgr pensjon tjeneste'!O14&lt;100,0,C14)</f>
        <v>0</v>
      </c>
      <c r="BQ14" s="59">
        <f t="shared" si="61"/>
        <v>0</v>
      </c>
      <c r="BR14" s="59">
        <f t="shared" si="62"/>
        <v>1</v>
      </c>
      <c r="BS14" s="59">
        <f>IF(BP14=0,0,(BP14/$BP$17)*BR14*'2023 Pensjon tjeneste'!O14/'2023 Lønnsgr pensjon tjeneste'!O14)</f>
        <v>0</v>
      </c>
      <c r="BT14" s="5">
        <f>IF(BP14=0,0,'2023 Nto driftsutg landet'!$C$27*'2023 Lønnsand og pensjon landet'!$D$17*('2023 Pensjon tjeneste'!O14/'2023 Lønnsgr pensjon tjeneste'!O14-$BS$17))</f>
        <v>0</v>
      </c>
      <c r="BU14" s="5">
        <f t="shared" si="73"/>
        <v>0</v>
      </c>
      <c r="BV14" s="59">
        <f>IF('2023 Lønnsgr pensjon tjeneste'!P14&lt;100,0,(C14/$C$17)*'2023 Pensjon tjeneste'!P14/'2023 Lønnsgr pensjon tjeneste'!P14)</f>
        <v>0</v>
      </c>
      <c r="BW14" s="5">
        <f>IF('2023 Lønnsgr pensjon tjeneste'!P14&lt;100,0,C14)</f>
        <v>0</v>
      </c>
      <c r="BX14" s="59">
        <f t="shared" si="63"/>
        <v>0</v>
      </c>
      <c r="BY14" s="59">
        <f t="shared" si="64"/>
        <v>1</v>
      </c>
      <c r="BZ14" s="59">
        <f>IF(BW14=0,0,(BW14/$BW$17)*BY14*'2023 Pensjon tjeneste'!P14/'2023 Lønnsgr pensjon tjeneste'!P14)</f>
        <v>0</v>
      </c>
      <c r="CA14" s="5">
        <f>IF(BW14=0,0,'2023 Nto driftsutg landet'!$C$28*'2023 Lønnsand og pensjon landet'!$D$18*('2023 Pensjon tjeneste'!P14/'2023 Lønnsgr pensjon tjeneste'!P14-$BZ$17))</f>
        <v>0</v>
      </c>
      <c r="CB14" s="5">
        <f t="shared" si="74"/>
        <v>0</v>
      </c>
      <c r="CC14" s="5"/>
      <c r="CD14" s="5"/>
      <c r="CE14" s="5"/>
    </row>
    <row r="15" spans="1:83" x14ac:dyDescent="0.3">
      <c r="A15" s="43">
        <v>5400</v>
      </c>
      <c r="B15" s="44" t="s">
        <v>346</v>
      </c>
      <c r="C15" s="44">
        <f>+'2023 Nto driftsutg'!W15</f>
        <v>243329</v>
      </c>
      <c r="D15" s="59">
        <f>IF('2023 Lønnsgr pensjon tjeneste'!D15&lt;100,0,(C15/$C$17)*'2023 Revekting utgiftsbehov'!D15*'2023 Pensjon tjeneste'!D15/'2023 Lønnsgr pensjon tjeneste'!D15)</f>
        <v>1.1362935034226149E-2</v>
      </c>
      <c r="E15" s="5">
        <f>IF('2023 Lønnsgr pensjon tjeneste'!D15&lt;100,0,C15)</f>
        <v>243329</v>
      </c>
      <c r="F15" s="59">
        <f>'2023 Revekting utgiftsbehov'!D15*E15/$E$17</f>
        <v>4.8730797010759219E-2</v>
      </c>
      <c r="G15" s="59">
        <f>'2023 Revekting utgiftsbehov'!D15/$F$17</f>
        <v>1.1042840912589911</v>
      </c>
      <c r="H15" s="59">
        <f>IF(E15=0,0,(E15/$E$17)*G15*'2023 Pensjon tjeneste'!D15/'2023 Lønnsgr pensjon tjeneste'!D15)</f>
        <v>1.1362935034226153E-2</v>
      </c>
      <c r="I15" s="5">
        <f>IF(E15=0,0,'2023 Nto driftsutg landet'!$C$5*'2023 Lønnsand og pensjon landet'!$D$6*('2023 Pensjon tjeneste'!D15/'2023 Lønnsgr pensjon tjeneste'!D15-$H$17)*'2023 Revekting utgiftsbehov'!D15)</f>
        <v>353.95159288928409</v>
      </c>
      <c r="J15" s="5">
        <f t="shared" si="75"/>
        <v>86126.687146156604</v>
      </c>
      <c r="K15" s="59">
        <f>IF('2023 Lønnsgr pensjon tjeneste'!E15&lt;100,0,(C15/$C$17)*'2023 Revekting utgiftsbehov'!E15*'2023 Pensjon tjeneste'!E15/'2023 Lønnsgr pensjon tjeneste'!E15)</f>
        <v>2.4874934840125491E-2</v>
      </c>
      <c r="L15" s="5">
        <f>IF('2023 Lønnsgr pensjon tjeneste'!E15&lt;100,0,C15)</f>
        <v>243329</v>
      </c>
      <c r="M15" s="59">
        <f>'2023 Revekting utgiftsbehov'!E15*L15/$L$17</f>
        <v>9.1339134842638753E-2</v>
      </c>
      <c r="N15" s="59">
        <f>'2023 Revekting utgiftsbehov'!E15/$M$17</f>
        <v>2.0698277004132728</v>
      </c>
      <c r="O15" s="59">
        <f>IF(L15=0,0,(L15/$L$17)*N15*'2023 Pensjon tjeneste'!E15/'2023 Lønnsgr pensjon tjeneste'!E15)</f>
        <v>2.4874934840125491E-2</v>
      </c>
      <c r="P15" s="5">
        <f>IF(L15=0,0,'2023 Nto driftsutg landet'!$C$6*'2023 Lønnsand og pensjon landet'!$D$7*('2023 Pensjon tjeneste'!E15/'2023 Lønnsgr pensjon tjeneste'!E15-$O$17)*'2023 Revekting utgiftsbehov'!E15)</f>
        <v>-48.234956337359257</v>
      </c>
      <c r="Q15" s="5">
        <f t="shared" si="65"/>
        <v>-11736.963690613291</v>
      </c>
      <c r="R15" s="59">
        <f>IF('2023 Lønnsgr pensjon tjeneste'!F15&lt;100,0,(C15/$C$17)*'2023 Revekting utgiftsbehov'!F15*'2023 Pensjon tjeneste'!F15/'2023 Lønnsgr pensjon tjeneste'!F15)</f>
        <v>1.5359200266132834E-2</v>
      </c>
      <c r="S15" s="5">
        <f>IF('2023 Lønnsgr pensjon tjeneste'!F15&lt;100,0,C15)</f>
        <v>243329</v>
      </c>
      <c r="T15" s="59">
        <f>'2023 Revekting utgiftsbehov'!F15*S15/$S$17</f>
        <v>7.2841558144657106E-2</v>
      </c>
      <c r="U15" s="59">
        <f>'2023 Revekting utgiftsbehov'!F15/$T$17</f>
        <v>1.6506558229265536</v>
      </c>
      <c r="V15" s="59">
        <f>IF(S15=0,0,(S15/$S$17)*U15*'2023 Pensjon tjeneste'!F15/'2023 Lønnsgr pensjon tjeneste'!F15)</f>
        <v>1.5359200266132834E-2</v>
      </c>
      <c r="W15" s="5">
        <f>IF(S15=0,0,'2023 Nto driftsutg landet'!$C$7*'2023 Lønnsand og pensjon landet'!$D$8*('2023 Pensjon tjeneste'!F15/'2023 Lønnsgr pensjon tjeneste'!F15-$V$17)*'2023 Revekting utgiftsbehov'!F15)</f>
        <v>-2.4056064970835909</v>
      </c>
      <c r="X15" s="5">
        <f t="shared" si="66"/>
        <v>-585.35382332885308</v>
      </c>
      <c r="Y15" s="59">
        <f>IF('2023 Lønnsgr pensjon tjeneste'!G15&lt;100,0,(C15/$C$17)*'2023 Revekting utgiftsbehov'!G15*'2023 Pensjon tjeneste'!G15/'2023 Lønnsgr pensjon tjeneste'!G15)</f>
        <v>3.0743952026052505E-2</v>
      </c>
      <c r="Z15" s="5">
        <f>IF('2023 Lønnsgr pensjon tjeneste'!G15&lt;100,0,C15)</f>
        <v>243329</v>
      </c>
      <c r="AA15" s="59">
        <f>'2023 Revekting utgiftsbehov'!G15*Z15/$Z$17</f>
        <v>0.3231748603202676</v>
      </c>
      <c r="AB15" s="59">
        <f>'2023 Revekting utgiftsbehov'!G15/$AA$17</f>
        <v>1.9831348723351416</v>
      </c>
      <c r="AC15" s="59">
        <f>IF(Z15=0,0,(Z15/$Z$17)*AB15*'2023 Pensjon tjeneste'!G15/'2023 Lønnsgr pensjon tjeneste'!G15)</f>
        <v>4.3133109914181053E-2</v>
      </c>
      <c r="AD15" s="5">
        <f>IF(Z15=0,0,'2023 Nto driftsutg landet'!$C$8*'2023 Lønnsand og pensjon landet'!$D$9*('2023 Pensjon tjeneste'!G15/'2023 Lønnsgr pensjon tjeneste'!G15-$AC$17)*'2023 Revekting utgiftsbehov'!G15)</f>
        <v>-0.44555899894198242</v>
      </c>
      <c r="AE15" s="5">
        <f t="shared" si="67"/>
        <v>-108.41742565355364</v>
      </c>
      <c r="AF15" s="59">
        <f>IF('2023 Lønnsgr pensjon tjeneste'!H15&lt;100,0,(C15/$C$17)*'2023 Revekting utgiftsbehov'!H15*'2023 Pensjon tjeneste'!H15/'2023 Lønnsgr pensjon tjeneste'!H15)</f>
        <v>1.2029599675616214E-2</v>
      </c>
      <c r="AG15" s="5">
        <f>IF('2023 Lønnsgr pensjon tjeneste'!H15&lt;100,0,C15)</f>
        <v>243329</v>
      </c>
      <c r="AH15" s="59">
        <f>'2023 Revekting utgiftsbehov'!H15*AG15/$AG$17</f>
        <v>5.3831940356040629E-2</v>
      </c>
      <c r="AI15" s="59">
        <f>'2023 Revekting utgiftsbehov'!H15/$AH$17</f>
        <v>1.2198806295668334</v>
      </c>
      <c r="AJ15" s="59">
        <f>IF(AG15=0,0,(AG15/$AG$17)*AI15*'2023 Pensjon tjeneste'!H15/'2023 Lønnsgr pensjon tjeneste'!H15)</f>
        <v>1.2029599675616214E-2</v>
      </c>
      <c r="AK15" s="5">
        <f>IF(AG15=0,0,'2023 Nto driftsutg landet'!$C$9*'2023 Lønnsand og pensjon landet'!$D$10*('2023 Pensjon tjeneste'!H15/'2023 Lønnsgr pensjon tjeneste'!H15-$AJ$17)*'2023 Revekting utgiftsbehov'!H15)</f>
        <v>-6.9910987569306977</v>
      </c>
      <c r="AL15" s="5">
        <f t="shared" si="68"/>
        <v>-1701.1370694251896</v>
      </c>
      <c r="AM15" s="59">
        <f>IF('2023 Lønnsgr pensjon tjeneste'!K15&lt;100,0,(C15/$C$17)*'2023 Pensjon tjeneste'!K15/'2023 Lønnsgr pensjon tjeneste'!K15)</f>
        <v>8.0532534490021564E-3</v>
      </c>
      <c r="AN15" s="5">
        <f>IF('2023 Lønnsgr pensjon tjeneste'!K15&lt;100,0,C15)</f>
        <v>243329</v>
      </c>
      <c r="AO15" s="59">
        <f t="shared" si="53"/>
        <v>4.4128859046770656E-2</v>
      </c>
      <c r="AP15" s="59">
        <f t="shared" si="54"/>
        <v>1</v>
      </c>
      <c r="AQ15" s="59">
        <f>IF(AN15=0,0,(AN15/$AN$17)*AP15*'2023 Pensjon tjeneste'!K15/'2023 Lønnsgr pensjon tjeneste'!K15)</f>
        <v>8.0532534490021564E-3</v>
      </c>
      <c r="AR15" s="5">
        <f>IF(AN15=0,0,'2023 Nto driftsutg landet'!$C$23*'2023 Lønnsand og pensjon landet'!$D$13*('2023 Pensjon tjeneste'!K15/'2023 Lønnsgr pensjon tjeneste'!K15-$AQ$17))</f>
        <v>-101.05595122317769</v>
      </c>
      <c r="AS15" s="5">
        <f t="shared" si="69"/>
        <v>-24589.843555184601</v>
      </c>
      <c r="AT15" s="59">
        <f>IF('2023 Lønnsgr pensjon tjeneste'!L15&lt;100,0,(C15/$C$17)*'2023 Pensjon tjeneste'!L15/'2023 Lønnsgr pensjon tjeneste'!L15)</f>
        <v>2.0370230335046119E-2</v>
      </c>
      <c r="AU15" s="5">
        <f>IF('2023 Lønnsgr pensjon tjeneste'!L15&lt;100,0,C15)</f>
        <v>243329</v>
      </c>
      <c r="AV15" s="59">
        <f t="shared" si="55"/>
        <v>5.0670971971234477E-2</v>
      </c>
      <c r="AW15" s="59">
        <f t="shared" si="56"/>
        <v>1</v>
      </c>
      <c r="AX15" s="59">
        <f>IF(AU15=0,0,(AU15/$AU$17)*AW15*'2023 Pensjon tjeneste'!L15/'2023 Lønnsgr pensjon tjeneste'!L15)</f>
        <v>2.3390121400164481E-2</v>
      </c>
      <c r="AY15" s="5">
        <f>IF(AU15=0,0,'2023 Nto driftsutg landet'!$C$24*'2023 Lønnsand og pensjon landet'!$D$14*('2023 Pensjon tjeneste'!L15/'2023 Lønnsgr pensjon tjeneste'!L15-$AX$17))</f>
        <v>5.4191784080218364</v>
      </c>
      <c r="AZ15" s="5">
        <f t="shared" si="70"/>
        <v>1318.6432628455452</v>
      </c>
      <c r="BA15" s="59">
        <f>IF('2023 Lønnsgr pensjon tjeneste'!M15&lt;100,0,(C15/$C$17)*'2023 Pensjon tjeneste'!M15/'2023 Lønnsgr pensjon tjeneste'!M15)</f>
        <v>9.7117282603347444E-3</v>
      </c>
      <c r="BB15" s="5">
        <f>IF('2023 Lønnsgr pensjon tjeneste'!M15&lt;100,0,C15)</f>
        <v>243329</v>
      </c>
      <c r="BC15" s="59">
        <f t="shared" si="57"/>
        <v>5.0670971971234477E-2</v>
      </c>
      <c r="BD15" s="59">
        <f t="shared" si="58"/>
        <v>1</v>
      </c>
      <c r="BE15" s="59">
        <f>IF(BB15=0,0,(BB15/$BB$17)*BD15*'2023 Pensjon tjeneste'!M15/'2023 Lønnsgr pensjon tjeneste'!M15)</f>
        <v>1.1151494081233891E-2</v>
      </c>
      <c r="BF15" s="5">
        <f>IF(BB15=0,0,'2023 Nto driftsutg landet'!$C$25*'2023 Lønnsand og pensjon landet'!$D$15*('2023 Pensjon tjeneste'!M15/'2023 Lønnsgr pensjon tjeneste'!M15-$BE$17))</f>
        <v>-3.9683535126684211E-2</v>
      </c>
      <c r="BG15" s="5">
        <f t="shared" si="71"/>
        <v>-9.6561549188409419</v>
      </c>
      <c r="BH15" s="59">
        <f>IF('2023 Lønnsgr pensjon tjeneste'!N15&lt;100,0,(C15/$C$17)*'2023 Pensjon tjeneste'!N15/'2023 Lønnsgr pensjon tjeneste'!N15)</f>
        <v>9.5553557030049648E-3</v>
      </c>
      <c r="BI15" s="5">
        <f>IF('2023 Lønnsgr pensjon tjeneste'!N15&lt;100,0,C15)</f>
        <v>243329</v>
      </c>
      <c r="BJ15" s="59">
        <f t="shared" si="59"/>
        <v>4.4128859046770656E-2</v>
      </c>
      <c r="BK15" s="59">
        <f t="shared" si="60"/>
        <v>1</v>
      </c>
      <c r="BL15" s="59">
        <f>IF(BI15=0,0,(BI15/$BI$17)*BK15*'2023 Pensjon tjeneste'!N15/'2023 Lønnsgr pensjon tjeneste'!N15)</f>
        <v>9.5553557030049648E-3</v>
      </c>
      <c r="BM15" s="5">
        <f>IF(BI15=0,0,'2023 Nto driftsutg landet'!$C$26*'2023 Lønnsand og pensjon landet'!$D$16*('2023 Pensjon tjeneste'!N15/'2023 Lønnsgr pensjon tjeneste'!N15-$BL$17))</f>
        <v>-9.843277251992788E-2</v>
      </c>
      <c r="BN15" s="5">
        <f t="shared" si="72"/>
        <v>-23.95154810450153</v>
      </c>
      <c r="BO15" s="59">
        <f>IF('2023 Lønnsgr pensjon tjeneste'!O15&lt;100,0,(C15/$C$17)*'2023 Pensjon tjeneste'!O15/'2023 Lønnsgr pensjon tjeneste'!O15)</f>
        <v>0</v>
      </c>
      <c r="BP15" s="5">
        <f>IF('2023 Lønnsgr pensjon tjeneste'!O15&lt;100,0,C15)</f>
        <v>0</v>
      </c>
      <c r="BQ15" s="59">
        <f t="shared" si="61"/>
        <v>0</v>
      </c>
      <c r="BR15" s="59">
        <f t="shared" si="62"/>
        <v>1</v>
      </c>
      <c r="BS15" s="59">
        <f>IF(BP15=0,0,(BP15/$BP$17)*BR15*'2023 Pensjon tjeneste'!O15/'2023 Lønnsgr pensjon tjeneste'!O15)</f>
        <v>0</v>
      </c>
      <c r="BT15" s="5">
        <f>IF(BP15=0,0,'2023 Nto driftsutg landet'!$C$27*'2023 Lønnsand og pensjon landet'!$D$17*('2023 Pensjon tjeneste'!O15/'2023 Lønnsgr pensjon tjeneste'!O15-$BS$17))</f>
        <v>0</v>
      </c>
      <c r="BU15" s="5">
        <f t="shared" si="73"/>
        <v>0</v>
      </c>
      <c r="BV15" s="59">
        <f>IF('2023 Lønnsgr pensjon tjeneste'!P15&lt;100,0,(C15/$C$17)*'2023 Pensjon tjeneste'!P15/'2023 Lønnsgr pensjon tjeneste'!P15)</f>
        <v>1.0414675954242636E-2</v>
      </c>
      <c r="BW15" s="5">
        <f>IF('2023 Lønnsgr pensjon tjeneste'!P15&lt;100,0,C15)</f>
        <v>243329</v>
      </c>
      <c r="BX15" s="59">
        <f t="shared" si="63"/>
        <v>6.3856208652915289E-2</v>
      </c>
      <c r="BY15" s="59">
        <f t="shared" si="64"/>
        <v>1</v>
      </c>
      <c r="BZ15" s="59">
        <f>IF(BW15=0,0,(BW15/$BW$17)*BY15*'2023 Pensjon tjeneste'!P15/'2023 Lønnsgr pensjon tjeneste'!P15)</f>
        <v>1.5070449024792655E-2</v>
      </c>
      <c r="CA15" s="5">
        <f>IF(BW15=0,0,'2023 Nto driftsutg landet'!$C$28*'2023 Lønnsand og pensjon landet'!$D$18*('2023 Pensjon tjeneste'!P15/'2023 Lønnsgr pensjon tjeneste'!P15-$BZ$17))</f>
        <v>-7.9927882092336658E-2</v>
      </c>
      <c r="CB15" s="5">
        <f t="shared" si="74"/>
        <v>-19.448771621646184</v>
      </c>
      <c r="CC15" s="5"/>
      <c r="CD15" s="5"/>
      <c r="CE15" s="5"/>
    </row>
    <row r="16" spans="1:83" x14ac:dyDescent="0.3">
      <c r="B16" s="45"/>
      <c r="C16" s="45"/>
      <c r="D16" s="45"/>
      <c r="E16" s="45"/>
      <c r="F16" s="45"/>
      <c r="G16" s="45"/>
    </row>
    <row r="17" spans="2:83" x14ac:dyDescent="0.3">
      <c r="B17" s="44" t="s">
        <v>3</v>
      </c>
      <c r="C17" s="5">
        <f>SUM(C5:C16)</f>
        <v>5514056</v>
      </c>
      <c r="D17" s="59">
        <f>SUM(D5:D16)</f>
        <v>0.14886998204027116</v>
      </c>
      <c r="E17" s="5">
        <f>SUM(E5:E16)</f>
        <v>5514056</v>
      </c>
      <c r="F17" s="59">
        <f>SUM(F5:F16)</f>
        <v>0.99999999999999989</v>
      </c>
      <c r="G17" s="5"/>
      <c r="H17" s="59">
        <f>SUM(H5:H16)</f>
        <v>0.14886998204027116</v>
      </c>
      <c r="I17" s="5"/>
      <c r="J17" s="5">
        <f>SUM(J5:J16)</f>
        <v>-4.220055416226387E-10</v>
      </c>
      <c r="K17" s="59">
        <f>SUM(K5:K16)</f>
        <v>0.45506567316483448</v>
      </c>
      <c r="L17" s="5">
        <f>SUM(L5:L16)</f>
        <v>5514056</v>
      </c>
      <c r="M17" s="59">
        <f>SUM(M5:M16)</f>
        <v>1</v>
      </c>
      <c r="N17" s="5"/>
      <c r="O17" s="59">
        <f>SUM(O5:O16)</f>
        <v>0.45506567316483448</v>
      </c>
      <c r="P17" s="5"/>
      <c r="Q17" s="5">
        <f>SUM(Q5:Q16)</f>
        <v>0</v>
      </c>
      <c r="R17" s="59">
        <f>SUM(R5:R16)</f>
        <v>0.24688780815111736</v>
      </c>
      <c r="S17" s="5">
        <f>SUM(S5:S16)</f>
        <v>5514056</v>
      </c>
      <c r="T17" s="59">
        <f>SUM(T5:T16)</f>
        <v>1</v>
      </c>
      <c r="U17" s="5"/>
      <c r="V17" s="59">
        <f>SUM(V5:V16)</f>
        <v>0.24688780815111736</v>
      </c>
      <c r="W17" s="5"/>
      <c r="X17" s="5">
        <f>SUM(X5:X16)</f>
        <v>8.7538865045644343E-12</v>
      </c>
      <c r="Y17" s="59">
        <f>SUM(Y5:Y16)</f>
        <v>0.18368699061271368</v>
      </c>
      <c r="Z17" s="5">
        <f>SUM(Z5:Z16)</f>
        <v>2422503</v>
      </c>
      <c r="AA17" s="59">
        <f>SUM(AA5:AA16)</f>
        <v>1.6223919044163007</v>
      </c>
      <c r="AB17" s="5"/>
      <c r="AC17" s="59">
        <f>SUM(AC5:AC16)</f>
        <v>0.25770893570186942</v>
      </c>
      <c r="AD17" s="5"/>
      <c r="AE17" s="5">
        <f>SUM(AE5:AE16)</f>
        <v>-1.9895196601282805E-13</v>
      </c>
      <c r="AF17" s="59">
        <f>SUM(AF5:AF16)</f>
        <v>0.24193756186844662</v>
      </c>
      <c r="AG17" s="5">
        <f>SUM(AG5:AG16)</f>
        <v>5514056</v>
      </c>
      <c r="AH17" s="59">
        <f>SUM(AH5:AH16)</f>
        <v>1</v>
      </c>
      <c r="AI17" s="5"/>
      <c r="AJ17" s="59">
        <f>SUM(AJ5:AJ16)</f>
        <v>0.24193756186844662</v>
      </c>
      <c r="AK17" s="5"/>
      <c r="AL17" s="5">
        <f>SUM(AL5:AL16)</f>
        <v>1.9554136088117957E-11</v>
      </c>
      <c r="AM17" s="59">
        <f>SUM(AM5:AM16)</f>
        <v>0.46066458999703036</v>
      </c>
      <c r="AN17" s="5">
        <f>SUM(AN5:AN16)</f>
        <v>5514056</v>
      </c>
      <c r="AO17" s="59">
        <f>SUM(AO5:AO16)</f>
        <v>1</v>
      </c>
      <c r="AP17" s="5"/>
      <c r="AQ17" s="59">
        <f>SUM(AQ5:AQ16)</f>
        <v>0.46066458999703036</v>
      </c>
      <c r="AR17" s="5"/>
      <c r="AS17" s="5">
        <f>SUM(AS5:AS16)</f>
        <v>2.0008883439004421E-10</v>
      </c>
      <c r="AT17" s="59">
        <f>SUM(AT5:AT16)</f>
        <v>0.2742135897338045</v>
      </c>
      <c r="AU17" s="5">
        <f>SUM(AU5:AU16)</f>
        <v>4802138</v>
      </c>
      <c r="AV17" s="59">
        <f>SUM(AV5:AV16)</f>
        <v>1</v>
      </c>
      <c r="AW17" s="5"/>
      <c r="AX17" s="59">
        <f>SUM(AX5:AX16)</f>
        <v>0.31486581388398732</v>
      </c>
      <c r="AY17" s="5"/>
      <c r="AZ17" s="5">
        <f>SUM(AZ5:AZ16)</f>
        <v>-7.503331289626658E-12</v>
      </c>
      <c r="BA17" s="59">
        <f>SUM(BA5:BA16)</f>
        <v>0.18300497428113249</v>
      </c>
      <c r="BB17" s="5">
        <f>SUM(BB5:BB16)</f>
        <v>4802138</v>
      </c>
      <c r="BC17" s="59">
        <f>SUM(BC5:BC16)</f>
        <v>1</v>
      </c>
      <c r="BD17" s="5"/>
      <c r="BE17" s="59">
        <f>SUM(BE5:BE16)</f>
        <v>0.21013550140889828</v>
      </c>
      <c r="BF17" s="5"/>
      <c r="BG17" s="5">
        <f>SUM(BG5:BG16)</f>
        <v>-7.2652994731470244E-13</v>
      </c>
      <c r="BH17" s="59">
        <f>SUM(BH5:BH16)</f>
        <v>0.2198770278387219</v>
      </c>
      <c r="BI17" s="5">
        <f>SUM(BI5:BI16)</f>
        <v>5514056</v>
      </c>
      <c r="BJ17" s="59">
        <f>SUM(BJ5:BJ16)</f>
        <v>1</v>
      </c>
      <c r="BK17" s="5"/>
      <c r="BL17" s="59">
        <f>SUM(BL5:BL16)</f>
        <v>0.2198770278387219</v>
      </c>
      <c r="BM17" s="5"/>
      <c r="BN17" s="5">
        <f>SUM(BN5:BN16)</f>
        <v>-3.8831160509289475E-12</v>
      </c>
      <c r="BO17" s="59">
        <f>SUM(BO5:BO16)</f>
        <v>3.9111705556793108E-2</v>
      </c>
      <c r="BP17" s="5">
        <f>SUM(BP5:BP16)</f>
        <v>1731199</v>
      </c>
      <c r="BQ17" s="59">
        <f>SUM(BQ5:BQ16)</f>
        <v>1</v>
      </c>
      <c r="BR17" s="5"/>
      <c r="BS17" s="59">
        <f>SUM(BS5:BS16)</f>
        <v>0.1245750111313999</v>
      </c>
      <c r="BT17" s="5"/>
      <c r="BU17" s="5">
        <f>SUM(BU5:BU16)</f>
        <v>-8.8817841970012523E-15</v>
      </c>
      <c r="BV17" s="59">
        <f>SUM(BV5:BV16)</f>
        <v>0.14609004696912145</v>
      </c>
      <c r="BW17" s="5">
        <f>SUM(BW5:BW16)</f>
        <v>3810577</v>
      </c>
      <c r="BX17" s="59">
        <f>SUM(BX5:BX16)</f>
        <v>1</v>
      </c>
      <c r="BY17" s="5"/>
      <c r="BZ17" s="59">
        <f>SUM(BZ5:BZ16)</f>
        <v>0.21139809011348304</v>
      </c>
      <c r="CA17" s="59"/>
      <c r="CB17" s="5">
        <f>SUM(CB5:CB16)</f>
        <v>0</v>
      </c>
      <c r="CC17" s="5"/>
      <c r="CD17" s="5"/>
      <c r="CE17" s="5"/>
    </row>
    <row r="18" spans="2:83" x14ac:dyDescent="0.3">
      <c r="CD18" s="5"/>
    </row>
  </sheetData>
  <sheetProtection algorithmName="SHA-512" hashValue="cguDEdDUCf9I4BEvlqV5AZmQOoVnopx9Y58obo5ruNp/Jb2SZKV2QZvEh9efm8Kf2AxlFTGRlMEjTYNlveyG0w==" saltValue="5GzarvU7MVkrf+LsrvMWSA==" spinCount="100000" sheet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2"/>
  <dimension ref="B1:I80"/>
  <sheetViews>
    <sheetView showGridLines="0" workbookViewId="0">
      <selection activeCell="H22" sqref="H22"/>
    </sheetView>
  </sheetViews>
  <sheetFormatPr baseColWidth="10" defaultRowHeight="14.4" x14ac:dyDescent="0.3"/>
  <cols>
    <col min="2" max="2" width="39.5546875" customWidth="1"/>
    <col min="3" max="3" width="17.44140625" customWidth="1"/>
    <col min="4" max="4" width="24" customWidth="1"/>
    <col min="5" max="5" width="24.5546875" customWidth="1"/>
    <col min="6" max="6" width="22.88671875" customWidth="1"/>
    <col min="7" max="7" width="8.88671875" customWidth="1"/>
    <col min="8" max="8" width="30.5546875" customWidth="1"/>
    <col min="9" max="9" width="16.5546875" bestFit="1" customWidth="1"/>
  </cols>
  <sheetData>
    <row r="1" spans="2:8" ht="33" customHeight="1" x14ac:dyDescent="0.5">
      <c r="B1" s="79" t="str">
        <f>+Inngang!C5</f>
        <v>TRØNDELAG</v>
      </c>
      <c r="C1" s="106"/>
    </row>
    <row r="3" spans="2:8" x14ac:dyDescent="0.3">
      <c r="B3" s="7" t="s">
        <v>52</v>
      </c>
    </row>
    <row r="4" spans="2:8" x14ac:dyDescent="0.3">
      <c r="B4" s="7"/>
    </row>
    <row r="5" spans="2:8" ht="43.2" x14ac:dyDescent="0.3">
      <c r="B5" s="38"/>
      <c r="C5" s="18" t="s">
        <v>278</v>
      </c>
      <c r="D5" s="18" t="s">
        <v>131</v>
      </c>
    </row>
    <row r="6" spans="2:8" x14ac:dyDescent="0.3">
      <c r="B6" s="39"/>
      <c r="C6" s="37" t="s">
        <v>40</v>
      </c>
      <c r="D6" s="37" t="s">
        <v>40</v>
      </c>
    </row>
    <row r="7" spans="2:8" x14ac:dyDescent="0.3">
      <c r="B7" s="62" t="s">
        <v>139</v>
      </c>
      <c r="C7" s="64">
        <f>VLOOKUP(Inngang!$B$5,'2023 Inntektsnivå'!A5:D15,4)</f>
        <v>-491.80367963447679</v>
      </c>
      <c r="D7" s="101"/>
    </row>
    <row r="8" spans="2:8" x14ac:dyDescent="0.3">
      <c r="B8" s="62" t="s">
        <v>273</v>
      </c>
      <c r="C8" s="65">
        <f>+E31+E32+E33+E34+E35</f>
        <v>-861.66466946276103</v>
      </c>
      <c r="D8" s="74">
        <f>H31+H32+H33+H34+H35</f>
        <v>-446.47285571675798</v>
      </c>
    </row>
    <row r="9" spans="2:8" x14ac:dyDescent="0.3">
      <c r="B9" s="62" t="s">
        <v>272</v>
      </c>
      <c r="C9" s="65">
        <f>+E36</f>
        <v>411.38744651873412</v>
      </c>
      <c r="D9" s="74">
        <f t="shared" ref="D9:D12" si="0">+H36</f>
        <v>454.92100576960229</v>
      </c>
    </row>
    <row r="10" spans="2:8" x14ac:dyDescent="0.3">
      <c r="B10" s="62" t="s">
        <v>27</v>
      </c>
      <c r="C10" s="65">
        <f>+E37</f>
        <v>-15.744837311011338</v>
      </c>
      <c r="D10" s="74">
        <f t="shared" si="0"/>
        <v>-34.179581200125995</v>
      </c>
    </row>
    <row r="11" spans="2:8" x14ac:dyDescent="0.3">
      <c r="B11" s="62" t="s">
        <v>24</v>
      </c>
      <c r="C11" s="65">
        <f t="shared" ref="C11:C12" si="1">+E38</f>
        <v>536.67586536913552</v>
      </c>
      <c r="D11" s="74">
        <f t="shared" si="0"/>
        <v>563.35043577237559</v>
      </c>
    </row>
    <row r="12" spans="2:8" x14ac:dyDescent="0.3">
      <c r="B12" s="63" t="s">
        <v>25</v>
      </c>
      <c r="C12" s="66">
        <f t="shared" si="1"/>
        <v>-562.45748474857373</v>
      </c>
      <c r="D12" s="75">
        <f t="shared" si="0"/>
        <v>-537.61900462509368</v>
      </c>
    </row>
    <row r="13" spans="2:8" x14ac:dyDescent="0.3">
      <c r="B13" s="7"/>
      <c r="C13" s="5"/>
      <c r="D13" s="5"/>
    </row>
    <row r="14" spans="2:8" x14ac:dyDescent="0.3">
      <c r="B14" s="7"/>
    </row>
    <row r="16" spans="2:8" ht="43.2" x14ac:dyDescent="0.3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9" x14ac:dyDescent="0.3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9" x14ac:dyDescent="0.3">
      <c r="B18" s="62" t="s">
        <v>174</v>
      </c>
      <c r="C18" s="14">
        <f>VLOOKUP(Inngang!$B$5,'2023 Nto driftsutg eks avskriv'!$A$5:$T$15,4)*1000/VLOOKUP(Inngang!$B$5,'2023 Nto driftsutg'!$A$5:$W$15,23)*100/'2023 Nto driftsutg landet'!C5-100</f>
        <v>2.7051598706722757</v>
      </c>
      <c r="D18" s="5">
        <f>('2023 Nto driftsutg landet'!$C$5+VLOOKUP(Inngang!$B$5,'2023 Korreksjoner'!$A$5:$AS$15,3)+VLOOKUP(Inngang!$B$5,'2023 Korreksjoner'!$A$5:$AS$15,5)+VLOOKUP(Inngang!$B$5,'2023 Korreksjoner'!$A$5:$AS$15,12)+VLOOKUP(Inngang!$B$5,'2023 Korreksjoner'!$A$5:$AS$15,28))*100/'2023 Nto driftsutg landet'!C5-100</f>
        <v>1.8525836472600901</v>
      </c>
      <c r="E18" s="16">
        <f>+C18-D18</f>
        <v>0.85257622341218564</v>
      </c>
      <c r="F18" s="5">
        <f>('2023 Nto driftsutg landet'!$C$5*VLOOKUP(Inngang!$B$5,'2023 Inntektsnivå'!$A$5:$C$15,3)+VLOOKUP(Inngang!$B$5,'2023 Korreksjoner'!$A$5:$AS$15,5)+VLOOKUP(Inngang!$B$5,'2023 Korreksjoner'!$A$5:$AS$15,3)+VLOOKUP(Inngang!$B$5,'2023 Korreksjoner'!$A$5:$AS$15,12)+VLOOKUP(Inngang!$B$5,'2023 Korreksjoner'!$A$5:$AS$15,28))*100/'2023 Nto driftsutg landet'!C5-100</f>
        <v>-1.2498146184810537</v>
      </c>
      <c r="G18" s="5"/>
      <c r="H18" s="16">
        <f>+C18-F18</f>
        <v>3.9549744891533294</v>
      </c>
    </row>
    <row r="19" spans="2:9" x14ac:dyDescent="0.3">
      <c r="B19" s="62" t="s">
        <v>175</v>
      </c>
      <c r="C19" s="14">
        <f>VLOOKUP(Inngang!$B$5,'2023 Nto driftsutg eks avskriv'!$A$5:$T$15,5)*1000/VLOOKUP(Inngang!$B$5,'2023 Nto driftsutg'!$A$5:$W$15,23)*100/'2023 Nto driftsutg landet'!C6-100</f>
        <v>22.671924491159032</v>
      </c>
      <c r="D19" s="5">
        <f>('2023 Nto driftsutg landet'!$C$6+VLOOKUP(Inngang!$B$5,'2023 Korreksjoner'!$A$5:$AS$15,6)+VLOOKUP(Inngang!$B$5,'2023 Korreksjoner'!$A$5:$AS$15,13)+VLOOKUP(Inngang!$B$5,'2023 Korreksjoner'!$A$5:$AS$15,29))*100/'2023 Nto driftsutg landet'!C6-100</f>
        <v>27.091898799093059</v>
      </c>
      <c r="E19" s="16">
        <f>+C19-D19</f>
        <v>-4.4199743079340266</v>
      </c>
      <c r="F19" s="5">
        <f>('2023 Nto driftsutg landet'!$C$6*VLOOKUP(Inngang!$B$5,'2023 Inntektsnivå'!$A$5:$C$15,3)+VLOOKUP(Inngang!$B$5,'2023 Korreksjoner'!$A$5:$AS$15,6)+VLOOKUP(Inngang!$B$5,'2023 Korreksjoner'!$A$5:$AS$15,13)+VLOOKUP(Inngang!$B$5,'2023 Korreksjoner'!$A$5:$AS$15,29))*100/'2023 Nto driftsutg landet'!C6-100</f>
        <v>23.989500533351915</v>
      </c>
      <c r="G19" s="5"/>
      <c r="H19" s="16">
        <f>+C19-F19</f>
        <v>-1.3175760421928828</v>
      </c>
    </row>
    <row r="20" spans="2:9" x14ac:dyDescent="0.3">
      <c r="B20" s="32" t="s">
        <v>398</v>
      </c>
      <c r="C20" s="14">
        <f>VLOOKUP(Inngang!$B$5,'2023 Nto driftsutg eks avskriv'!$A$5:$T$15,6)*1000/VLOOKUP(Inngang!$B$5,'2023 Nto driftsutg'!$A$5:$W$15,23)*100/'2023 Nto driftsutg landet'!C7-100</f>
        <v>-17.798992632165564</v>
      </c>
      <c r="D20" s="5">
        <f>('2023 Nto driftsutg landet'!$C$7+VLOOKUP(Inngang!$B$5,'2023 Korreksjoner'!$A$5:$AS$15,7)+VLOOKUP(Inngang!$B$5,'2023 Korreksjoner'!$A$5:$AS$15,14)+VLOOKUP(Inngang!$B$5,'2023 Korreksjoner'!$A$5:$AS$15,30))*100/'2023 Nto driftsutg landet'!C7-100</f>
        <v>9.0989217632749302</v>
      </c>
      <c r="E20" s="16">
        <f>+C20-D20</f>
        <v>-26.897914395440495</v>
      </c>
      <c r="F20" s="5">
        <f>('2023 Nto driftsutg landet'!$C$7*VLOOKUP(Inngang!$B$5,'2023 Inntektsnivå'!$A$5:$C$15,3)+VLOOKUP(Inngang!$B$5,'2023 Korreksjoner'!$A$5:$AS$15,7)+VLOOKUP(Inngang!$B$5,'2023 Korreksjoner'!$A$5:$AS$15,14)+VLOOKUP(Inngang!$B$5,'2023 Korreksjoner'!$A$5:$AS$15,30))*100/'2023 Nto driftsutg landet'!C7-100</f>
        <v>5.9965234975337864</v>
      </c>
      <c r="G20" s="5"/>
      <c r="H20" s="16">
        <f>+C20-F20</f>
        <v>-23.795516129699351</v>
      </c>
    </row>
    <row r="21" spans="2:9" x14ac:dyDescent="0.3">
      <c r="B21" s="32" t="s">
        <v>359</v>
      </c>
      <c r="C21" s="14">
        <f>VLOOKUP(Inngang!$B$5,'2023 Nto driftsutg eks avskriv'!$A$5:$T$15,7)*1000/VLOOKUP(Inngang!$B$5,'2023 Nto driftsutg'!$A$5:$W$15,23)*100/'2023 Nto driftsutg landet'!C9-100</f>
        <v>7.2728975737843911</v>
      </c>
      <c r="D21" s="5">
        <f>('2023 Nto driftsutg landet'!$C$8+VLOOKUP(Inngang!$B$5,'2023 Korreksjoner'!$A$5:$AS$15,8)+VLOOKUP(Inngang!$B$5,'2023 Korreksjoner'!$A$5:$AS$15,15)+VLOOKUP(Inngang!$B$5,'2023 Korreksjoner'!$A$5:$AS$15,31))*100/'2023 Nto driftsutg landet'!C8-100</f>
        <v>5.5531534584645499</v>
      </c>
      <c r="E21" s="16">
        <f>+C21-D21</f>
        <v>1.7197441153198412</v>
      </c>
      <c r="F21" s="5">
        <f>('2023 Nto driftsutg landet'!$C$8*VLOOKUP(Inngang!$B$5,'2023 Inntektsnivå'!$A$5:$C$15,3)+VLOOKUP(Inngang!$B$5,'2023 Korreksjoner'!$A$5:$AS$15,8)+VLOOKUP(Inngang!$B$5,'2023 Korreksjoner'!$A$5:$AS$15,15)+VLOOKUP(Inngang!$B$5,'2023 Korreksjoner'!$A$5:$AS$15,31))*100/'2023 Nto driftsutg landet'!C8-100</f>
        <v>2.4507551927234204</v>
      </c>
      <c r="G21" s="5"/>
      <c r="H21" s="16">
        <f>+C21-F21</f>
        <v>4.8221423810609707</v>
      </c>
    </row>
    <row r="22" spans="2:9" x14ac:dyDescent="0.3">
      <c r="B22" s="63" t="s">
        <v>176</v>
      </c>
      <c r="C22" s="26">
        <f>VLOOKUP(Inngang!$B$5,'2023 Nto driftsutg eks avskriv'!$A$5:$T$15,8)*1000/VLOOKUP(Inngang!$B$5,'2023 Nto driftsutg'!$A$5:$W$15,23)*100/'2023 Nto driftsutg landet'!C9-100</f>
        <v>13.860758395101811</v>
      </c>
      <c r="D22" s="22">
        <f>('2023 Nto driftsutg landet'!$C$9+VLOOKUP(Inngang!$B$5,'2023 Korreksjoner'!$A$5:$AS$15,9)+VLOOKUP(Inngang!$B$5,'2023 Korreksjoner'!$A$5:$AS$15,16)+VLOOKUP(Inngang!$B$5,'2023 Korreksjoner'!$A$5:$AS$15,32))*100/'2023 Nto driftsutg landet'!C9-100</f>
        <v>0.80651198755728615</v>
      </c>
      <c r="E22" s="27">
        <f t="shared" ref="E22" si="2">+C22-D22</f>
        <v>13.054246407544525</v>
      </c>
      <c r="F22" s="22">
        <f>('2023 Nto driftsutg landet'!$C$9*VLOOKUP(Inngang!$B$5,'2023 Inntektsnivå'!$A$5:$C$15,3)+VLOOKUP(Inngang!$B$5,'2023 Korreksjoner'!$A$5:$AS$15,9)+VLOOKUP(Inngang!$B$5,'2023 Korreksjoner'!$A$5:$AS$15,16)+VLOOKUP(Inngang!$B$5,'2023 Korreksjoner'!$A$5:$AS$15,32))*100/'2023 Nto driftsutg landet'!C9-100</f>
        <v>-2.2958862781838434</v>
      </c>
      <c r="G22" s="22"/>
      <c r="H22" s="27">
        <f t="shared" ref="H22" si="3">+C22-F22</f>
        <v>16.156644673285655</v>
      </c>
    </row>
    <row r="26" spans="2:9" x14ac:dyDescent="0.3">
      <c r="B26" s="7" t="s">
        <v>35</v>
      </c>
    </row>
    <row r="28" spans="2:9" ht="43.2" x14ac:dyDescent="0.3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</row>
    <row r="29" spans="2:9" x14ac:dyDescent="0.3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9" x14ac:dyDescent="0.3">
      <c r="B30" s="83" t="s">
        <v>140</v>
      </c>
      <c r="C30" s="84">
        <f>SUM(C31:C35)</f>
        <v>13510.247961751489</v>
      </c>
      <c r="D30" s="84">
        <f>SUM(D31:D35)</f>
        <v>14371.912631214249</v>
      </c>
      <c r="E30" s="85">
        <f>SUM(E31:E35)</f>
        <v>-861.66466946276103</v>
      </c>
      <c r="F30" s="87">
        <f>SUM(F31:F35)</f>
        <v>13956.720817468249</v>
      </c>
      <c r="G30" s="84"/>
      <c r="H30" s="86">
        <f>SUM(H31:H35)</f>
        <v>-446.47285571675798</v>
      </c>
    </row>
    <row r="31" spans="2:9" x14ac:dyDescent="0.3">
      <c r="B31" s="32" t="s">
        <v>174</v>
      </c>
      <c r="C31" s="5">
        <f>VLOOKUP(Inngang!$B$5,'2023 Nto driftsutg eks avskriv'!$A$5:$T$15,4)*1000/VLOOKUP(Inngang!$B$5,'2023 Nto driftsutg'!$A$5:$W$15,23)</f>
        <v>7265.6623032780572</v>
      </c>
      <c r="D31" s="5">
        <f>+'2023 Nto driftsutg landet'!$C$5+VLOOKUP(Inngang!$B$5,'2023 Korreksjoner'!$A$5:$AS$15,5)+VLOOKUP(Inngang!$B$5,'2023 Korreksjoner'!$A$5:$I$15,3)+VLOOKUP(Inngang!$B$5,'2023 Korreksjoner'!$A$5:$AS$15,12)+VLOOKUP(Inngang!$B$5,'2023 Korreksjoner'!$A$5:$AS$15,28)</f>
        <v>7205.348576733867</v>
      </c>
      <c r="E31" s="17">
        <f>+C31-D31</f>
        <v>60.313726544190104</v>
      </c>
      <c r="F31" s="14">
        <f>+'2023 Nto driftsutg landet'!$C$5*VLOOKUP(Inngang!$B$5,'2023 Inntektsnivå'!$A$5:$C$15,3)+VLOOKUP(Inngang!$B$5,'2023 Korreksjoner'!$A$5:$AS$15,5)+VLOOKUP(Inngang!$B$5,'2023 Korreksjoner'!$A$5:$AS$15,3)+VLOOKUP(Inngang!$B$5,'2023 Korreksjoner'!$A$5:$AS$15,12)+VLOOKUP(Inngang!$B$5,'2023 Korreksjoner'!$A$5:$AS$15,28)</f>
        <v>6985.8758826887524</v>
      </c>
      <c r="G31" s="5"/>
      <c r="H31" s="16">
        <f>IF(F34=G34,C31-F31,(C31-F31)-(G34-F34)*C31/C30)</f>
        <v>279.78642058930473</v>
      </c>
      <c r="I31" s="105"/>
    </row>
    <row r="32" spans="2:9" x14ac:dyDescent="0.3">
      <c r="B32" s="32" t="s">
        <v>175</v>
      </c>
      <c r="C32" s="5">
        <f>VLOOKUP(Inngang!$B$5,'2023 Nto driftsutg eks avskriv'!$A$5:$T$15,5)*1000/VLOOKUP(Inngang!$B$5,'2023 Nto driftsutg'!$A$5:$W$15,23)</f>
        <v>2468.9543061837453</v>
      </c>
      <c r="D32" s="5">
        <f>+'2023 Nto driftsutg landet'!$C$6+VLOOKUP(Inngang!$B$5,'2023 Korreksjoner'!$A$5:$AS$15,6)+VLOOKUP(Inngang!$B$5,'2023 Korreksjoner'!$A$5:$AS$15,13)+VLOOKUP(Inngang!$B$5,'2023 Korreksjoner'!$A$5:$AS$15,29)</f>
        <v>2557.912840469899</v>
      </c>
      <c r="E32" s="17">
        <f>+C32-D32</f>
        <v>-88.958534286153736</v>
      </c>
      <c r="F32" s="14">
        <f>+'2023 Nto driftsutg landet'!$C$6*VLOOKUP(Inngang!$B$5,'2023 Inntektsnivå'!$A$5:$C$15,3)+VLOOKUP(Inngang!$B$5,'2023 Korreksjoner'!$A$5:$AS$15,6)+VLOOKUP(Inngang!$B$5,'2023 Korreksjoner'!$A$5:$AS$15,13)+VLOOKUP(Inngang!$B$5,'2023 Korreksjoner'!$A$5:$AS$15,29)</f>
        <v>2495.4724769599043</v>
      </c>
      <c r="G32" s="5"/>
      <c r="H32" s="16">
        <f>IF(F34=G34,C32-F32,(C32-F32)-(G34-F34)*C32/C30)</f>
        <v>-26.518170776158968</v>
      </c>
      <c r="I32" s="105"/>
    </row>
    <row r="33" spans="2:9" x14ac:dyDescent="0.3">
      <c r="B33" s="32" t="s">
        <v>398</v>
      </c>
      <c r="C33" s="5">
        <f>VLOOKUP(Inngang!$B$5,'2023 Nto driftsutg eks avskriv'!$A$5:$T$15,6)*1000/VLOOKUP(Inngang!$B$5,'2023 Nto driftsutg'!$A$5:$W$15,23)</f>
        <v>2401.5510878637574</v>
      </c>
      <c r="D33" s="5">
        <f>+'2023 Nto driftsutg landet'!$C$7+VLOOKUP(Inngang!$B$5,'2023 Korreksjoner'!$A$5:$AS$15,7)+VLOOKUP(Inngang!$B$5,'2023 Korreksjoner'!$A$5:$AS$15,14)+VLOOKUP(Inngang!$B$5,'2023 Korreksjoner'!$A$5:$AS$15,30)</f>
        <v>3187.3895787301508</v>
      </c>
      <c r="E33" s="17">
        <f>+C33-D33</f>
        <v>-785.83849086639339</v>
      </c>
      <c r="F33" s="14">
        <f>+'2023 Nto driftsutg landet'!$C$7*VLOOKUP(Inngang!$B$5,'2023 Inntektsnivå'!$A$5:$C$15,3)+VLOOKUP(Inngang!$B$5,'2023 Korreksjoner'!$A$5:$AS$15,7)+VLOOKUP(Inngang!$B$5,'2023 Korreksjoner'!$A$5:$AS$15,14)+VLOOKUP(Inngang!$B$5,'2023 Korreksjoner'!$A$5:$AS$15,30)</f>
        <v>3096.7511769799466</v>
      </c>
      <c r="G33" s="5"/>
      <c r="H33" s="16">
        <f>IF(F34=G34,C33-F33,(C33-F33)-(G34-F34)*(C33+C34)/C30)</f>
        <v>-695.20008911618925</v>
      </c>
      <c r="I33" s="105"/>
    </row>
    <row r="34" spans="2:9" x14ac:dyDescent="0.3">
      <c r="B34" s="32" t="s">
        <v>359</v>
      </c>
      <c r="C34" s="5">
        <f>VLOOKUP(Inngang!$B$5,'2023 Nto driftsutg eks avskriv'!$A$5:$T$15,7)*1000/VLOOKUP(Inngang!$B$5,'2023 Nto driftsutg'!$A$5:$W$15,23)</f>
        <v>666.5723081278087</v>
      </c>
      <c r="D34" s="5">
        <f>+'2023 Nto driftsutg landet'!$C$8+VLOOKUP(Inngang!$B$5,'2023 Korreksjoner'!$A$5:$AS$15,8)+VLOOKUP(Inngang!$B$5,'2023 Korreksjoner'!$A$5:$AS$15,15)+VLOOKUP(Inngang!$B$5,'2023 Korreksjoner'!$A$5:$AS$15,31)</f>
        <v>794.87015253286859</v>
      </c>
      <c r="E34" s="17">
        <f>+C34-D34</f>
        <v>-128.29784440505989</v>
      </c>
      <c r="F34" s="14">
        <f>IF(AND(C34&gt;=0.5,D34&gt;0),IF(G34&lt;10,C34,G34),0)</f>
        <v>771.5074797759836</v>
      </c>
      <c r="G34" s="5">
        <f>+'2023 Nto driftsutg landet'!$C$8*VLOOKUP(Inngang!$B$5,'2023 Inntektsnivå'!$A$5:$C$15,3)+VLOOKUP(Inngang!$B$5,'2023 Korreksjoner'!$A$5:$AS$15,8)+VLOOKUP(Inngang!$B$5,'2023 Korreksjoner'!$A$5:$AS$15,15)+VLOOKUP(Inngang!$B$5,'2023 Korreksjoner'!$A$5:$AS$15,31)</f>
        <v>771.5074797759836</v>
      </c>
      <c r="H34" s="16">
        <f>+C34-F34</f>
        <v>-104.9351716481749</v>
      </c>
      <c r="I34" s="105"/>
    </row>
    <row r="35" spans="2:9" x14ac:dyDescent="0.3">
      <c r="B35" s="33" t="s">
        <v>176</v>
      </c>
      <c r="C35" s="22">
        <f>VLOOKUP(Inngang!$B$5,'2023 Nto driftsutg eks avskriv'!$A$5:$T$15,8)*1000/VLOOKUP(Inngang!$B$5,'2023 Nto driftsutg'!$A$5:$W$15,23)</f>
        <v>707.50795629812023</v>
      </c>
      <c r="D35" s="22">
        <f>+'2023 Nto driftsutg landet'!$C$9+VLOOKUP(Inngang!$B$5,'2023 Korreksjoner'!$A$5:$AS$15,9)+VLOOKUP(Inngang!$B$5,'2023 Korreksjoner'!$A$5:$AS$15,16)+VLOOKUP(Inngang!$B$5,'2023 Korreksjoner'!$A$5:$AS$15,32)</f>
        <v>626.39148274746435</v>
      </c>
      <c r="E35" s="40">
        <f t="shared" ref="E35:E39" si="4">+C35-D35</f>
        <v>81.116473550655883</v>
      </c>
      <c r="F35" s="26">
        <f>+'2023 Nto driftsutg landet'!$C$9*VLOOKUP(Inngang!$B$5,'2023 Inntektsnivå'!$A$5:$C$15,3)+VLOOKUP(Inngang!$B$5,'2023 Korreksjoner'!$A$5:$AS$15,9)+VLOOKUP(Inngang!$B$5,'2023 Korreksjoner'!$A$5:$AS$15,16)+VLOOKUP(Inngang!$B$5,'2023 Korreksjoner'!$A$5:$AS$15,32)</f>
        <v>607.11380106365982</v>
      </c>
      <c r="G35" s="22"/>
      <c r="H35" s="27">
        <f>IF(F34=G34,C35-F35,(C35-F35)-(G34-F34)*C35/C30)</f>
        <v>100.39415523446041</v>
      </c>
      <c r="I35" s="105"/>
    </row>
    <row r="36" spans="2:9" x14ac:dyDescent="0.3">
      <c r="B36" s="32" t="s">
        <v>272</v>
      </c>
      <c r="C36" s="5">
        <f>VLOOKUP(Inngang!$B$5,'2023 Nto driftsutg eks avskriv'!$A$5:$T$15,9)*1000/VLOOKUP(Inngang!$B$5,'2023 Nto driftsutg'!$A$5:$W$15,23)</f>
        <v>1743.3503248084555</v>
      </c>
      <c r="D36" s="5">
        <f>'2023 Nto driftsutg landet'!$C$13+VLOOKUP(Inngang!$B$5,'2023 Korreksjoner'!$A$5:$AS$15,17)+VLOOKUP(Inngang!$B$5,'2023 Korreksjoner'!$A$5:$AS$15,33)+VLOOKUP(Inngang!$B$5,'2023 Korreksjoner'!$A$5:$AW$15,46)</f>
        <v>1331.9628782897214</v>
      </c>
      <c r="E36" s="17">
        <f t="shared" si="4"/>
        <v>411.38744651873412</v>
      </c>
      <c r="F36" s="14">
        <f>+'2023 Nto driftsutg landet'!$C$13*VLOOKUP(Inngang!$B$5,'2023 Inntektsnivå'!$A$5:$C$15,3)+VLOOKUP(Inngang!$B$5,'2023 Korreksjoner'!$A$5:$AS$15,17)+VLOOKUP(Inngang!$B$5,'2023 Korreksjoner'!$A$5:$AS$15,33)+VLOOKUP(Inngang!$B$5,'2023 Korreksjoner'!$A$5:$AV$15,46)</f>
        <v>1288.4293190388532</v>
      </c>
      <c r="G36" s="5"/>
      <c r="H36" s="16">
        <f t="shared" ref="H36:H39" si="5">+C36-F36</f>
        <v>454.92100576960229</v>
      </c>
    </row>
    <row r="37" spans="2:9" x14ac:dyDescent="0.3">
      <c r="B37" s="32" t="s">
        <v>27</v>
      </c>
      <c r="C37" s="5">
        <f>VLOOKUP(Inngang!$B$5,'2023 Nto driftsutg eks avskriv'!$A$5:$T$15,18)*1000/VLOOKUP(Inngang!$B$5,'2023 Nto driftsutg'!$A$5:$W$15,23)</f>
        <v>-274.20868917256581</v>
      </c>
      <c r="D37" s="5">
        <f>'2023 Nto driftsutg landet'!$C$14+VLOOKUP(Inngang!$B$5,'2023 Korreksjoner'!$A$5:$AX$15,44)</f>
        <v>-258.46385186155447</v>
      </c>
      <c r="E37" s="17">
        <f t="shared" si="4"/>
        <v>-15.744837311011338</v>
      </c>
      <c r="F37" s="14">
        <f>+'2023 Nto driftsutg landet'!$C$14*VLOOKUP(Inngang!$B$5,'2023 Inntektsnivå'!$A$5:$C$15,3)+VLOOKUP(Inngang!$B$5,'2023 Korreksjoner'!$A$5:$AX$15,44)</f>
        <v>-240.02910797243982</v>
      </c>
      <c r="G37" s="5"/>
      <c r="H37" s="16">
        <f t="shared" si="5"/>
        <v>-34.179581200125995</v>
      </c>
    </row>
    <row r="38" spans="2:9" x14ac:dyDescent="0.3">
      <c r="B38" s="32" t="s">
        <v>24</v>
      </c>
      <c r="C38" s="5">
        <f>VLOOKUP(Inngang!$B$5,'2023 Nto driftsutg eks avskriv'!$A$5:$T$15,19)*1000/VLOOKUP(Inngang!$B$5,'2023 Nto driftsutg'!$A$5:$W$15,23)</f>
        <v>1396.4807040257099</v>
      </c>
      <c r="D38" s="93">
        <f>'2023 Nto driftsutg landet'!$C$15</f>
        <v>859.80483865657436</v>
      </c>
      <c r="E38" s="94">
        <f t="shared" si="4"/>
        <v>536.67586536913552</v>
      </c>
      <c r="F38" s="95">
        <f>+'2023 Nto driftsutg landet'!$C$15*VLOOKUP(Inngang!$B$5,'2023 Inntektsnivå'!$A$5:$C$15,3)</f>
        <v>833.13026825333429</v>
      </c>
      <c r="G38" s="93"/>
      <c r="H38" s="96">
        <f t="shared" si="5"/>
        <v>563.35043577237559</v>
      </c>
      <c r="I38" s="5"/>
    </row>
    <row r="39" spans="2:9" x14ac:dyDescent="0.3">
      <c r="B39" s="33" t="s">
        <v>25</v>
      </c>
      <c r="C39" s="22">
        <f>VLOOKUP(Inngang!$B$5,'2023 Nto driftsutg eks avskriv'!$A$5:$T$15,20)*1000/VLOOKUP(Inngang!$B$5,'2023 Nto driftsutg'!$A$5:$W$15,23)</f>
        <v>238.16442114158568</v>
      </c>
      <c r="D39" s="97">
        <f>'2023 Nto driftsutg landet'!$C$16</f>
        <v>800.62190589015938</v>
      </c>
      <c r="E39" s="98">
        <f t="shared" si="4"/>
        <v>-562.45748474857373</v>
      </c>
      <c r="F39" s="99">
        <f>+'2023 Nto driftsutg landet'!$C$16*VLOOKUP(Inngang!$B$5,'2023 Inntektsnivå'!$A$5:$C$15,3)</f>
        <v>775.78342576667933</v>
      </c>
      <c r="G39" s="93"/>
      <c r="H39" s="96">
        <f t="shared" si="5"/>
        <v>-537.61900462509368</v>
      </c>
    </row>
    <row r="40" spans="2:9" x14ac:dyDescent="0.3">
      <c r="B40" s="28" t="s">
        <v>18</v>
      </c>
      <c r="C40" s="29">
        <f>SUM(C31:C39)</f>
        <v>16614.034722554672</v>
      </c>
      <c r="D40" s="30">
        <f>SUM(D31:D39)</f>
        <v>17105.838402189151</v>
      </c>
      <c r="E40" s="31">
        <f>SUM(E31:E39)</f>
        <v>-491.80367963447645</v>
      </c>
      <c r="F40" s="29">
        <f>SUM(F31:F39)</f>
        <v>16614.034722554676</v>
      </c>
      <c r="G40" s="30"/>
      <c r="H40" s="34">
        <f>SUM(H31:H39)</f>
        <v>0</v>
      </c>
    </row>
    <row r="41" spans="2:9" x14ac:dyDescent="0.3">
      <c r="C41" s="5"/>
    </row>
    <row r="42" spans="2:9" x14ac:dyDescent="0.3">
      <c r="I42" s="5"/>
    </row>
    <row r="43" spans="2:9" x14ac:dyDescent="0.3">
      <c r="B43" s="7" t="s">
        <v>36</v>
      </c>
      <c r="I43" s="5"/>
    </row>
    <row r="45" spans="2:9" ht="43.2" x14ac:dyDescent="0.3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</row>
    <row r="46" spans="2:9" x14ac:dyDescent="0.3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9" x14ac:dyDescent="0.3">
      <c r="B47" s="83" t="s">
        <v>137</v>
      </c>
      <c r="C47" s="84">
        <f>SUM(C48:C53)</f>
        <v>1743.3503248084558</v>
      </c>
      <c r="D47" s="84">
        <f>SUM(D48:D53)</f>
        <v>1331.9628782897212</v>
      </c>
      <c r="E47" s="88">
        <f>SUM(E48:E53)</f>
        <v>411.38744651873441</v>
      </c>
      <c r="F47" s="89">
        <f>SUM(F48:F53)</f>
        <v>1288.429319038853</v>
      </c>
      <c r="G47" s="84"/>
      <c r="H47" s="90">
        <f>SUM(H48:H53)</f>
        <v>454.92100576960263</v>
      </c>
    </row>
    <row r="48" spans="2:9" x14ac:dyDescent="0.3">
      <c r="B48" s="32" t="s">
        <v>4</v>
      </c>
      <c r="C48" s="5">
        <f>VLOOKUP(Inngang!$B$5,'2023 Nto driftsutg eks avskriv'!$A$5:$T$15,11)*1000/VLOOKUP(Inngang!$B$5,'2023 Nto driftsutg'!$A$5:$W$15,23)</f>
        <v>850.96068787374827</v>
      </c>
      <c r="D48" s="5">
        <f>'2023 Nto driftsutg eks avskriv'!K$17*1000/'2023 Nto driftsutg'!$W$17+VLOOKUP(Inngang!$B$5,'2023 Korreksjoner'!$A$5:$AS$15,19)+VLOOKUP(Inngang!$B$5,'2023 Korreksjoner'!$A$5:$AS$15,35)</f>
        <v>820.7770455585237</v>
      </c>
      <c r="E48" s="17">
        <f t="shared" ref="E48:E53" si="6">+C48-D48</f>
        <v>30.183642315224574</v>
      </c>
      <c r="F48" s="14">
        <f>+'2023 Nto driftsutg landet'!$C$23*VLOOKUP(Inngang!$B$5,'2023 Inntektsnivå'!$A$5:$C$15,3)+VLOOKUP(Inngang!$B$5,'2023 Korreksjoner'!$A$5:$AS$15,19)+VLOOKUP(Inngang!$B$5,'2023 Korreksjoner'!$A$5:$AS$15,35)</f>
        <v>793.17235043327071</v>
      </c>
      <c r="G48" s="5"/>
      <c r="H48" s="16">
        <f t="shared" ref="H48:H53" si="7">+C48-F48</f>
        <v>57.788337440477562</v>
      </c>
    </row>
    <row r="49" spans="2:9" x14ac:dyDescent="0.3">
      <c r="B49" s="32" t="s">
        <v>271</v>
      </c>
      <c r="C49" s="5">
        <f>VLOOKUP(Inngang!$B$5,'2023 Nto driftsutg eks avskriv'!$A$5:$T$15,12)*1000/VLOOKUP(Inngang!$B$5,'2023 Nto driftsutg'!$A$5:$W$15,23)</f>
        <v>186.84239556903404</v>
      </c>
      <c r="D49" s="5">
        <f>'2023 Nto driftsutg eks avskriv'!L$17*1000/'2023 Nto driftsutg'!$W$17+VLOOKUP(Inngang!$B$5,'2023 Korreksjoner'!$A$5:$AS$15,20)+VLOOKUP(Inngang!$B$5,'2023 Korreksjoner'!$A$5:$AS$15,36)</f>
        <v>231.45297545475461</v>
      </c>
      <c r="E49" s="17">
        <f t="shared" si="6"/>
        <v>-44.610579885720568</v>
      </c>
      <c r="F49" s="14">
        <f>+'2023 Nto driftsutg landet'!$C$24*VLOOKUP(Inngang!$B$5,'2023 Inntektsnivå'!$A$5:$C$15,3)+VLOOKUP(Inngang!$B$5,'2023 Korreksjoner'!$A$5:$AS$15,20)+VLOOKUP(Inngang!$B$5,'2023 Korreksjoner'!$A$5:$AS$15,36)</f>
        <v>224.23959015044585</v>
      </c>
      <c r="G49" s="5"/>
      <c r="H49" s="16">
        <f t="shared" si="7"/>
        <v>-37.39719458141181</v>
      </c>
    </row>
    <row r="50" spans="2:9" x14ac:dyDescent="0.3">
      <c r="B50" s="32" t="s">
        <v>37</v>
      </c>
      <c r="C50" s="5">
        <f>VLOOKUP(Inngang!$B$5,'2023 Nto driftsutg eks avskriv'!$A$5:$T$15,13)*1000/VLOOKUP(Inngang!$B$5,'2023 Nto driftsutg'!$A$5:$W$15,23)</f>
        <v>190.09776515963591</v>
      </c>
      <c r="D50" s="5">
        <f>'2023 Nto driftsutg eks avskriv'!M$17*1000/'2023 Nto driftsutg'!$W$17+VLOOKUP(Inngang!$B$5,'2023 Korreksjoner'!$A$5:$AS$15,21)+VLOOKUP(Inngang!$B$5,'2023 Korreksjoner'!$A$5:$AS$15,37)</f>
        <v>-47.458527846966419</v>
      </c>
      <c r="E50" s="17">
        <f t="shared" si="6"/>
        <v>237.55629300660235</v>
      </c>
      <c r="F50" s="14">
        <f>+'2023 Nto driftsutg landet'!$C$25*VLOOKUP(Inngang!$B$5,'2023 Inntektsnivå'!$A$5:$C$15,3)+VLOOKUP(Inngang!$B$5,'2023 Korreksjoner'!$A$5:$AS$15,21)+VLOOKUP(Inngang!$B$5,'2023 Korreksjoner'!$A$5:$AS$15,37)</f>
        <v>-45.980897679016003</v>
      </c>
      <c r="G50" s="5"/>
      <c r="H50" s="16">
        <f t="shared" si="7"/>
        <v>236.07866283865192</v>
      </c>
    </row>
    <row r="51" spans="2:9" x14ac:dyDescent="0.3">
      <c r="B51" s="32" t="s">
        <v>178</v>
      </c>
      <c r="C51" s="5">
        <f>VLOOKUP(Inngang!$B$5,'2023 Nto driftsutg eks avskriv'!$A$5:$T$15,14)*1000/VLOOKUP(Inngang!$B$5,'2023 Nto driftsutg'!$A$5:$W$15,23)</f>
        <v>515.44531332932308</v>
      </c>
      <c r="D51" s="5">
        <f>'2023 Nto driftsutg eks avskriv'!N$17*1000/'2023 Nto driftsutg'!$W$17+VLOOKUP(Inngang!$B$5,'2023 Korreksjoner'!$A$5:$AS$15,22)+VLOOKUP(Inngang!$B$5,'2023 Korreksjoner'!$A$5:$AS$15,38)</f>
        <v>375.68291295700408</v>
      </c>
      <c r="E51" s="17">
        <f t="shared" si="6"/>
        <v>139.76240037231901</v>
      </c>
      <c r="F51" s="14">
        <f>+'2023 Nto driftsutg landet'!$C$26*VLOOKUP(Inngang!$B$5,'2023 Inntektsnivå'!$A$5:$C$15,3)+VLOOKUP(Inngang!$B$5,'2023 Korreksjoner'!$A$5:$AS$15,22)+VLOOKUP(Inngang!$B$5,'2023 Korreksjoner'!$A$5:$AS$15,38)</f>
        <v>363.98540364920638</v>
      </c>
      <c r="G51" s="5"/>
      <c r="H51" s="16">
        <f t="shared" si="7"/>
        <v>151.45990968011671</v>
      </c>
    </row>
    <row r="52" spans="2:9" x14ac:dyDescent="0.3">
      <c r="B52" s="32" t="s">
        <v>138</v>
      </c>
      <c r="C52" s="5">
        <f>VLOOKUP(Inngang!$B$5,'2023 Nto driftsutg eks avskriv'!$A$5:$T$15,15)*1000/VLOOKUP(Inngang!$B$5,'2023 Nto driftsutg'!$A$5:$W$15,23)</f>
        <v>0</v>
      </c>
      <c r="D52" s="5">
        <f>'2023 Nto driftsutg eks avskriv'!O17*1000/'2023 Nto driftsutg'!$W$17+VLOOKUP(Inngang!$B$5,'2023 Korreksjoner'!$A$5:$AS$15,23)+VLOOKUP(Inngang!$B$5,'2023 Korreksjoner'!$A$5:$AS$15,39)</f>
        <v>0.86995852055184064</v>
      </c>
      <c r="E52" s="17">
        <f t="shared" si="6"/>
        <v>-0.86995852055184064</v>
      </c>
      <c r="F52" s="14">
        <f>'2023 Nto driftsutg landet'!$C$27*VLOOKUP(Inngang!$B$5,'2023 Inntektsnivå'!$A$5:$C$15,3)+VLOOKUP(Inngang!$B$5,'2023 Korreksjoner'!$A$5:$AS$15,23)+VLOOKUP(Inngang!$B$5,'2023 Korreksjoner'!$A$5:$AS$15,39)</f>
        <v>0.84296894249757304</v>
      </c>
      <c r="G52" s="5"/>
      <c r="H52" s="16">
        <f t="shared" si="7"/>
        <v>-0.84296894249757304</v>
      </c>
    </row>
    <row r="53" spans="2:9" x14ac:dyDescent="0.3">
      <c r="B53" s="61" t="s">
        <v>129</v>
      </c>
      <c r="C53" s="22">
        <f>VLOOKUP(Inngang!$B$5,'2023 Nto driftsutg eks avskriv'!$A$5:$T$15,16)*1000/VLOOKUP(Inngang!$B$5,'2023 Nto driftsutg'!$A$5:$W$15,23)</f>
        <v>4.1628767143246665E-3</v>
      </c>
      <c r="D53" s="22">
        <f>'2023 Nto driftsutg eks avskriv'!P17*1000/'2023 Nto driftsutg'!$W$17+VLOOKUP(Inngang!$B$5,'2023 Korreksjoner'!$A$5:$AS$15,24)+VLOOKUP(Inngang!$B$5,'2023 Korreksjoner'!$A$5:$AS$15,40)</f>
        <v>-49.361486354146564</v>
      </c>
      <c r="E53" s="40">
        <f t="shared" si="6"/>
        <v>49.365649230860889</v>
      </c>
      <c r="F53" s="26">
        <f>'2023 Nto driftsutg landet'!$C$28*VLOOKUP(Inngang!$B$5,'2023 Inntektsnivå'!$A$5:$C$15,3)+VLOOKUP(Inngang!$B$5,'2023 Korreksjoner'!$A$5:$AS$15,24)+VLOOKUP(Inngang!$B$5,'2023 Korreksjoner'!$A$5:$AS$15,40)</f>
        <v>-47.83009645755147</v>
      </c>
      <c r="G53" s="22"/>
      <c r="H53" s="27">
        <f t="shared" si="7"/>
        <v>47.834259334265795</v>
      </c>
    </row>
    <row r="54" spans="2:9" x14ac:dyDescent="0.3">
      <c r="B54" s="28" t="s">
        <v>137</v>
      </c>
      <c r="C54" s="30">
        <f>SUM(C48:C53)</f>
        <v>1743.3503248084558</v>
      </c>
      <c r="D54" s="30">
        <f>SUM(D48:D53)</f>
        <v>1331.9628782897212</v>
      </c>
      <c r="E54" s="31">
        <f>SUM(E48:E53)</f>
        <v>411.38744651873441</v>
      </c>
      <c r="F54" s="29">
        <f>SUM(F48:F53)</f>
        <v>1288.429319038853</v>
      </c>
      <c r="G54" s="30"/>
      <c r="H54" s="34">
        <f>SUM(H48:H53)</f>
        <v>454.92100576960263</v>
      </c>
      <c r="I54" s="5"/>
    </row>
    <row r="55" spans="2:9" x14ac:dyDescent="0.3">
      <c r="I55" s="5"/>
    </row>
    <row r="56" spans="2:9" x14ac:dyDescent="0.3">
      <c r="I56" s="5"/>
    </row>
    <row r="57" spans="2:9" x14ac:dyDescent="0.3">
      <c r="I57" s="5"/>
    </row>
    <row r="58" spans="2:9" x14ac:dyDescent="0.3">
      <c r="B58" s="38" t="s">
        <v>128</v>
      </c>
      <c r="C58" s="20" t="s">
        <v>274</v>
      </c>
      <c r="D58" s="67" t="s">
        <v>3</v>
      </c>
      <c r="I58" s="5"/>
    </row>
    <row r="59" spans="2:9" x14ac:dyDescent="0.3">
      <c r="B59" s="62" t="s">
        <v>174</v>
      </c>
      <c r="C59" s="70">
        <f>VLOOKUP(Inngang!$B$5,'2023 Revekting utgiftsbehov'!$A$5:$I$15,4)</f>
        <v>1.0195042229505571</v>
      </c>
      <c r="D59" s="68">
        <v>1</v>
      </c>
      <c r="I59" s="5"/>
    </row>
    <row r="60" spans="2:9" x14ac:dyDescent="0.3">
      <c r="B60" s="62" t="s">
        <v>175</v>
      </c>
      <c r="C60" s="70">
        <f>VLOOKUP(Inngang!$B$5,'2023 Revekting utgiftsbehov'!$A$5:$I$15,5)</f>
        <v>1.2666523308794941</v>
      </c>
      <c r="D60" s="68">
        <v>1</v>
      </c>
      <c r="I60" s="5"/>
    </row>
    <row r="61" spans="2:9" x14ac:dyDescent="0.3">
      <c r="B61" s="32" t="s">
        <v>398</v>
      </c>
      <c r="C61" s="70">
        <f>VLOOKUP(Inngang!$B$5,'2023 Revekting utgiftsbehov'!$A$5:$I$15,6)</f>
        <v>1.0917317827078288</v>
      </c>
      <c r="D61" s="68">
        <v>1</v>
      </c>
      <c r="I61" s="5"/>
    </row>
    <row r="62" spans="2:9" x14ac:dyDescent="0.3">
      <c r="B62" s="32" t="s">
        <v>359</v>
      </c>
      <c r="C62" s="70">
        <f>VLOOKUP(Inngang!$B$5,'2023 Revekting utgiftsbehov'!$A$5:$I$15,7)</f>
        <v>1.0558842371923283</v>
      </c>
      <c r="D62" s="68">
        <v>1</v>
      </c>
      <c r="I62" s="5"/>
    </row>
    <row r="63" spans="2:9" x14ac:dyDescent="0.3">
      <c r="B63" s="63" t="s">
        <v>176</v>
      </c>
      <c r="C63" s="71">
        <f>VLOOKUP(Inngang!$B$5,'2023 Revekting utgiftsbehov'!$A$5:$I$15,8)</f>
        <v>1.0416844885673895</v>
      </c>
      <c r="D63" s="69">
        <v>1</v>
      </c>
      <c r="I63" s="5"/>
    </row>
    <row r="64" spans="2:9" x14ac:dyDescent="0.3">
      <c r="B64" s="80" t="s">
        <v>133</v>
      </c>
      <c r="C64" s="81">
        <f>+VLOOKUP(Inngang!$B$5,'2023 Revekting utgiftsbehov'!$A$5:$I$15,9)</f>
        <v>1.0865235188462492</v>
      </c>
      <c r="D64" s="82">
        <v>1</v>
      </c>
      <c r="I64" s="5"/>
    </row>
    <row r="65" spans="2:9" x14ac:dyDescent="0.3">
      <c r="I65" s="5"/>
    </row>
    <row r="66" spans="2:9" x14ac:dyDescent="0.3">
      <c r="I66" s="5"/>
    </row>
    <row r="67" spans="2:9" x14ac:dyDescent="0.3">
      <c r="I67" s="5"/>
    </row>
    <row r="68" spans="2:9" ht="28.8" x14ac:dyDescent="0.3">
      <c r="B68" s="73" t="s">
        <v>130</v>
      </c>
      <c r="C68" s="76" t="s">
        <v>275</v>
      </c>
      <c r="D68" s="76" t="s">
        <v>276</v>
      </c>
    </row>
    <row r="69" spans="2:9" x14ac:dyDescent="0.3">
      <c r="B69" s="32" t="s">
        <v>139</v>
      </c>
      <c r="C69" s="74">
        <f>SUM(C70:C78)</f>
        <v>761.66383048328225</v>
      </c>
    </row>
    <row r="70" spans="2:9" x14ac:dyDescent="0.3">
      <c r="B70" s="32" t="s">
        <v>174</v>
      </c>
      <c r="C70" s="74">
        <f>+C31-'2023 Nto driftsutg landet'!$C5</f>
        <v>191.37089238197586</v>
      </c>
    </row>
    <row r="71" spans="2:9" x14ac:dyDescent="0.3">
      <c r="B71" s="32" t="s">
        <v>175</v>
      </c>
      <c r="C71" s="74">
        <f>+C32-'2023 Nto driftsutg landet'!$C6</f>
        <v>456.30608498323522</v>
      </c>
    </row>
    <row r="72" spans="2:9" x14ac:dyDescent="0.3">
      <c r="B72" s="32" t="s">
        <v>398</v>
      </c>
      <c r="C72" s="74">
        <f>+C33-'2023 Nto driftsutg landet'!$C7</f>
        <v>-520.00810558658122</v>
      </c>
    </row>
    <row r="73" spans="2:9" x14ac:dyDescent="0.3">
      <c r="B73" s="32" t="s">
        <v>359</v>
      </c>
      <c r="C73" s="74">
        <f>+C34-'2023 Nto driftsutg landet'!$C8</f>
        <v>-86.479710204975731</v>
      </c>
    </row>
    <row r="74" spans="2:9" x14ac:dyDescent="0.3">
      <c r="B74" s="32" t="s">
        <v>176</v>
      </c>
      <c r="C74" s="74">
        <f>+C35-'2023 Nto driftsutg landet'!$C9</f>
        <v>86.12797756740008</v>
      </c>
    </row>
    <row r="75" spans="2:9" x14ac:dyDescent="0.3">
      <c r="B75" s="32" t="s">
        <v>127</v>
      </c>
      <c r="C75" s="74">
        <f>+C36-'2023 Nto driftsutg landet'!$C13</f>
        <v>340.1275428853121</v>
      </c>
    </row>
    <row r="76" spans="2:9" x14ac:dyDescent="0.3">
      <c r="B76" s="32" t="s">
        <v>27</v>
      </c>
      <c r="C76" s="74">
        <f>+C37-'2023 Nto driftsutg landet'!$C14</f>
        <v>320.0007678363541</v>
      </c>
    </row>
    <row r="77" spans="2:9" x14ac:dyDescent="0.3">
      <c r="B77" s="32" t="s">
        <v>24</v>
      </c>
      <c r="C77" s="74">
        <f>+C38-'2023 Nto driftsutg landet'!$C15</f>
        <v>536.67586536913552</v>
      </c>
    </row>
    <row r="78" spans="2:9" x14ac:dyDescent="0.3">
      <c r="B78" s="33" t="s">
        <v>25</v>
      </c>
      <c r="C78" s="75">
        <f>+C39-'2023 Nto driftsutg landet'!$C16</f>
        <v>-562.45748474857373</v>
      </c>
    </row>
    <row r="80" spans="2:9" x14ac:dyDescent="0.3">
      <c r="E80" s="5"/>
    </row>
  </sheetData>
  <sheetProtection algorithmName="SHA-512" hashValue="tPE8O08zAmoWBR7v5HX5HQBA2sSGMTWSHubr2b2koIinQ8Vnu9abBfKh+ecDwWrxaIIMJ67DrR7ncQZY4/ESaw==" saltValue="1nOuKBHMAfXuj5IEJcglnw==" spinCount="100000" sheet="1" selectLockedCells="1" selectUnlockedCell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20"/>
  <dimension ref="A1:CE18"/>
  <sheetViews>
    <sheetView zoomScale="80" zoomScaleNormal="8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5" width="12" customWidth="1"/>
    <col min="6" max="6" width="13.44140625" customWidth="1"/>
    <col min="7" max="7" width="13.5546875" customWidth="1"/>
    <col min="8" max="8" width="14.44140625" customWidth="1"/>
    <col min="9" max="9" width="14.109375" customWidth="1"/>
    <col min="10" max="14" width="15.44140625" customWidth="1"/>
    <col min="15" max="15" width="14.44140625" customWidth="1"/>
    <col min="16" max="16" width="12.44140625" customWidth="1"/>
    <col min="17" max="21" width="15.44140625" customWidth="1"/>
    <col min="22" max="22" width="14.44140625" customWidth="1"/>
    <col min="23" max="23" width="13.44140625" customWidth="1"/>
    <col min="24" max="35" width="15.44140625" customWidth="1"/>
    <col min="36" max="36" width="14.44140625" customWidth="1"/>
    <col min="37" max="37" width="13.44140625" customWidth="1"/>
    <col min="38" max="42" width="15.44140625" customWidth="1"/>
    <col min="43" max="43" width="14.44140625" customWidth="1"/>
    <col min="44" max="44" width="13.44140625" customWidth="1"/>
    <col min="45" max="49" width="15.44140625" customWidth="1"/>
    <col min="50" max="50" width="14.44140625" customWidth="1"/>
    <col min="51" max="51" width="13.44140625" customWidth="1"/>
    <col min="52" max="56" width="15.44140625" customWidth="1"/>
    <col min="57" max="57" width="14.44140625" customWidth="1"/>
    <col min="58" max="58" width="13.44140625" customWidth="1"/>
    <col min="59" max="63" width="15.44140625" customWidth="1"/>
    <col min="64" max="64" width="14.44140625" customWidth="1"/>
    <col min="65" max="65" width="13.44140625" customWidth="1"/>
    <col min="66" max="70" width="15.44140625" customWidth="1"/>
    <col min="71" max="71" width="14.44140625" customWidth="1"/>
    <col min="72" max="72" width="13.44140625" customWidth="1"/>
    <col min="73" max="77" width="15.44140625" customWidth="1"/>
    <col min="78" max="78" width="14.44140625" customWidth="1"/>
    <col min="79" max="79" width="13.44140625" customWidth="1"/>
    <col min="80" max="80" width="15.44140625" customWidth="1"/>
    <col min="81" max="81" width="14.44140625" customWidth="1"/>
    <col min="82" max="82" width="13.44140625" customWidth="1"/>
    <col min="83" max="83" width="15.44140625" customWidth="1"/>
  </cols>
  <sheetData>
    <row r="1" spans="1:83" x14ac:dyDescent="0.3">
      <c r="H1" s="58"/>
      <c r="CB1" s="5"/>
    </row>
    <row r="2" spans="1:83" ht="79.8" x14ac:dyDescent="0.3">
      <c r="A2" s="24" t="s">
        <v>2</v>
      </c>
      <c r="B2" s="24" t="s">
        <v>1</v>
      </c>
      <c r="C2" s="24" t="s">
        <v>348</v>
      </c>
      <c r="D2" s="24" t="s">
        <v>282</v>
      </c>
      <c r="E2" s="24" t="s">
        <v>283</v>
      </c>
      <c r="F2" s="24" t="s">
        <v>285</v>
      </c>
      <c r="G2" s="24" t="s">
        <v>284</v>
      </c>
      <c r="H2" s="24" t="s">
        <v>286</v>
      </c>
      <c r="I2" s="24" t="s">
        <v>231</v>
      </c>
      <c r="J2" s="24" t="s">
        <v>230</v>
      </c>
      <c r="K2" s="108" t="s">
        <v>287</v>
      </c>
      <c r="L2" s="108" t="s">
        <v>288</v>
      </c>
      <c r="M2" s="108" t="s">
        <v>289</v>
      </c>
      <c r="N2" s="108" t="s">
        <v>290</v>
      </c>
      <c r="O2" s="108" t="s">
        <v>291</v>
      </c>
      <c r="P2" s="108" t="s">
        <v>233</v>
      </c>
      <c r="Q2" s="108" t="s">
        <v>232</v>
      </c>
      <c r="R2" s="24" t="s">
        <v>376</v>
      </c>
      <c r="S2" s="24" t="s">
        <v>377</v>
      </c>
      <c r="T2" s="24" t="s">
        <v>378</v>
      </c>
      <c r="U2" s="24" t="s">
        <v>397</v>
      </c>
      <c r="V2" s="24" t="s">
        <v>380</v>
      </c>
      <c r="W2" s="24" t="s">
        <v>381</v>
      </c>
      <c r="X2" s="24" t="s">
        <v>382</v>
      </c>
      <c r="Y2" s="108" t="s">
        <v>383</v>
      </c>
      <c r="Z2" s="108" t="s">
        <v>384</v>
      </c>
      <c r="AA2" s="108" t="s">
        <v>385</v>
      </c>
      <c r="AB2" s="108" t="s">
        <v>386</v>
      </c>
      <c r="AC2" s="108" t="s">
        <v>387</v>
      </c>
      <c r="AD2" s="108" t="s">
        <v>388</v>
      </c>
      <c r="AE2" s="108" t="s">
        <v>389</v>
      </c>
      <c r="AF2" s="24" t="s">
        <v>292</v>
      </c>
      <c r="AG2" s="24" t="s">
        <v>293</v>
      </c>
      <c r="AH2" s="24" t="s">
        <v>294</v>
      </c>
      <c r="AI2" s="24" t="s">
        <v>295</v>
      </c>
      <c r="AJ2" s="24" t="s">
        <v>296</v>
      </c>
      <c r="AK2" s="24" t="s">
        <v>297</v>
      </c>
      <c r="AL2" s="24" t="s">
        <v>298</v>
      </c>
      <c r="AM2" s="108" t="s">
        <v>299</v>
      </c>
      <c r="AN2" s="108" t="s">
        <v>300</v>
      </c>
      <c r="AO2" s="108" t="s">
        <v>301</v>
      </c>
      <c r="AP2" s="108" t="s">
        <v>302</v>
      </c>
      <c r="AQ2" s="108" t="s">
        <v>303</v>
      </c>
      <c r="AR2" s="108" t="s">
        <v>235</v>
      </c>
      <c r="AS2" s="108" t="s">
        <v>234</v>
      </c>
      <c r="AT2" s="24" t="s">
        <v>304</v>
      </c>
      <c r="AU2" s="24" t="s">
        <v>305</v>
      </c>
      <c r="AV2" s="24" t="s">
        <v>306</v>
      </c>
      <c r="AW2" s="24" t="s">
        <v>307</v>
      </c>
      <c r="AX2" s="24" t="s">
        <v>308</v>
      </c>
      <c r="AY2" s="24" t="s">
        <v>309</v>
      </c>
      <c r="AZ2" s="24" t="s">
        <v>310</v>
      </c>
      <c r="BA2" s="108" t="s">
        <v>311</v>
      </c>
      <c r="BB2" s="108" t="s">
        <v>312</v>
      </c>
      <c r="BC2" s="108" t="s">
        <v>313</v>
      </c>
      <c r="BD2" s="108" t="s">
        <v>314</v>
      </c>
      <c r="BE2" s="108" t="s">
        <v>315</v>
      </c>
      <c r="BF2" s="108" t="s">
        <v>237</v>
      </c>
      <c r="BG2" s="108" t="s">
        <v>236</v>
      </c>
      <c r="BH2" s="24" t="s">
        <v>316</v>
      </c>
      <c r="BI2" s="24" t="s">
        <v>317</v>
      </c>
      <c r="BJ2" s="24" t="s">
        <v>318</v>
      </c>
      <c r="BK2" s="24" t="s">
        <v>319</v>
      </c>
      <c r="BL2" s="24" t="s">
        <v>320</v>
      </c>
      <c r="BM2" s="24" t="s">
        <v>239</v>
      </c>
      <c r="BN2" s="24" t="s">
        <v>238</v>
      </c>
      <c r="BO2" s="108" t="s">
        <v>321</v>
      </c>
      <c r="BP2" s="108" t="s">
        <v>322</v>
      </c>
      <c r="BQ2" s="108" t="s">
        <v>323</v>
      </c>
      <c r="BR2" s="108" t="s">
        <v>324</v>
      </c>
      <c r="BS2" s="108" t="s">
        <v>325</v>
      </c>
      <c r="BT2" s="108" t="s">
        <v>326</v>
      </c>
      <c r="BU2" s="108" t="s">
        <v>327</v>
      </c>
      <c r="BV2" s="24" t="s">
        <v>328</v>
      </c>
      <c r="BW2" s="24" t="s">
        <v>329</v>
      </c>
      <c r="BX2" s="24" t="s">
        <v>330</v>
      </c>
      <c r="BY2" s="24" t="s">
        <v>331</v>
      </c>
      <c r="BZ2" s="24" t="s">
        <v>332</v>
      </c>
      <c r="CA2" s="24" t="s">
        <v>333</v>
      </c>
      <c r="CB2" s="24" t="s">
        <v>334</v>
      </c>
      <c r="CC2" s="108"/>
      <c r="CD2" s="108"/>
      <c r="CE2" s="108"/>
    </row>
    <row r="3" spans="1:83" x14ac:dyDescent="0.3">
      <c r="A3" s="107">
        <v>1</v>
      </c>
      <c r="B3" s="107">
        <f>+A3+1</f>
        <v>2</v>
      </c>
      <c r="C3" s="107">
        <f t="shared" ref="C3:BN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9">
        <f t="shared" si="0"/>
        <v>11</v>
      </c>
      <c r="L3" s="109">
        <f t="shared" si="0"/>
        <v>12</v>
      </c>
      <c r="M3" s="109">
        <f t="shared" si="0"/>
        <v>13</v>
      </c>
      <c r="N3" s="109">
        <f t="shared" si="0"/>
        <v>14</v>
      </c>
      <c r="O3" s="109">
        <f t="shared" si="0"/>
        <v>15</v>
      </c>
      <c r="P3" s="109">
        <f t="shared" si="0"/>
        <v>16</v>
      </c>
      <c r="Q3" s="109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>+U3+1</f>
        <v>22</v>
      </c>
      <c r="W3" s="107">
        <f t="shared" si="0"/>
        <v>23</v>
      </c>
      <c r="X3" s="107">
        <f t="shared" si="0"/>
        <v>24</v>
      </c>
      <c r="Y3" s="109">
        <f t="shared" si="0"/>
        <v>25</v>
      </c>
      <c r="Z3" s="109">
        <f t="shared" si="0"/>
        <v>26</v>
      </c>
      <c r="AA3" s="109">
        <f t="shared" si="0"/>
        <v>27</v>
      </c>
      <c r="AB3" s="109">
        <f t="shared" si="0"/>
        <v>28</v>
      </c>
      <c r="AC3" s="109">
        <f t="shared" si="0"/>
        <v>29</v>
      </c>
      <c r="AD3" s="109">
        <f t="shared" si="0"/>
        <v>30</v>
      </c>
      <c r="AE3" s="109">
        <f t="shared" si="0"/>
        <v>31</v>
      </c>
      <c r="AF3" s="107">
        <f t="shared" si="0"/>
        <v>32</v>
      </c>
      <c r="AG3" s="107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9">
        <f t="shared" si="0"/>
        <v>39</v>
      </c>
      <c r="AN3" s="109">
        <f t="shared" si="0"/>
        <v>40</v>
      </c>
      <c r="AO3" s="109">
        <f t="shared" si="0"/>
        <v>41</v>
      </c>
      <c r="AP3" s="109">
        <f t="shared" si="0"/>
        <v>42</v>
      </c>
      <c r="AQ3" s="109">
        <f t="shared" si="0"/>
        <v>43</v>
      </c>
      <c r="AR3" s="109">
        <f t="shared" si="0"/>
        <v>44</v>
      </c>
      <c r="AS3" s="109">
        <f t="shared" si="0"/>
        <v>45</v>
      </c>
      <c r="AT3" s="107">
        <f t="shared" si="0"/>
        <v>46</v>
      </c>
      <c r="AU3" s="107">
        <f t="shared" si="0"/>
        <v>47</v>
      </c>
      <c r="AV3" s="107">
        <f t="shared" si="0"/>
        <v>48</v>
      </c>
      <c r="AW3" s="107">
        <f t="shared" si="0"/>
        <v>49</v>
      </c>
      <c r="AX3" s="107">
        <f t="shared" si="0"/>
        <v>50</v>
      </c>
      <c r="AY3" s="107">
        <f t="shared" si="0"/>
        <v>51</v>
      </c>
      <c r="AZ3" s="107">
        <f t="shared" si="0"/>
        <v>52</v>
      </c>
      <c r="BA3" s="109">
        <f t="shared" si="0"/>
        <v>53</v>
      </c>
      <c r="BB3" s="109">
        <f t="shared" si="0"/>
        <v>54</v>
      </c>
      <c r="BC3" s="109">
        <f t="shared" si="0"/>
        <v>55</v>
      </c>
      <c r="BD3" s="109">
        <f t="shared" si="0"/>
        <v>56</v>
      </c>
      <c r="BE3" s="109">
        <f t="shared" si="0"/>
        <v>57</v>
      </c>
      <c r="BF3" s="109">
        <f t="shared" si="0"/>
        <v>58</v>
      </c>
      <c r="BG3" s="109">
        <f t="shared" si="0"/>
        <v>59</v>
      </c>
      <c r="BH3" s="107">
        <f t="shared" si="0"/>
        <v>60</v>
      </c>
      <c r="BI3" s="107">
        <f t="shared" si="0"/>
        <v>61</v>
      </c>
      <c r="BJ3" s="107">
        <f t="shared" si="0"/>
        <v>62</v>
      </c>
      <c r="BK3" s="107">
        <f t="shared" si="0"/>
        <v>63</v>
      </c>
      <c r="BL3" s="107">
        <f t="shared" si="0"/>
        <v>64</v>
      </c>
      <c r="BM3" s="107">
        <f t="shared" si="0"/>
        <v>65</v>
      </c>
      <c r="BN3" s="107">
        <f t="shared" si="0"/>
        <v>66</v>
      </c>
      <c r="BO3" s="109">
        <f t="shared" ref="BO3:BR3" si="1">+BN3+1</f>
        <v>67</v>
      </c>
      <c r="BP3" s="109">
        <f t="shared" si="1"/>
        <v>68</v>
      </c>
      <c r="BQ3" s="109">
        <f t="shared" si="1"/>
        <v>69</v>
      </c>
      <c r="BR3" s="109">
        <f t="shared" si="1"/>
        <v>70</v>
      </c>
      <c r="BS3" s="109">
        <f>+BN3+1</f>
        <v>67</v>
      </c>
      <c r="BT3" s="109">
        <f t="shared" ref="BT3:CE3" si="2">+BS3+1</f>
        <v>68</v>
      </c>
      <c r="BU3" s="109">
        <f t="shared" si="2"/>
        <v>69</v>
      </c>
      <c r="BV3" s="107">
        <f t="shared" si="2"/>
        <v>70</v>
      </c>
      <c r="BW3" s="107">
        <f t="shared" si="2"/>
        <v>71</v>
      </c>
      <c r="BX3" s="107">
        <f t="shared" si="2"/>
        <v>72</v>
      </c>
      <c r="BY3" s="107">
        <f t="shared" si="2"/>
        <v>73</v>
      </c>
      <c r="BZ3" s="107">
        <f t="shared" si="2"/>
        <v>74</v>
      </c>
      <c r="CA3" s="107">
        <f t="shared" si="2"/>
        <v>75</v>
      </c>
      <c r="CB3" s="107">
        <f t="shared" si="2"/>
        <v>76</v>
      </c>
      <c r="CC3" s="109">
        <f t="shared" si="2"/>
        <v>77</v>
      </c>
      <c r="CD3" s="109">
        <f t="shared" si="2"/>
        <v>78</v>
      </c>
      <c r="CE3" s="109">
        <f t="shared" si="2"/>
        <v>79</v>
      </c>
    </row>
    <row r="5" spans="1:83" x14ac:dyDescent="0.3">
      <c r="A5" s="43">
        <v>300</v>
      </c>
      <c r="B5" s="44" t="s">
        <v>0</v>
      </c>
      <c r="C5" s="44">
        <f>+'2023 Nto driftsutg'!W5</f>
        <v>711918</v>
      </c>
      <c r="D5" s="59">
        <f>IF('2023 Lønnsgr arbavg tjeneste'!D5&lt;100,0,(C5/$C$17)*'2023 Revekting utgiftsbehov'!D5*'2023 Arbavg tjeneste'!D5/'2023 Lønnsgr arbavg tjeneste'!D5)</f>
        <v>1.2979234524607003E-2</v>
      </c>
      <c r="E5" s="5">
        <f>IF('2023 Lønnsgr arbavg tjeneste'!D5&lt;100,0,C5)</f>
        <v>711918</v>
      </c>
      <c r="F5" s="59">
        <f>'2023 Revekting utgiftsbehov'!D5*E5/$E$17</f>
        <v>9.1736375534709272E-2</v>
      </c>
      <c r="G5" s="59">
        <f>'2023 Revekting utgiftsbehov'!D5/$F$17</f>
        <v>0.7105305834877288</v>
      </c>
      <c r="H5" s="59">
        <f>IF(E5=0,0,(E5/$E$17)*G5*'2023 Arbavg tjeneste'!D5/'2023 Lønnsgr arbavg tjeneste'!D5)</f>
        <v>1.2979234524607005E-2</v>
      </c>
      <c r="I5" s="5">
        <f>IF(E5=0,0,'2023 Nto driftsutg landet'!$C$5*'2023 Lønnsand og arbavg landet'!$D$6*('2023 Arbavg tjeneste'!D5/'2023 Lønnsgr arbavg tjeneste'!D5-$H$17)*'2023 Revekting utgiftsbehov'!D5)</f>
        <v>34.829081665940826</v>
      </c>
      <c r="J5" s="5">
        <f>I5*C5/1000</f>
        <v>24795.450161453264</v>
      </c>
      <c r="K5" s="59">
        <f>IF('2023 Lønnsgr arbavg tjeneste'!E5&lt;100,0,(C5/$C$17)*'2023 Revekting utgiftsbehov'!E5*'2023 Arbavg tjeneste'!E5/'2023 Lønnsgr arbavg tjeneste'!E5)</f>
        <v>4.0604122648485313E-3</v>
      </c>
      <c r="L5" s="5">
        <f>IF('2023 Lønnsgr arbavg tjeneste'!E5&lt;100,0,C5)</f>
        <v>711918</v>
      </c>
      <c r="M5" s="59">
        <f>'2023 Revekting utgiftsbehov'!E5*L5/$L$17</f>
        <v>2.770957018579065E-2</v>
      </c>
      <c r="N5" s="59">
        <f>'2023 Revekting utgiftsbehov'!E5/$M$17</f>
        <v>0.21462039411895759</v>
      </c>
      <c r="O5" s="59">
        <f>IF(L5=0,0,(L5/$L$17)*N5*'2023 Arbavg tjeneste'!E5/'2023 Lønnsgr arbavg tjeneste'!E5)</f>
        <v>4.0604122648485313E-3</v>
      </c>
      <c r="P5" s="5">
        <f>IF(L5=0,0,'2023 Nto driftsutg landet'!$C$6*'2023 Lønnsand og arbavg landet'!$D$7*('2023 Arbavg tjeneste'!E5/'2023 Lønnsgr arbavg tjeneste'!E5-$O$17)*'2023 Revekting utgiftsbehov'!E5)</f>
        <v>-2.8606765424281901</v>
      </c>
      <c r="Q5" s="5">
        <f>P5*C5/1000</f>
        <v>-2036.5671227323924</v>
      </c>
      <c r="R5" s="59">
        <f>IF('2023 Lønnsgr arbavg tjeneste'!F5&lt;100,0,(C5/$C$17)*'2023 Revekting utgiftsbehov'!F5*'2023 Arbavg tjeneste'!F5/'2023 Lønnsgr arbavg tjeneste'!F5)</f>
        <v>2.7529219284143657E-2</v>
      </c>
      <c r="S5" s="5">
        <f>IF('2023 Lønnsgr arbavg tjeneste'!F5&lt;100,0,C5)</f>
        <v>711918</v>
      </c>
      <c r="T5" s="59">
        <f>'2023 Revekting utgiftsbehov'!F5*S5/$S$17</f>
        <v>0.19514004242386096</v>
      </c>
      <c r="U5" s="59">
        <f>'2023 Revekting utgiftsbehov'!F5/$T$17</f>
        <v>1.5114284535122655</v>
      </c>
      <c r="V5" s="59">
        <f>IF(S5=0,0,(S5/$S$17)*U5*'2023 Arbavg tjeneste'!F5/'2023 Lønnsgr arbavg tjeneste'!F5)</f>
        <v>2.7529219284143657E-2</v>
      </c>
      <c r="W5" s="5">
        <f>IF(S5=0,0,'2023 Nto driftsutg landet'!$C$7*'2023 Lønnsand og arbavg landet'!$D$8*('2023 Arbavg tjeneste'!F5/'2023 Lønnsgr arbavg tjeneste'!F5-$V$17)*'2023 Revekting utgiftsbehov'!F5)</f>
        <v>0.61720906323744273</v>
      </c>
      <c r="X5" s="5">
        <f>W5*C5/1000</f>
        <v>439.40224188187375</v>
      </c>
      <c r="Y5" s="59">
        <f>IF('2023 Lønnsgr arbavg tjeneste'!G5&lt;100,0,(C5/$C$17)*'2023 Revekting utgiftsbehov'!G5*'2023 Arbavg tjeneste'!G5/'2023 Lønnsgr arbavg tjeneste'!G5)</f>
        <v>0</v>
      </c>
      <c r="Z5" s="5">
        <f>IF('2023 Lønnsgr arbavg tjeneste'!G5&lt;100,0,C5)</f>
        <v>0</v>
      </c>
      <c r="AA5" s="59">
        <f>'2023 Revekting utgiftsbehov'!G5*Z5/$Z$17</f>
        <v>0</v>
      </c>
      <c r="AB5" s="59">
        <f>'2023 Revekting utgiftsbehov'!G5/$AA$17</f>
        <v>0</v>
      </c>
      <c r="AC5" s="59">
        <f>IF(Z5=0,0,(Z5/$Z$17)*AB5*'2023 Arbavg tjeneste'!G5/'2023 Lønnsgr arbavg tjeneste'!G5)</f>
        <v>0</v>
      </c>
      <c r="AD5" s="5">
        <f>IF(Z5=0,0,'2023 Nto driftsutg landet'!$C$8*'2023 Lønnsand og arbavg landet'!$D$9*('2023 Arbavg tjeneste'!G5/'2023 Lønnsgr arbavg tjeneste'!G5-$AC$17)*'2023 Revekting utgiftsbehov'!G5)</f>
        <v>0</v>
      </c>
      <c r="AE5" s="5">
        <f>+AD5*$C5/1000</f>
        <v>0</v>
      </c>
      <c r="AF5" s="59">
        <f>IF('2023 Lønnsgr arbavg tjeneste'!H5&lt;100,0,(C5/$C$17)*'2023 Revekting utgiftsbehov'!H5*'2023 Arbavg tjeneste'!H5/'2023 Lønnsgr arbavg tjeneste'!H5)</f>
        <v>1.3326567293527663E-2</v>
      </c>
      <c r="AG5" s="5">
        <f>IF('2023 Lønnsgr arbavg tjeneste'!H5&lt;100,0,C5)</f>
        <v>711918</v>
      </c>
      <c r="AH5" s="59">
        <f>'2023 Revekting utgiftsbehov'!H5*AG5/$AG$17</f>
        <v>0.10435988164939797</v>
      </c>
      <c r="AI5" s="59">
        <f>'2023 Revekting utgiftsbehov'!H5/$AH$17</f>
        <v>0.80830409059491792</v>
      </c>
      <c r="AJ5" s="59">
        <f>IF(AG5=0,0,(AG5/$AG$17)*AI5*'2023 Arbavg tjeneste'!H5/'2023 Lønnsgr arbavg tjeneste'!H5)</f>
        <v>1.3326567293527663E-2</v>
      </c>
      <c r="AK5" s="5">
        <f>IF(AG5=0,0,'2023 Nto driftsutg landet'!$C$9*'2023 Lønnsand og arbavg landet'!$D$10*('2023 Arbavg tjeneste'!H5/'2023 Lønnsgr arbavg tjeneste'!H5-$AJ$17)*'2023 Revekting utgiftsbehov'!H5)</f>
        <v>0.25294181961620188</v>
      </c>
      <c r="AL5" s="5">
        <f>+AK5*$C5/1000</f>
        <v>180.07383433752722</v>
      </c>
      <c r="AM5" s="59">
        <f>IF('2023 Lønnsgr arbavg tjeneste'!K5&lt;100,0,(C5/$C$17)*'2023 Arbavg tjeneste'!K5/'2023 Lønnsgr arbavg tjeneste'!K5)</f>
        <v>2.3226464201852013E-2</v>
      </c>
      <c r="AN5" s="5">
        <f>IF('2023 Lønnsgr arbavg tjeneste'!K5&lt;100,0,C5)</f>
        <v>711918</v>
      </c>
      <c r="AO5" s="59">
        <f t="shared" ref="AO5:AO15" si="3">AN5/$AN$17</f>
        <v>0.12910967897315515</v>
      </c>
      <c r="AP5" s="59">
        <f t="shared" ref="AP5:AP15" si="4">1/$AH$17</f>
        <v>1</v>
      </c>
      <c r="AQ5" s="59">
        <f>IF(AN5=0,0,(AN5/$AN$17)*AP5*'2023 Arbavg tjeneste'!K5/'2023 Lønnsgr arbavg tjeneste'!K5)</f>
        <v>2.3226464201852013E-2</v>
      </c>
      <c r="AR5" s="5">
        <f>IF(AN5=0,0,'2023 Nto driftsutg landet'!$C$23*'2023 Lønnsand og arbavg landet'!$D$13*('2023 Arbavg tjeneste'!K5/'2023 Lønnsgr arbavg tjeneste'!K5-$AQ$17))</f>
        <v>28.184309082474932</v>
      </c>
      <c r="AS5" s="5">
        <f>+AR5*$C5/1000</f>
        <v>20064.916953377389</v>
      </c>
      <c r="AT5" s="59">
        <f>IF('2023 Lønnsgr arbavg tjeneste'!L5&lt;100,0,(C5/$C$17)*'2023 Arbavg tjeneste'!L5/'2023 Lønnsgr arbavg tjeneste'!L5)</f>
        <v>0</v>
      </c>
      <c r="AU5" s="5">
        <f>IF('2023 Lønnsgr arbavg tjeneste'!L5&lt;100,0,C5)</f>
        <v>0</v>
      </c>
      <c r="AV5" s="59">
        <f t="shared" ref="AV5:AV15" si="5">AU5/$AU$17</f>
        <v>0</v>
      </c>
      <c r="AW5" s="59">
        <f t="shared" ref="AW5:AW15" si="6">1/$AV$17</f>
        <v>1</v>
      </c>
      <c r="AX5" s="59">
        <f>IF(AU5=0,0,(AU5/$AU$17)*AW5*'2023 Arbavg tjeneste'!L5/'2023 Lønnsgr arbavg tjeneste'!L5)</f>
        <v>0</v>
      </c>
      <c r="AY5" s="5">
        <f>IF(AU5=0,0,'2023 Nto driftsutg landet'!$C$24*'2023 Lønnsand og arbavg landet'!$D$14*('2023 Arbavg tjeneste'!L5/'2023 Lønnsgr arbavg tjeneste'!L5-$AX$17))</f>
        <v>0</v>
      </c>
      <c r="AZ5" s="5">
        <f>+AY5*$C5/1000</f>
        <v>0</v>
      </c>
      <c r="BA5" s="59">
        <f>IF('2023 Lønnsgr arbavg tjeneste'!M5&lt;100,0,(C5/$C$17)*'2023 Arbavg tjeneste'!M5/'2023 Lønnsgr arbavg tjeneste'!M5)</f>
        <v>0</v>
      </c>
      <c r="BB5" s="5">
        <f>IF('2023 Lønnsgr arbavg tjeneste'!M5&lt;100,0,C5)</f>
        <v>0</v>
      </c>
      <c r="BC5" s="59">
        <f t="shared" ref="BC5:BC15" si="7">BB5/$BB$17</f>
        <v>0</v>
      </c>
      <c r="BD5" s="59">
        <f t="shared" ref="BD5:BD15" si="8">1/$BC$17</f>
        <v>1</v>
      </c>
      <c r="BE5" s="59">
        <f>IF(BB5=0,0,(BB5/$BB$17)*BD5*'2023 Arbavg tjeneste'!M5/'2023 Lønnsgr arbavg tjeneste'!M5)</f>
        <v>0</v>
      </c>
      <c r="BF5" s="5">
        <f>IF(BB5=0,0,'2023 Nto driftsutg landet'!$C$25*'2023 Lønnsand og arbavg landet'!$D$15*('2023 Arbavg tjeneste'!M5/'2023 Lønnsgr arbavg tjeneste'!M5-$BE$17))</f>
        <v>0</v>
      </c>
      <c r="BG5" s="5">
        <f>+BF5*$C5/1000</f>
        <v>0</v>
      </c>
      <c r="BH5" s="59">
        <f>IF('2023 Lønnsgr arbavg tjeneste'!N5&lt;100,0,(C5/$C$17)*'2023 Arbavg tjeneste'!N5/'2023 Lønnsgr arbavg tjeneste'!N5)</f>
        <v>1.6398545987645823E-2</v>
      </c>
      <c r="BI5" s="5">
        <f>IF('2023 Lønnsgr arbavg tjeneste'!N5&lt;100,0,C5)</f>
        <v>711918</v>
      </c>
      <c r="BJ5" s="59">
        <f t="shared" ref="BJ5:BJ15" si="9">BI5/$BI$17</f>
        <v>0.12910967897315515</v>
      </c>
      <c r="BK5" s="59">
        <f t="shared" ref="BK5:BK15" si="10">1/$BJ$17</f>
        <v>1</v>
      </c>
      <c r="BL5" s="59">
        <f>IF(BI5=0,0,(BI5/$BI$17)*BK5*'2023 Arbavg tjeneste'!N5/'2023 Lønnsgr arbavg tjeneste'!N5)</f>
        <v>1.6398545987645823E-2</v>
      </c>
      <c r="BM5" s="5">
        <f>IF(BI5=0,0,'2023 Nto driftsutg landet'!$C$26*'2023 Lønnsand og arbavg landet'!$D$16*('2023 Arbavg tjeneste'!N5/'2023 Lønnsgr arbavg tjeneste'!N5-$BL$17))</f>
        <v>-0.11422296433895783</v>
      </c>
      <c r="BN5" s="5">
        <f>+BM5*$C5/1000</f>
        <v>-81.317384326262186</v>
      </c>
      <c r="BO5" s="59">
        <f>IF('2023 Lønnsgr arbavg tjeneste'!O5&lt;100,0,(C5/$C$17)*'2023 Arbavg tjeneste'!O5/'2023 Lønnsgr arbavg tjeneste'!O5)</f>
        <v>0</v>
      </c>
      <c r="BP5" s="5">
        <f>IF('2023 Lønnsgr arbavg tjeneste'!O5&lt;100,0,C5)</f>
        <v>0</v>
      </c>
      <c r="BQ5" s="59">
        <f t="shared" ref="BQ5:BQ15" si="11">BP5/$BP$17</f>
        <v>0</v>
      </c>
      <c r="BR5" s="59">
        <f t="shared" ref="BR5:BR15" si="12">1/$BQ$17</f>
        <v>1</v>
      </c>
      <c r="BS5" s="59">
        <f>IF(BP5=0,0,(BP5/$BP$17)*BR5*'2023 Arbavg tjeneste'!O5/'2023 Lønnsgr arbavg tjeneste'!O5)</f>
        <v>0</v>
      </c>
      <c r="BT5" s="5">
        <f>IF(BP5=0,0,'2023 Nto driftsutg landet'!$C$27*'2023 Lønnsand og arbavg landet'!$D$17*('2023 Arbavg tjeneste'!O5/'2023 Lønnsgr arbavg tjeneste'!O5-$BS$17))</f>
        <v>0</v>
      </c>
      <c r="BU5" s="5">
        <f>+BT5*$C5/1000</f>
        <v>0</v>
      </c>
      <c r="BV5" s="59">
        <f>IF('2023 Lønnsgr arbavg tjeneste'!P5&lt;100,0,(C5/$C$17)*'2023 Arbavg tjeneste'!P5/'2023 Lønnsgr arbavg tjeneste'!P5)</f>
        <v>0</v>
      </c>
      <c r="BW5" s="5">
        <f>IF('2023 Lønnsgr arbavg tjeneste'!P5&lt;100,0,C5)</f>
        <v>0</v>
      </c>
      <c r="BX5" s="59">
        <f t="shared" ref="BX5:BX15" si="13">BW5/$BW$17</f>
        <v>0</v>
      </c>
      <c r="BY5" s="59">
        <f t="shared" ref="BY5:BY15" si="14">1/$BX$17</f>
        <v>1</v>
      </c>
      <c r="BZ5" s="59">
        <f>IF(BW5=0,0,(BW5/$BW$17)*BY5*'2023 Arbavg tjeneste'!P5/'2023 Lønnsgr arbavg tjeneste'!P5)</f>
        <v>0</v>
      </c>
      <c r="CA5" s="5">
        <f>IF(BW5=0,0,'2023 Nto driftsutg landet'!$C$28*'2023 Lønnsand og arbavg landet'!$D$18*('2023 Arbavg tjeneste'!P5/'2023 Lønnsgr arbavg tjeneste'!P5-$BZ$17))</f>
        <v>0</v>
      </c>
      <c r="CB5" s="5">
        <f>+CA5*$C5/1000</f>
        <v>0</v>
      </c>
      <c r="CC5" s="5"/>
      <c r="CD5" s="5"/>
      <c r="CE5" s="5"/>
    </row>
    <row r="6" spans="1:83" x14ac:dyDescent="0.3">
      <c r="A6" s="43">
        <v>1100</v>
      </c>
      <c r="B6" s="44" t="s">
        <v>141</v>
      </c>
      <c r="C6" s="44">
        <f>+'2023 Nto driftsutg'!W6</f>
        <v>495545</v>
      </c>
      <c r="D6" s="59">
        <f>IF('2023 Lønnsgr arbavg tjeneste'!D6&lt;100,0,(C6/$C$17)*'2023 Revekting utgiftsbehov'!D6*'2023 Arbavg tjeneste'!D6/'2023 Lønnsgr arbavg tjeneste'!D6)</f>
        <v>1.3697743458305409E-2</v>
      </c>
      <c r="E6" s="5">
        <f>IF('2023 Lønnsgr arbavg tjeneste'!D6&lt;100,0,C6)</f>
        <v>495545</v>
      </c>
      <c r="F6" s="59">
        <f>'2023 Revekting utgiftsbehov'!D6*E6/$E$17</f>
        <v>9.6833290051327292E-2</v>
      </c>
      <c r="G6" s="59">
        <f>'2023 Revekting utgiftsbehov'!D6/$F$17</f>
        <v>1.0774887931615931</v>
      </c>
      <c r="H6" s="59">
        <f>IF(E6=0,0,(E6/$E$17)*G6*'2023 Arbavg tjeneste'!D6/'2023 Lønnsgr arbavg tjeneste'!D6)</f>
        <v>1.3697743458305415E-2</v>
      </c>
      <c r="I6" s="5">
        <f>IF(E6=0,0,'2023 Nto driftsutg landet'!$C$5*'2023 Lønnsand og arbavg landet'!$D$6*('2023 Arbavg tjeneste'!D6/'2023 Lønnsgr arbavg tjeneste'!D6-$H$17)*'2023 Revekting utgiftsbehov'!D6)</f>
        <v>52.689119234458268</v>
      </c>
      <c r="J6" s="5">
        <f t="shared" ref="J6:J15" si="15">I6*C6/1000</f>
        <v>26109.829591039623</v>
      </c>
      <c r="K6" s="59">
        <f>IF('2023 Lønnsgr arbavg tjeneste'!E6&lt;100,0,(C6/$C$17)*'2023 Revekting utgiftsbehov'!E6*'2023 Arbavg tjeneste'!E6/'2023 Lønnsgr arbavg tjeneste'!E6)</f>
        <v>1.0341239602160351E-2</v>
      </c>
      <c r="L6" s="5">
        <f>IF('2023 Lønnsgr arbavg tjeneste'!E6&lt;100,0,C6)</f>
        <v>495545</v>
      </c>
      <c r="M6" s="59">
        <f>'2023 Revekting utgiftsbehov'!E6*L6/$L$17</f>
        <v>7.1840717968341822E-2</v>
      </c>
      <c r="N6" s="59">
        <f>'2023 Revekting utgiftsbehov'!E6/$M$17</f>
        <v>0.79939004925414059</v>
      </c>
      <c r="O6" s="59">
        <f>IF(L6=0,0,(L6/$L$17)*N6*'2023 Arbavg tjeneste'!E6/'2023 Lønnsgr arbavg tjeneste'!E6)</f>
        <v>1.0341239602160351E-2</v>
      </c>
      <c r="P6" s="5">
        <f>IF(L6=0,0,'2023 Nto driftsutg landet'!$C$6*'2023 Lønnsand og arbavg landet'!$D$7*('2023 Arbavg tjeneste'!E6/'2023 Lønnsgr arbavg tjeneste'!E6-$O$17)*'2023 Revekting utgiftsbehov'!E6)</f>
        <v>-11.018448621775503</v>
      </c>
      <c r="Q6" s="5">
        <f t="shared" ref="Q6:Q15" si="16">P6*C6/1000</f>
        <v>-5460.1371222777425</v>
      </c>
      <c r="R6" s="59">
        <f>IF('2023 Lønnsgr arbavg tjeneste'!F6&lt;100,0,(C6/$C$17)*'2023 Revekting utgiftsbehov'!F6*'2023 Arbavg tjeneste'!F6/'2023 Lønnsgr arbavg tjeneste'!F6)</f>
        <v>1.2269850532976995E-2</v>
      </c>
      <c r="S6" s="5">
        <f>IF('2023 Lønnsgr arbavg tjeneste'!F6&lt;100,0,C6)</f>
        <v>495545</v>
      </c>
      <c r="T6" s="59">
        <f>'2023 Revekting utgiftsbehov'!F6*S6/$S$17</f>
        <v>8.4700590483093016E-2</v>
      </c>
      <c r="U6" s="59">
        <f>'2023 Revekting utgiftsbehov'!F6/$T$17</f>
        <v>0.9424851409192746</v>
      </c>
      <c r="V6" s="59">
        <f>IF(S6=0,0,(S6/$S$17)*U6*'2023 Arbavg tjeneste'!F6/'2023 Lønnsgr arbavg tjeneste'!F6)</f>
        <v>1.2269850532976995E-2</v>
      </c>
      <c r="W6" s="5">
        <f>IF(S6=0,0,'2023 Nto driftsutg landet'!$C$7*'2023 Lønnsand og arbavg landet'!$D$8*('2023 Arbavg tjeneste'!F6/'2023 Lønnsgr arbavg tjeneste'!F6-$V$17)*'2023 Revekting utgiftsbehov'!F6)</f>
        <v>0.56405314290042552</v>
      </c>
      <c r="X6" s="5">
        <f t="shared" ref="X6:X15" si="17">W6*C6/1000</f>
        <v>279.5137146985914</v>
      </c>
      <c r="Y6" s="59">
        <f>IF('2023 Lønnsgr arbavg tjeneste'!G6&lt;100,0,(C6/$C$17)*'2023 Revekting utgiftsbehov'!G6*'2023 Arbavg tjeneste'!G6/'2023 Lønnsgr arbavg tjeneste'!G6)</f>
        <v>8.1618043655311522E-3</v>
      </c>
      <c r="Z6" s="5">
        <f>IF('2023 Lønnsgr arbavg tjeneste'!G6&lt;100,0,C6)</f>
        <v>495545</v>
      </c>
      <c r="AA6" s="59">
        <f>'2023 Revekting utgiftsbehov'!G6*Z6/$Z$17</f>
        <v>0.13269818841027309</v>
      </c>
      <c r="AB6" s="59">
        <f>'2023 Revekting utgiftsbehov'!G6/$AA$17</f>
        <v>0.39984387567602769</v>
      </c>
      <c r="AC6" s="59">
        <f>IF(Z6=0,0,(Z6/$Z$17)*AB6*'2023 Arbavg tjeneste'!G6/'2023 Lønnsgr arbavg tjeneste'!G6)</f>
        <v>1.1450837696408549E-2</v>
      </c>
      <c r="AD6" s="5">
        <f>IF(Z6=0,0,'2023 Nto driftsutg landet'!$C$8*'2023 Lønnsand og arbavg landet'!$D$9*('2023 Arbavg tjeneste'!G6/'2023 Lønnsgr arbavg tjeneste'!G6-$AC$17)*'2023 Revekting utgiftsbehov'!G6)</f>
        <v>0.10227557336517784</v>
      </c>
      <c r="AE6" s="5">
        <f t="shared" ref="AE6:AE15" si="18">+AD6*$C6/1000</f>
        <v>50.682149003247055</v>
      </c>
      <c r="AF6" s="59">
        <f>IF('2023 Lønnsgr arbavg tjeneste'!H6&lt;100,0,(C6/$C$17)*'2023 Revekting utgiftsbehov'!H6*'2023 Arbavg tjeneste'!H6/'2023 Lønnsgr arbavg tjeneste'!H6)</f>
        <v>1.3126197460239483E-2</v>
      </c>
      <c r="AG6" s="5">
        <f>IF('2023 Lønnsgr arbavg tjeneste'!H6&lt;100,0,C6)</f>
        <v>495545</v>
      </c>
      <c r="AH6" s="59">
        <f>'2023 Revekting utgiftsbehov'!H6*AG6/$AG$17</f>
        <v>9.1427724337629926E-2</v>
      </c>
      <c r="AI6" s="59">
        <f>'2023 Revekting utgiftsbehov'!H6/$AH$17</f>
        <v>1.0173396804533479</v>
      </c>
      <c r="AJ6" s="59">
        <f>IF(AG6=0,0,(AG6/$AG$17)*AI6*'2023 Arbavg tjeneste'!H6/'2023 Lønnsgr arbavg tjeneste'!H6)</f>
        <v>1.3126197460239483E-2</v>
      </c>
      <c r="AK6" s="5">
        <f>IF(AG6=0,0,'2023 Nto driftsutg landet'!$C$9*'2023 Lønnsand og arbavg landet'!$D$10*('2023 Arbavg tjeneste'!H6/'2023 Lønnsgr arbavg tjeneste'!H6-$AJ$17)*'2023 Revekting utgiftsbehov'!H6)</f>
        <v>6.5374661882425418</v>
      </c>
      <c r="AL6" s="5">
        <f t="shared" ref="AL6:AL15" si="19">+AK6*$C6/1000</f>
        <v>3239.6086822526499</v>
      </c>
      <c r="AM6" s="59">
        <f>IF('2023 Lønnsgr arbavg tjeneste'!K6&lt;100,0,(C6/$C$17)*'2023 Arbavg tjeneste'!K6/'2023 Lønnsgr arbavg tjeneste'!K6)</f>
        <v>1.3121183007843212E-2</v>
      </c>
      <c r="AN6" s="5">
        <f>IF('2023 Lønnsgr arbavg tjeneste'!K6&lt;100,0,C6)</f>
        <v>495545</v>
      </c>
      <c r="AO6" s="59">
        <f t="shared" si="3"/>
        <v>8.98694173581117E-2</v>
      </c>
      <c r="AP6" s="59">
        <f t="shared" si="4"/>
        <v>1</v>
      </c>
      <c r="AQ6" s="59">
        <f>IF(AN6=0,0,(AN6/$AN$17)*AP6*'2023 Arbavg tjeneste'!K6/'2023 Lønnsgr arbavg tjeneste'!K6)</f>
        <v>1.3121183007843212E-2</v>
      </c>
      <c r="AR6" s="5">
        <f>IF(AN6=0,0,'2023 Nto driftsutg landet'!$C$23*'2023 Lønnsand og arbavg landet'!$D$13*('2023 Arbavg tjeneste'!K6/'2023 Lønnsgr arbavg tjeneste'!K6-$AQ$17))</f>
        <v>11.583225473680683</v>
      </c>
      <c r="AS6" s="5">
        <f t="shared" ref="AS6:AS15" si="20">+AR6*$C6/1000</f>
        <v>5740.0094673550939</v>
      </c>
      <c r="AT6" s="59">
        <f>IF('2023 Lønnsgr arbavg tjeneste'!L6&lt;100,0,(C6/$C$17)*'2023 Arbavg tjeneste'!L6/'2023 Lønnsgr arbavg tjeneste'!L6)</f>
        <v>1.2877583829183978E-2</v>
      </c>
      <c r="AU6" s="5">
        <f>IF('2023 Lønnsgr arbavg tjeneste'!L6&lt;100,0,C6)</f>
        <v>495545</v>
      </c>
      <c r="AV6" s="59">
        <f t="shared" si="5"/>
        <v>0.10319257797256139</v>
      </c>
      <c r="AW6" s="59">
        <f t="shared" si="6"/>
        <v>1</v>
      </c>
      <c r="AX6" s="59">
        <f>IF(AU6=0,0,(AU6/$AU$17)*AW6*'2023 Arbavg tjeneste'!L6/'2023 Lønnsgr arbavg tjeneste'!L6)</f>
        <v>1.4786688424783898E-2</v>
      </c>
      <c r="AY6" s="5">
        <f>IF(AU6=0,0,'2023 Nto driftsutg landet'!$C$24*'2023 Lønnsand og arbavg landet'!$D$14*('2023 Arbavg tjeneste'!L6/'2023 Lønnsgr arbavg tjeneste'!L6-$AX$17))</f>
        <v>0.6957404141877348</v>
      </c>
      <c r="AZ6" s="5">
        <f t="shared" ref="AZ6:AZ15" si="21">+AY6*$C6/1000</f>
        <v>344.77068354866105</v>
      </c>
      <c r="BA6" s="59">
        <f>IF('2023 Lønnsgr arbavg tjeneste'!M6&lt;100,0,(C6/$C$17)*'2023 Arbavg tjeneste'!M6/'2023 Lønnsgr arbavg tjeneste'!M6)</f>
        <v>1.2922739998415986E-2</v>
      </c>
      <c r="BB6" s="5">
        <f>IF('2023 Lønnsgr arbavg tjeneste'!M6&lt;100,0,C6)</f>
        <v>495545</v>
      </c>
      <c r="BC6" s="59">
        <f t="shared" si="7"/>
        <v>0.10319257797256139</v>
      </c>
      <c r="BD6" s="59">
        <f t="shared" si="8"/>
        <v>1</v>
      </c>
      <c r="BE6" s="59">
        <f>IF(BB6=0,0,(BB6/$BB$17)*BD6*'2023 Arbavg tjeneste'!M6/'2023 Lønnsgr arbavg tjeneste'!M6)</f>
        <v>1.4838539005898134E-2</v>
      </c>
      <c r="BF6" s="5">
        <f>IF(BB6=0,0,'2023 Nto driftsutg landet'!$C$25*'2023 Lønnsand og arbavg landet'!$D$15*('2023 Arbavg tjeneste'!M6/'2023 Lønnsgr arbavg tjeneste'!M6-$BE$17))</f>
        <v>-4.2099226666867898E-2</v>
      </c>
      <c r="BG6" s="5">
        <f t="shared" ref="BG6:BG15" si="22">+BF6*$C6/1000</f>
        <v>-20.862061278633053</v>
      </c>
      <c r="BH6" s="59">
        <f>IF('2023 Lønnsgr arbavg tjeneste'!N6&lt;100,0,(C6/$C$17)*'2023 Arbavg tjeneste'!N6/'2023 Lønnsgr arbavg tjeneste'!N6)</f>
        <v>1.2896151538568079E-2</v>
      </c>
      <c r="BI6" s="5">
        <f>IF('2023 Lønnsgr arbavg tjeneste'!N6&lt;100,0,C6)</f>
        <v>495545</v>
      </c>
      <c r="BJ6" s="59">
        <f t="shared" si="9"/>
        <v>8.98694173581117E-2</v>
      </c>
      <c r="BK6" s="59">
        <f t="shared" si="10"/>
        <v>1</v>
      </c>
      <c r="BL6" s="59">
        <f>IF(BI6=0,0,(BI6/$BI$17)*BK6*'2023 Arbavg tjeneste'!N6/'2023 Lønnsgr arbavg tjeneste'!N6)</f>
        <v>1.2896151538568079E-2</v>
      </c>
      <c r="BM6" s="5">
        <f>IF(BI6=0,0,'2023 Nto driftsutg landet'!$C$26*'2023 Lønnsand og arbavg landet'!$D$16*('2023 Arbavg tjeneste'!N6/'2023 Lønnsgr arbavg tjeneste'!N6-$BL$17))</f>
        <v>0.46724922922931622</v>
      </c>
      <c r="BN6" s="5">
        <f t="shared" ref="BN6:BN15" si="23">+BM6*$C6/1000</f>
        <v>231.54301929844149</v>
      </c>
      <c r="BO6" s="59">
        <f>IF('2023 Lønnsgr arbavg tjeneste'!O6&lt;100,0,(C6/$C$17)*'2023 Arbavg tjeneste'!O6/'2023 Lønnsgr arbavg tjeneste'!O6)</f>
        <v>0</v>
      </c>
      <c r="BP6" s="5">
        <f>IF('2023 Lønnsgr arbavg tjeneste'!O6&lt;100,0,C6)</f>
        <v>0</v>
      </c>
      <c r="BQ6" s="59">
        <f t="shared" si="11"/>
        <v>0</v>
      </c>
      <c r="BR6" s="59">
        <f t="shared" si="12"/>
        <v>1</v>
      </c>
      <c r="BS6" s="59">
        <f>IF(BP6=0,0,(BP6/$BP$17)*BR6*'2023 Arbavg tjeneste'!O6/'2023 Lønnsgr arbavg tjeneste'!O6)</f>
        <v>0</v>
      </c>
      <c r="BT6" s="5">
        <f>IF(BP6=0,0,'2023 Nto driftsutg landet'!$C$27*'2023 Lønnsand og arbavg landet'!$D$17*('2023 Arbavg tjeneste'!O6/'2023 Lønnsgr arbavg tjeneste'!O6-$BS$17))</f>
        <v>0</v>
      </c>
      <c r="BU6" s="5">
        <f t="shared" ref="BU6:BU15" si="24">+BT6*$C6/1000</f>
        <v>0</v>
      </c>
      <c r="BV6" s="59">
        <f>IF('2023 Lønnsgr arbavg tjeneste'!P6&lt;100,0,(C6/$C$17)*'2023 Arbavg tjeneste'!P6/'2023 Lønnsgr arbavg tjeneste'!P6)</f>
        <v>1.3069774420898001E-2</v>
      </c>
      <c r="BW6" s="5">
        <f>IF('2023 Lønnsgr arbavg tjeneste'!P6&lt;100,0,C6)</f>
        <v>495545</v>
      </c>
      <c r="BX6" s="59">
        <f t="shared" si="13"/>
        <v>0.13004461004199627</v>
      </c>
      <c r="BY6" s="59">
        <f t="shared" si="14"/>
        <v>1</v>
      </c>
      <c r="BZ6" s="59">
        <f>IF(BW6=0,0,(BW6/$BW$17)*BY6*'2023 Arbavg tjeneste'!P6/'2023 Lønnsgr arbavg tjeneste'!P6)</f>
        <v>1.8912481774859595E-2</v>
      </c>
      <c r="CA6" s="5">
        <f>IF(BW6=0,0,'2023 Nto driftsutg landet'!$C$28*'2023 Lønnsand og arbavg landet'!$D$18*('2023 Arbavg tjeneste'!P6/'2023 Lønnsgr arbavg tjeneste'!P6-$BZ$17))</f>
        <v>-2.4050860787075811E-2</v>
      </c>
      <c r="CB6" s="5">
        <f t="shared" ref="CB6:CB15" si="25">+CA6*$C6/1000</f>
        <v>-11.918283808731482</v>
      </c>
      <c r="CC6" s="5"/>
      <c r="CD6" s="5"/>
      <c r="CE6" s="5"/>
    </row>
    <row r="7" spans="1:83" x14ac:dyDescent="0.3">
      <c r="A7" s="43">
        <v>1500</v>
      </c>
      <c r="B7" s="44" t="s">
        <v>142</v>
      </c>
      <c r="C7" s="44">
        <f>+'2023 Nto driftsutg'!W7</f>
        <v>269164</v>
      </c>
      <c r="D7" s="59">
        <f>IF('2023 Lønnsgr arbavg tjeneste'!D7&lt;100,0,(C7/$C$17)*'2023 Revekting utgiftsbehov'!D7*'2023 Arbavg tjeneste'!D7/'2023 Lønnsgr arbavg tjeneste'!D7)</f>
        <v>7.3126064915526269E-3</v>
      </c>
      <c r="E7" s="5">
        <f>IF('2023 Lønnsgr arbavg tjeneste'!D7&lt;100,0,C7)</f>
        <v>269164</v>
      </c>
      <c r="F7" s="59">
        <f>'2023 Revekting utgiftsbehov'!D7*E7/$E$17</f>
        <v>5.3643626262187466E-2</v>
      </c>
      <c r="G7" s="59">
        <f>'2023 Revekting utgiftsbehov'!D7/$F$17</f>
        <v>1.0989358133062834</v>
      </c>
      <c r="H7" s="59">
        <f>IF(E7=0,0,(E7/$E$17)*G7*'2023 Arbavg tjeneste'!D7/'2023 Lønnsgr arbavg tjeneste'!D7)</f>
        <v>7.3126064915526269E-3</v>
      </c>
      <c r="I7" s="5">
        <f>IF(E7=0,0,'2023 Nto driftsutg landet'!$C$5*'2023 Lønnsand og arbavg landet'!$D$6*('2023 Arbavg tjeneste'!D7/'2023 Lønnsgr arbavg tjeneste'!D7-$H$17)*'2023 Revekting utgiftsbehov'!D7)</f>
        <v>29.037787602752616</v>
      </c>
      <c r="J7" s="5">
        <f t="shared" si="15"/>
        <v>7815.9270623073044</v>
      </c>
      <c r="K7" s="59">
        <f>IF('2023 Lønnsgr arbavg tjeneste'!E7&lt;100,0,(C7/$C$17)*'2023 Revekting utgiftsbehov'!E7*'2023 Arbavg tjeneste'!E7/'2023 Lønnsgr arbavg tjeneste'!E7)</f>
        <v>2.3131279585398849E-2</v>
      </c>
      <c r="L7" s="5">
        <f>IF('2023 Lønnsgr arbavg tjeneste'!E7&lt;100,0,C7)</f>
        <v>269164</v>
      </c>
      <c r="M7" s="59">
        <f>'2023 Revekting utgiftsbehov'!E7*L7/$L$17</f>
        <v>7.5916491020678586E-2</v>
      </c>
      <c r="N7" s="59">
        <f>'2023 Revekting utgiftsbehov'!E7/$M$17</f>
        <v>1.5552146008066416</v>
      </c>
      <c r="O7" s="59">
        <f>IF(L7=0,0,(L7/$L$17)*N7*'2023 Arbavg tjeneste'!E7/'2023 Lønnsgr arbavg tjeneste'!E7)</f>
        <v>2.3131279585398849E-2</v>
      </c>
      <c r="P7" s="5">
        <f>IF(L7=0,0,'2023 Nto driftsutg landet'!$C$6*'2023 Lønnsand og arbavg landet'!$D$7*('2023 Arbavg tjeneste'!E7/'2023 Lønnsgr arbavg tjeneste'!E7-$O$17)*'2023 Revekting utgiftsbehov'!E7)</f>
        <v>22.475663147571794</v>
      </c>
      <c r="Q7" s="5">
        <f t="shared" si="16"/>
        <v>6049.639395453014</v>
      </c>
      <c r="R7" s="59">
        <f>IF('2023 Lønnsgr arbavg tjeneste'!F7&lt;100,0,(C7/$C$17)*'2023 Revekting utgiftsbehov'!F7*'2023 Arbavg tjeneste'!F7/'2023 Lønnsgr arbavg tjeneste'!F7)</f>
        <v>8.242085557827343E-3</v>
      </c>
      <c r="S7" s="5">
        <f>IF('2023 Lønnsgr arbavg tjeneste'!F7&lt;100,0,C7)</f>
        <v>269164</v>
      </c>
      <c r="T7" s="59">
        <f>'2023 Revekting utgiftsbehov'!F7*S7/$S$17</f>
        <v>5.236864917025278E-2</v>
      </c>
      <c r="U7" s="59">
        <f>'2023 Revekting utgiftsbehov'!F7/$T$17</f>
        <v>1.0728168111973642</v>
      </c>
      <c r="V7" s="59">
        <f>IF(S7=0,0,(S7/$S$17)*U7*'2023 Arbavg tjeneste'!F7/'2023 Lønnsgr arbavg tjeneste'!F7)</f>
        <v>8.242085557827343E-3</v>
      </c>
      <c r="W7" s="5">
        <f>IF(S7=0,0,'2023 Nto driftsutg landet'!$C$7*'2023 Lønnsand og arbavg landet'!$D$8*('2023 Arbavg tjeneste'!F7/'2023 Lønnsgr arbavg tjeneste'!F7-$V$17)*'2023 Revekting utgiftsbehov'!F7)</f>
        <v>1.3165300613334343</v>
      </c>
      <c r="X7" s="5">
        <f t="shared" si="17"/>
        <v>354.36249742875253</v>
      </c>
      <c r="Y7" s="59">
        <f>IF('2023 Lønnsgr arbavg tjeneste'!G7&lt;100,0,(C7/$C$17)*'2023 Revekting utgiftsbehov'!G7*'2023 Arbavg tjeneste'!G7/'2023 Lønnsgr arbavg tjeneste'!G7)</f>
        <v>2.5931866838076023E-2</v>
      </c>
      <c r="Z7" s="5">
        <f>IF('2023 Lønnsgr arbavg tjeneste'!G7&lt;100,0,C7)</f>
        <v>269164</v>
      </c>
      <c r="AA7" s="59">
        <f>'2023 Revekting utgiftsbehov'!G7*Z7/$Z$17</f>
        <v>0.40564749417628737</v>
      </c>
      <c r="AB7" s="59">
        <f>'2023 Revekting utgiftsbehov'!G7/$AA$17</f>
        <v>2.2502997755280898</v>
      </c>
      <c r="AC7" s="59">
        <f>IF(Z7=0,0,(Z7/$Z$17)*AB7*'2023 Arbavg tjeneste'!G7/'2023 Lønnsgr arbavg tjeneste'!G7)</f>
        <v>3.6381856882251228E-2</v>
      </c>
      <c r="AD7" s="5">
        <f>IF(Z7=0,0,'2023 Nto driftsutg landet'!$C$8*'2023 Lønnsand og arbavg landet'!$D$9*('2023 Arbavg tjeneste'!G7/'2023 Lønnsgr arbavg tjeneste'!G7-$AC$17)*'2023 Revekting utgiftsbehov'!G7)</f>
        <v>0.65613843754207424</v>
      </c>
      <c r="AE7" s="5">
        <f t="shared" si="18"/>
        <v>176.6088464025749</v>
      </c>
      <c r="AF7" s="59">
        <f>IF('2023 Lønnsgr arbavg tjeneste'!H7&lt;100,0,(C7/$C$17)*'2023 Revekting utgiftsbehov'!H7*'2023 Arbavg tjeneste'!H7/'2023 Lønnsgr arbavg tjeneste'!H7)</f>
        <v>6.7381666747472679E-3</v>
      </c>
      <c r="AG7" s="5">
        <f>IF('2023 Lønnsgr arbavg tjeneste'!H7&lt;100,0,C7)</f>
        <v>269164</v>
      </c>
      <c r="AH7" s="59">
        <f>'2023 Revekting utgiftsbehov'!H7*AG7/$AG$17</f>
        <v>5.2742861171396364E-2</v>
      </c>
      <c r="AI7" s="59">
        <f>'2023 Revekting utgiftsbehov'!H7/$AH$17</f>
        <v>1.0804828658338601</v>
      </c>
      <c r="AJ7" s="59">
        <f>IF(AG7=0,0,(AG7/$AG$17)*AI7*'2023 Arbavg tjeneste'!H7/'2023 Lønnsgr arbavg tjeneste'!H7)</f>
        <v>6.7381666747472679E-3</v>
      </c>
      <c r="AK7" s="5">
        <f>IF(AG7=0,0,'2023 Nto driftsutg landet'!$C$9*'2023 Lønnsand og arbavg landet'!$D$10*('2023 Arbavg tjeneste'!H7/'2023 Lønnsgr arbavg tjeneste'!H7-$AJ$17)*'2023 Revekting utgiftsbehov'!H7)</f>
        <v>0.36177955859631394</v>
      </c>
      <c r="AL7" s="5">
        <f t="shared" si="19"/>
        <v>97.378033110018251</v>
      </c>
      <c r="AM7" s="59">
        <f>IF('2023 Lønnsgr arbavg tjeneste'!K7&lt;100,0,(C7/$C$17)*'2023 Arbavg tjeneste'!K7/'2023 Lønnsgr arbavg tjeneste'!K7)</f>
        <v>6.9951501438085826E-3</v>
      </c>
      <c r="AN7" s="5">
        <f>IF('2023 Lønnsgr arbavg tjeneste'!K7&lt;100,0,C7)</f>
        <v>269164</v>
      </c>
      <c r="AO7" s="59">
        <f t="shared" si="3"/>
        <v>4.8814157854037026E-2</v>
      </c>
      <c r="AP7" s="59">
        <f t="shared" si="4"/>
        <v>1</v>
      </c>
      <c r="AQ7" s="59">
        <f>IF(AN7=0,0,(AN7/$AN$17)*AP7*'2023 Arbavg tjeneste'!K7/'2023 Lønnsgr arbavg tjeneste'!K7)</f>
        <v>6.9951501438085826E-3</v>
      </c>
      <c r="AR7" s="5">
        <f>IF(AN7=0,0,'2023 Nto driftsutg landet'!$C$23*'2023 Lønnsand og arbavg landet'!$D$13*('2023 Arbavg tjeneste'!K7/'2023 Lønnsgr arbavg tjeneste'!K7-$AQ$17))</f>
        <v>10.260260668387842</v>
      </c>
      <c r="AS7" s="5">
        <f t="shared" si="20"/>
        <v>2761.6928025459451</v>
      </c>
      <c r="AT7" s="59">
        <f>IF('2023 Lønnsgr arbavg tjeneste'!L7&lt;100,0,(C7/$C$17)*'2023 Arbavg tjeneste'!L7/'2023 Lønnsgr arbavg tjeneste'!L7)</f>
        <v>6.6852088052515935E-3</v>
      </c>
      <c r="AU7" s="5">
        <f>IF('2023 Lønnsgr arbavg tjeneste'!L7&lt;100,0,C7)</f>
        <v>269164</v>
      </c>
      <c r="AV7" s="59">
        <f t="shared" si="5"/>
        <v>5.6050867342837714E-2</v>
      </c>
      <c r="AW7" s="59">
        <f t="shared" si="6"/>
        <v>1</v>
      </c>
      <c r="AX7" s="59">
        <f>IF(AU7=0,0,(AU7/$AU$17)*AW7*'2023 Arbavg tjeneste'!L7/'2023 Lønnsgr arbavg tjeneste'!L7)</f>
        <v>7.6762924605353654E-3</v>
      </c>
      <c r="AY7" s="5">
        <f>IF(AU7=0,0,'2023 Nto driftsutg landet'!$C$24*'2023 Lønnsand og arbavg landet'!$D$14*('2023 Arbavg tjeneste'!L7/'2023 Lønnsgr arbavg tjeneste'!L7-$AX$17))</f>
        <v>0.29037998284880912</v>
      </c>
      <c r="AZ7" s="5">
        <f t="shared" si="21"/>
        <v>78.159837703516857</v>
      </c>
      <c r="BA7" s="59">
        <f>IF('2023 Lønnsgr arbavg tjeneste'!M7&lt;100,0,(C7/$C$17)*'2023 Arbavg tjeneste'!M7/'2023 Lønnsgr arbavg tjeneste'!M7)</f>
        <v>6.8054388995205922E-3</v>
      </c>
      <c r="BB7" s="5">
        <f>IF('2023 Lønnsgr arbavg tjeneste'!M7&lt;100,0,C7)</f>
        <v>269164</v>
      </c>
      <c r="BC7" s="59">
        <f t="shared" si="7"/>
        <v>5.6050867342837714E-2</v>
      </c>
      <c r="BD7" s="59">
        <f t="shared" si="8"/>
        <v>1</v>
      </c>
      <c r="BE7" s="59">
        <f>IF(BB7=0,0,(BB7/$BB$17)*BD7*'2023 Arbavg tjeneste'!M7/'2023 Lønnsgr arbavg tjeneste'!M7)</f>
        <v>7.8143466923555564E-3</v>
      </c>
      <c r="BF7" s="5">
        <f>IF(BB7=0,0,'2023 Nto driftsutg landet'!$C$25*'2023 Lønnsand og arbavg landet'!$D$15*('2023 Arbavg tjeneste'!M7/'2023 Lønnsgr arbavg tjeneste'!M7-$BE$17))</f>
        <v>-2.0626545718036581E-2</v>
      </c>
      <c r="BG7" s="5">
        <f t="shared" si="22"/>
        <v>-5.5519235516495984</v>
      </c>
      <c r="BH7" s="59">
        <f>IF('2023 Lønnsgr arbavg tjeneste'!N7&lt;100,0,(C7/$C$17)*'2023 Arbavg tjeneste'!N7/'2023 Lønnsgr arbavg tjeneste'!N7)</f>
        <v>6.6187757639377311E-3</v>
      </c>
      <c r="BI7" s="5">
        <f>IF('2023 Lønnsgr arbavg tjeneste'!N7&lt;100,0,C7)</f>
        <v>269164</v>
      </c>
      <c r="BJ7" s="59">
        <f t="shared" si="9"/>
        <v>4.8814157854037026E-2</v>
      </c>
      <c r="BK7" s="59">
        <f t="shared" si="10"/>
        <v>1</v>
      </c>
      <c r="BL7" s="59">
        <f>IF(BI7=0,0,(BI7/$BI$17)*BK7*'2023 Arbavg tjeneste'!N7/'2023 Lønnsgr arbavg tjeneste'!N7)</f>
        <v>6.6187757639377311E-3</v>
      </c>
      <c r="BM7" s="5">
        <f>IF(BI7=0,0,'2023 Nto driftsutg landet'!$C$26*'2023 Lønnsand og arbavg landet'!$D$16*('2023 Arbavg tjeneste'!N7/'2023 Lønnsgr arbavg tjeneste'!N7-$BL$17))</f>
        <v>0.18835201187775788</v>
      </c>
      <c r="BN7" s="5">
        <f t="shared" si="23"/>
        <v>50.697580925064827</v>
      </c>
      <c r="BO7" s="59">
        <f>IF('2023 Lønnsgr arbavg tjeneste'!O7&lt;100,0,(C7/$C$17)*'2023 Arbavg tjeneste'!O7/'2023 Lønnsgr arbavg tjeneste'!O7)</f>
        <v>0</v>
      </c>
      <c r="BP7" s="5">
        <f>IF('2023 Lønnsgr arbavg tjeneste'!O7&lt;100,0,C7)</f>
        <v>0</v>
      </c>
      <c r="BQ7" s="59">
        <f t="shared" si="11"/>
        <v>0</v>
      </c>
      <c r="BR7" s="59">
        <f t="shared" si="12"/>
        <v>1</v>
      </c>
      <c r="BS7" s="59">
        <f>IF(BP7=0,0,(BP7/$BP$17)*BR7*'2023 Arbavg tjeneste'!O7/'2023 Lønnsgr arbavg tjeneste'!O7)</f>
        <v>0</v>
      </c>
      <c r="BT7" s="5">
        <f>IF(BP7=0,0,'2023 Nto driftsutg landet'!$C$27*'2023 Lønnsand og arbavg landet'!$D$17*('2023 Arbavg tjeneste'!O7/'2023 Lønnsgr arbavg tjeneste'!O7-$BS$17))</f>
        <v>0</v>
      </c>
      <c r="BU7" s="5">
        <f t="shared" si="24"/>
        <v>0</v>
      </c>
      <c r="BV7" s="59">
        <f>IF('2023 Lønnsgr arbavg tjeneste'!P7&lt;100,0,(C7/$C$17)*'2023 Arbavg tjeneste'!P7/'2023 Lønnsgr arbavg tjeneste'!P7)</f>
        <v>0</v>
      </c>
      <c r="BW7" s="5">
        <f>IF('2023 Lønnsgr arbavg tjeneste'!P7&lt;100,0,C7)</f>
        <v>0</v>
      </c>
      <c r="BX7" s="59">
        <f t="shared" si="13"/>
        <v>0</v>
      </c>
      <c r="BY7" s="59">
        <f t="shared" si="14"/>
        <v>1</v>
      </c>
      <c r="BZ7" s="59">
        <f>IF(BW7=0,0,(BW7/$BW$17)*BY7*'2023 Arbavg tjeneste'!P7/'2023 Lønnsgr arbavg tjeneste'!P7)</f>
        <v>0</v>
      </c>
      <c r="CA7" s="5">
        <f>IF(BW7=0,0,'2023 Nto driftsutg landet'!$C$28*'2023 Lønnsand og arbavg landet'!$D$18*('2023 Arbavg tjeneste'!P7/'2023 Lønnsgr arbavg tjeneste'!P7-$BZ$17))</f>
        <v>0</v>
      </c>
      <c r="CB7" s="5">
        <f t="shared" si="25"/>
        <v>0</v>
      </c>
      <c r="CC7" s="5"/>
      <c r="CD7" s="5"/>
      <c r="CE7" s="5"/>
    </row>
    <row r="8" spans="1:83" x14ac:dyDescent="0.3">
      <c r="A8" s="43">
        <v>1800</v>
      </c>
      <c r="B8" s="44" t="s">
        <v>143</v>
      </c>
      <c r="C8" s="44">
        <f>+'2023 Nto driftsutg'!W8</f>
        <v>241960</v>
      </c>
      <c r="D8" s="59">
        <f>IF('2023 Lønnsgr arbavg tjeneste'!D8&lt;100,0,(C8/$C$17)*'2023 Revekting utgiftsbehov'!D8*'2023 Arbavg tjeneste'!D8/'2023 Lønnsgr arbavg tjeneste'!D8)</f>
        <v>2.7922687918856639E-3</v>
      </c>
      <c r="E8" s="5">
        <f>IF('2023 Lønnsgr arbavg tjeneste'!D8&lt;100,0,C8)</f>
        <v>241960</v>
      </c>
      <c r="F8" s="59">
        <f>'2023 Revekting utgiftsbehov'!D8*E8/$E$17</f>
        <v>4.7625257205129057E-2</v>
      </c>
      <c r="G8" s="59">
        <f>'2023 Revekting utgiftsbehov'!D8/$F$17</f>
        <v>1.0853378047755213</v>
      </c>
      <c r="H8" s="59">
        <f>IF(E8=0,0,(E8/$E$17)*G8*'2023 Arbavg tjeneste'!D8/'2023 Lønnsgr arbavg tjeneste'!D8)</f>
        <v>2.7922687918856643E-3</v>
      </c>
      <c r="I8" s="5">
        <f>IF(E8=0,0,'2023 Nto driftsutg landet'!$C$5*'2023 Lønnsand og arbavg landet'!$D$6*('2023 Arbavg tjeneste'!D8/'2023 Lønnsgr arbavg tjeneste'!D8-$H$17)*'2023 Revekting utgiftsbehov'!D8)</f>
        <v>-340.12405256722741</v>
      </c>
      <c r="J8" s="5">
        <f t="shared" si="15"/>
        <v>-82296.415759166339</v>
      </c>
      <c r="K8" s="59">
        <f>IF('2023 Lønnsgr arbavg tjeneste'!E8&lt;100,0,(C8/$C$17)*'2023 Revekting utgiftsbehov'!E8*'2023 Arbavg tjeneste'!E8/'2023 Lønnsgr arbavg tjeneste'!E8)</f>
        <v>8.2689423218618337E-3</v>
      </c>
      <c r="L8" s="5">
        <f>IF('2023 Lønnsgr arbavg tjeneste'!E8&lt;100,0,C8)</f>
        <v>241960</v>
      </c>
      <c r="M8" s="59">
        <f>'2023 Revekting utgiftsbehov'!E8*L8/$L$17</f>
        <v>8.5049046958107458E-2</v>
      </c>
      <c r="N8" s="59">
        <f>'2023 Revekting utgiftsbehov'!E8/$M$17</f>
        <v>1.9381931214813777</v>
      </c>
      <c r="O8" s="59">
        <f>IF(L8=0,0,(L8/$L$17)*N8*'2023 Arbavg tjeneste'!E8/'2023 Lønnsgr arbavg tjeneste'!E8)</f>
        <v>8.2689423218618337E-3</v>
      </c>
      <c r="P8" s="5">
        <f>IF(L8=0,0,'2023 Nto driftsutg landet'!$C$6*'2023 Lønnsand og arbavg landet'!$D$7*('2023 Arbavg tjeneste'!E8/'2023 Lønnsgr arbavg tjeneste'!E8-$O$17)*'2023 Revekting utgiftsbehov'!E8)</f>
        <v>-42.621253064532283</v>
      </c>
      <c r="Q8" s="5">
        <f t="shared" si="16"/>
        <v>-10312.638391494231</v>
      </c>
      <c r="R8" s="59">
        <f>IF('2023 Lønnsgr arbavg tjeneste'!F8&lt;100,0,(C8/$C$17)*'2023 Revekting utgiftsbehov'!F8*'2023 Arbavg tjeneste'!F8/'2023 Lønnsgr arbavg tjeneste'!F8)</f>
        <v>4.3488273176540112E-3</v>
      </c>
      <c r="S8" s="5">
        <f>IF('2023 Lønnsgr arbavg tjeneste'!F8&lt;100,0,C8)</f>
        <v>241960</v>
      </c>
      <c r="T8" s="59">
        <f>'2023 Revekting utgiftsbehov'!F8*S8/$S$17</f>
        <v>5.9448411678979497E-2</v>
      </c>
      <c r="U8" s="59">
        <f>'2023 Revekting utgiftsbehov'!F8/$T$17</f>
        <v>1.3547771165025086</v>
      </c>
      <c r="V8" s="59">
        <f>IF(S8=0,0,(S8/$S$17)*U8*'2023 Arbavg tjeneste'!F8/'2023 Lønnsgr arbavg tjeneste'!F8)</f>
        <v>4.3488273176540112E-3</v>
      </c>
      <c r="W8" s="5">
        <f>IF(S8=0,0,'2023 Nto driftsutg landet'!$C$7*'2023 Lønnsand og arbavg landet'!$D$8*('2023 Arbavg tjeneste'!F8/'2023 Lønnsgr arbavg tjeneste'!F8-$V$17)*'2023 Revekting utgiftsbehov'!F8)</f>
        <v>-4.0658577305602766</v>
      </c>
      <c r="X8" s="5">
        <f t="shared" si="17"/>
        <v>-983.77493648636448</v>
      </c>
      <c r="Y8" s="59">
        <f>IF('2023 Lønnsgr arbavg tjeneste'!G8&lt;100,0,(C8/$C$17)*'2023 Revekting utgiftsbehov'!G8*'2023 Arbavg tjeneste'!G8/'2023 Lønnsgr arbavg tjeneste'!G8)</f>
        <v>1.6940277724998641E-2</v>
      </c>
      <c r="Z8" s="5">
        <f>IF('2023 Lønnsgr arbavg tjeneste'!G8&lt;100,0,C8)</f>
        <v>241960</v>
      </c>
      <c r="AA8" s="59">
        <f>'2023 Revekting utgiftsbehov'!G8*Z8/$Z$17</f>
        <v>0.52485798422779961</v>
      </c>
      <c r="AB8" s="59">
        <f>'2023 Revekting utgiftsbehov'!G8/$AA$17</f>
        <v>3.2389689542976696</v>
      </c>
      <c r="AC8" s="59">
        <f>IF(Z8=0,0,(Z8/$Z$17)*AB8*'2023 Arbavg tjeneste'!G8/'2023 Lønnsgr arbavg tjeneste'!G8)</f>
        <v>2.3766848857620308E-2</v>
      </c>
      <c r="AD8" s="5">
        <f>IF(Z8=0,0,'2023 Nto driftsutg landet'!$C$8*'2023 Lønnsand og arbavg landet'!$D$9*('2023 Arbavg tjeneste'!G8/'2023 Lønnsgr arbavg tjeneste'!G8-$AC$17)*'2023 Revekting utgiftsbehov'!G8)</f>
        <v>-0.5713581752945085</v>
      </c>
      <c r="AE8" s="5">
        <f t="shared" si="18"/>
        <v>-138.24582409425926</v>
      </c>
      <c r="AF8" s="59">
        <f>IF('2023 Lønnsgr arbavg tjeneste'!H8&lt;100,0,(C8/$C$17)*'2023 Revekting utgiftsbehov'!H8*'2023 Arbavg tjeneste'!H8/'2023 Lønnsgr arbavg tjeneste'!H8)</f>
        <v>2.8510036855602452E-3</v>
      </c>
      <c r="AG8" s="5">
        <f>IF('2023 Lønnsgr arbavg tjeneste'!H8&lt;100,0,C8)</f>
        <v>241960</v>
      </c>
      <c r="AH8" s="59">
        <f>'2023 Revekting utgiftsbehov'!H8*AG8/$AG$17</f>
        <v>5.0925677592769274E-2</v>
      </c>
      <c r="AI8" s="59">
        <f>'2023 Revekting utgiftsbehov'!H8/$AH$17</f>
        <v>1.1605514881983592</v>
      </c>
      <c r="AJ8" s="59">
        <f>IF(AG8=0,0,(AG8/$AG$17)*AI8*'2023 Arbavg tjeneste'!H8/'2023 Lønnsgr arbavg tjeneste'!H8)</f>
        <v>2.8510036855602452E-3</v>
      </c>
      <c r="AK8" s="5">
        <f>IF(AG8=0,0,'2023 Nto driftsutg landet'!$C$9*'2023 Lønnsand og arbavg landet'!$D$10*('2023 Arbavg tjeneste'!H8/'2023 Lønnsgr arbavg tjeneste'!H8-$AJ$17)*'2023 Revekting utgiftsbehov'!H8)</f>
        <v>-31.694480285384508</v>
      </c>
      <c r="AL8" s="5">
        <f t="shared" si="19"/>
        <v>-7668.7964498516358</v>
      </c>
      <c r="AM8" s="59">
        <f>IF('2023 Lønnsgr arbavg tjeneste'!K8&lt;100,0,(C8/$C$17)*'2023 Arbavg tjeneste'!K8/'2023 Lønnsgr arbavg tjeneste'!K8)</f>
        <v>3.190113327794287E-3</v>
      </c>
      <c r="AN8" s="5">
        <f>IF('2023 Lønnsgr arbavg tjeneste'!K8&lt;100,0,C8)</f>
        <v>241960</v>
      </c>
      <c r="AO8" s="59">
        <f t="shared" si="3"/>
        <v>4.3880584455435342E-2</v>
      </c>
      <c r="AP8" s="59">
        <f t="shared" si="4"/>
        <v>1</v>
      </c>
      <c r="AQ8" s="59">
        <f>IF(AN8=0,0,(AN8/$AN$17)*AP8*'2023 Arbavg tjeneste'!K8/'2023 Lønnsgr arbavg tjeneste'!K8)</f>
        <v>3.190113327794287E-3</v>
      </c>
      <c r="AR8" s="5">
        <f>IF(AN8=0,0,'2023 Nto driftsutg landet'!$C$23*'2023 Lønnsand og arbavg landet'!$D$13*('2023 Arbavg tjeneste'!K8/'2023 Lønnsgr arbavg tjeneste'!K8-$AQ$17))</f>
        <v>-24.319676607356044</v>
      </c>
      <c r="AS8" s="5">
        <f t="shared" si="20"/>
        <v>-5884.3889519158683</v>
      </c>
      <c r="AT8" s="59">
        <f>IF('2023 Lønnsgr arbavg tjeneste'!L8&lt;100,0,(C8/$C$17)*'2023 Arbavg tjeneste'!L8/'2023 Lønnsgr arbavg tjeneste'!L8)</f>
        <v>3.0473469530697193E-3</v>
      </c>
      <c r="AU8" s="5">
        <f>IF('2023 Lønnsgr arbavg tjeneste'!L8&lt;100,0,C8)</f>
        <v>241960</v>
      </c>
      <c r="AV8" s="59">
        <f t="shared" si="5"/>
        <v>5.0385890617887286E-2</v>
      </c>
      <c r="AW8" s="59">
        <f t="shared" si="6"/>
        <v>1</v>
      </c>
      <c r="AX8" s="59">
        <f>IF(AU8=0,0,(AU8/$AU$17)*AW8*'2023 Arbavg tjeneste'!L8/'2023 Lønnsgr arbavg tjeneste'!L8)</f>
        <v>3.499116799778725E-3</v>
      </c>
      <c r="AY8" s="5">
        <f>IF(AU8=0,0,'2023 Nto driftsutg landet'!$C$24*'2023 Lønnsand og arbavg landet'!$D$14*('2023 Arbavg tjeneste'!L8/'2023 Lønnsgr arbavg tjeneste'!L8-$AX$17))</f>
        <v>-4.0257977065586736</v>
      </c>
      <c r="AZ8" s="5">
        <f t="shared" si="21"/>
        <v>-974.08201307893671</v>
      </c>
      <c r="BA8" s="59">
        <f>IF('2023 Lønnsgr arbavg tjeneste'!M8&lt;100,0,(C8/$C$17)*'2023 Arbavg tjeneste'!M8/'2023 Lønnsgr arbavg tjeneste'!M8)</f>
        <v>3.2604373065383821E-3</v>
      </c>
      <c r="BB8" s="5">
        <f>IF('2023 Lønnsgr arbavg tjeneste'!M8&lt;100,0,C8)</f>
        <v>241960</v>
      </c>
      <c r="BC8" s="59">
        <f t="shared" si="7"/>
        <v>5.0385890617887286E-2</v>
      </c>
      <c r="BD8" s="59">
        <f t="shared" si="8"/>
        <v>1</v>
      </c>
      <c r="BE8" s="59">
        <f>IF(BB8=0,0,(BB8/$BB$17)*BD8*'2023 Arbavg tjeneste'!M8/'2023 Lønnsgr arbavg tjeneste'!M8)</f>
        <v>3.7437978443646994E-3</v>
      </c>
      <c r="BF8" s="5">
        <f>IF(BB8=0,0,'2023 Nto driftsutg landet'!$C$25*'2023 Lønnsand og arbavg landet'!$D$15*('2023 Arbavg tjeneste'!M8/'2023 Lønnsgr arbavg tjeneste'!M8-$BE$17))</f>
        <v>0.29863097439263747</v>
      </c>
      <c r="BG8" s="5">
        <f t="shared" si="22"/>
        <v>72.256750564042562</v>
      </c>
      <c r="BH8" s="59">
        <f>IF('2023 Lønnsgr arbavg tjeneste'!N8&lt;100,0,(C8/$C$17)*'2023 Arbavg tjeneste'!N8/'2023 Lønnsgr arbavg tjeneste'!N8)</f>
        <v>2.6252087625410849E-3</v>
      </c>
      <c r="BI8" s="5">
        <f>IF('2023 Lønnsgr arbavg tjeneste'!N8&lt;100,0,C8)</f>
        <v>241960</v>
      </c>
      <c r="BJ8" s="59">
        <f t="shared" si="9"/>
        <v>4.3880584455435342E-2</v>
      </c>
      <c r="BK8" s="59">
        <f t="shared" si="10"/>
        <v>1</v>
      </c>
      <c r="BL8" s="59">
        <f>IF(BI8=0,0,(BI8/$BI$17)*BK8*'2023 Arbavg tjeneste'!N8/'2023 Lønnsgr arbavg tjeneste'!N8)</f>
        <v>2.6252087625410849E-3</v>
      </c>
      <c r="BM8" s="5">
        <f>IF(BI8=0,0,'2023 Nto driftsutg landet'!$C$26*'2023 Lønnsand og arbavg landet'!$D$16*('2023 Arbavg tjeneste'!N8/'2023 Lønnsgr arbavg tjeneste'!N8-$BL$17))</f>
        <v>-2.4838924680038228</v>
      </c>
      <c r="BN8" s="5">
        <f t="shared" si="23"/>
        <v>-601.00262155820496</v>
      </c>
      <c r="BO8" s="59">
        <f>IF('2023 Lønnsgr arbavg tjeneste'!O8&lt;100,0,(C8/$C$17)*'2023 Arbavg tjeneste'!O8/'2023 Lønnsgr arbavg tjeneste'!O8)</f>
        <v>0</v>
      </c>
      <c r="BP8" s="5">
        <f>IF('2023 Lønnsgr arbavg tjeneste'!O8&lt;100,0,C8)</f>
        <v>0</v>
      </c>
      <c r="BQ8" s="59">
        <f t="shared" si="11"/>
        <v>0</v>
      </c>
      <c r="BR8" s="59">
        <f t="shared" si="12"/>
        <v>1</v>
      </c>
      <c r="BS8" s="59">
        <f>IF(BP8=0,0,(BP8/$BP$17)*BR8*'2023 Arbavg tjeneste'!O8/'2023 Lønnsgr arbavg tjeneste'!O8)</f>
        <v>0</v>
      </c>
      <c r="BT8" s="5">
        <f>IF(BP8=0,0,'2023 Nto driftsutg landet'!$C$27*'2023 Lønnsand og arbavg landet'!$D$17*('2023 Arbavg tjeneste'!O8/'2023 Lønnsgr arbavg tjeneste'!O8-$BS$17))</f>
        <v>0</v>
      </c>
      <c r="BU8" s="5">
        <f t="shared" si="24"/>
        <v>0</v>
      </c>
      <c r="BV8" s="59">
        <f>IF('2023 Lønnsgr arbavg tjeneste'!P8&lt;100,0,(C8/$C$17)*'2023 Arbavg tjeneste'!P8/'2023 Lønnsgr arbavg tjeneste'!P8)</f>
        <v>0</v>
      </c>
      <c r="BW8" s="5">
        <f>IF('2023 Lønnsgr arbavg tjeneste'!P8&lt;100,0,C8)</f>
        <v>0</v>
      </c>
      <c r="BX8" s="59">
        <f t="shared" si="13"/>
        <v>0</v>
      </c>
      <c r="BY8" s="59">
        <f t="shared" si="14"/>
        <v>1</v>
      </c>
      <c r="BZ8" s="59">
        <f>IF(BW8=0,0,(BW8/$BW$17)*BY8*'2023 Arbavg tjeneste'!P8/'2023 Lønnsgr arbavg tjeneste'!P8)</f>
        <v>0</v>
      </c>
      <c r="CA8" s="5">
        <f>IF(BW8=0,0,'2023 Nto driftsutg landet'!$C$28*'2023 Lønnsand og arbavg landet'!$D$18*('2023 Arbavg tjeneste'!P8/'2023 Lønnsgr arbavg tjeneste'!P8-$BZ$17))</f>
        <v>0</v>
      </c>
      <c r="CB8" s="5">
        <f t="shared" si="25"/>
        <v>0</v>
      </c>
      <c r="CC8" s="5"/>
      <c r="CD8" s="5"/>
      <c r="CE8" s="5"/>
    </row>
    <row r="9" spans="1:83" x14ac:dyDescent="0.3">
      <c r="A9" s="43">
        <v>3000</v>
      </c>
      <c r="B9" s="44" t="s">
        <v>341</v>
      </c>
      <c r="C9" s="44">
        <f>+'2023 Nto driftsutg'!W9</f>
        <v>1300096</v>
      </c>
      <c r="D9" s="59">
        <f>IF('2023 Lønnsgr arbavg tjeneste'!D9&lt;100,0,(C9/$C$17)*'2023 Revekting utgiftsbehov'!D9*'2023 Arbavg tjeneste'!D9/'2023 Lønnsgr arbavg tjeneste'!D9)</f>
        <v>3.4481185123041949E-2</v>
      </c>
      <c r="E9" s="5">
        <f>IF('2023 Lønnsgr arbavg tjeneste'!D9&lt;100,0,C9)</f>
        <v>1300096</v>
      </c>
      <c r="F9" s="59">
        <f>'2023 Revekting utgiftsbehov'!D9*E9/$E$17</f>
        <v>0.23836049048609598</v>
      </c>
      <c r="G9" s="59">
        <f>'2023 Revekting utgiftsbehov'!D9/$F$17</f>
        <v>1.0109508011160719</v>
      </c>
      <c r="H9" s="59">
        <f>IF(E9=0,0,(E9/$E$17)*G9*'2023 Arbavg tjeneste'!D9/'2023 Lønnsgr arbavg tjeneste'!D9)</f>
        <v>3.4481185123041956E-2</v>
      </c>
      <c r="I9" s="5">
        <f>IF(E9=0,0,'2023 Nto driftsutg landet'!$C$5*'2023 Lønnsand og arbavg landet'!$D$6*('2023 Arbavg tjeneste'!D9/'2023 Lønnsgr arbavg tjeneste'!D9-$H$17)*'2023 Revekting utgiftsbehov'!D9)</f>
        <v>63.597928827574776</v>
      </c>
      <c r="J9" s="5">
        <f t="shared" si="15"/>
        <v>82683.412877014649</v>
      </c>
      <c r="K9" s="59">
        <f>IF('2023 Lønnsgr arbavg tjeneste'!E9&lt;100,0,(C9/$C$17)*'2023 Revekting utgiftsbehov'!E9*'2023 Arbavg tjeneste'!E9/'2023 Lønnsgr arbavg tjeneste'!E9)</f>
        <v>3.6840725290181592E-2</v>
      </c>
      <c r="L9" s="5">
        <f>IF('2023 Lønnsgr arbavg tjeneste'!E9&lt;100,0,C9)</f>
        <v>1300096</v>
      </c>
      <c r="M9" s="59">
        <f>'2023 Revekting utgiftsbehov'!E9*L9/$L$17</f>
        <v>0.14294762646220679</v>
      </c>
      <c r="N9" s="59">
        <f>'2023 Revekting utgiftsbehov'!E9/$M$17</f>
        <v>0.60627924197881555</v>
      </c>
      <c r="O9" s="59">
        <f>IF(L9=0,0,(L9/$L$17)*N9*'2023 Arbavg tjeneste'!E9/'2023 Lønnsgr arbavg tjeneste'!E9)</f>
        <v>3.6840725290181592E-2</v>
      </c>
      <c r="P9" s="5">
        <f>IF(L9=0,0,'2023 Nto driftsutg landet'!$C$6*'2023 Lønnsand og arbavg landet'!$D$7*('2023 Arbavg tjeneste'!E9/'2023 Lønnsgr arbavg tjeneste'!E9-$O$17)*'2023 Revekting utgiftsbehov'!E9)</f>
        <v>3.7596244112094768</v>
      </c>
      <c r="Q9" s="5">
        <f t="shared" si="16"/>
        <v>4887.8726585157965</v>
      </c>
      <c r="R9" s="59">
        <f>IF('2023 Lønnsgr arbavg tjeneste'!F9&lt;100,0,(C9/$C$17)*'2023 Revekting utgiftsbehov'!F9*'2023 Arbavg tjeneste'!F9/'2023 Lønnsgr arbavg tjeneste'!F9)</f>
        <v>2.1206014373813371E-2</v>
      </c>
      <c r="S9" s="5">
        <f>IF('2023 Lønnsgr arbavg tjeneste'!F9&lt;100,0,C9)</f>
        <v>1300096</v>
      </c>
      <c r="T9" s="59">
        <f>'2023 Revekting utgiftsbehov'!F9*S9/$S$17</f>
        <v>0.15400471544489103</v>
      </c>
      <c r="U9" s="59">
        <f>'2023 Revekting utgiftsbehov'!F9/$T$17</f>
        <v>0.65317532338165341</v>
      </c>
      <c r="V9" s="59">
        <f>IF(S9=0,0,(S9/$S$17)*U9*'2023 Arbavg tjeneste'!F9/'2023 Lønnsgr arbavg tjeneste'!F9)</f>
        <v>2.1206014373813371E-2</v>
      </c>
      <c r="W9" s="5">
        <f>IF(S9=0,0,'2023 Nto driftsutg landet'!$C$7*'2023 Lønnsand og arbavg landet'!$D$8*('2023 Arbavg tjeneste'!F9/'2023 Lønnsgr arbavg tjeneste'!F9-$V$17)*'2023 Revekting utgiftsbehov'!F9)</f>
        <v>0.15600710553995367</v>
      </c>
      <c r="X9" s="5">
        <f t="shared" si="17"/>
        <v>202.82421388407161</v>
      </c>
      <c r="Y9" s="59">
        <f>IF('2023 Lønnsgr arbavg tjeneste'!G9&lt;100,0,(C9/$C$17)*'2023 Revekting utgiftsbehov'!G9*'2023 Arbavg tjeneste'!G9/'2023 Lønnsgr arbavg tjeneste'!G9)</f>
        <v>0</v>
      </c>
      <c r="Z9" s="5">
        <f>IF('2023 Lønnsgr arbavg tjeneste'!G9&lt;100,0,C9)</f>
        <v>0</v>
      </c>
      <c r="AA9" s="59">
        <f>'2023 Revekting utgiftsbehov'!G9*Z9/$Z$17</f>
        <v>0</v>
      </c>
      <c r="AB9" s="59">
        <f>'2023 Revekting utgiftsbehov'!G9/$AA$17</f>
        <v>1.613655188161597E-2</v>
      </c>
      <c r="AC9" s="59">
        <f>IF(Z9=0,0,(Z9/$Z$17)*AB9*'2023 Arbavg tjeneste'!G9/'2023 Lønnsgr arbavg tjeneste'!G9)</f>
        <v>0</v>
      </c>
      <c r="AD9" s="5">
        <f>IF(Z9=0,0,'2023 Nto driftsutg landet'!$C$8*'2023 Lønnsand og arbavg landet'!$D$9*('2023 Arbavg tjeneste'!G9/'2023 Lønnsgr arbavg tjeneste'!G9-$AC$17)*'2023 Revekting utgiftsbehov'!G9)</f>
        <v>0</v>
      </c>
      <c r="AE9" s="5">
        <f t="shared" si="18"/>
        <v>0</v>
      </c>
      <c r="AF9" s="59">
        <f>IF('2023 Lønnsgr arbavg tjeneste'!H9&lt;100,0,(C9/$C$17)*'2023 Revekting utgiftsbehov'!H9*'2023 Arbavg tjeneste'!H9/'2023 Lønnsgr arbavg tjeneste'!H9)</f>
        <v>3.2523922011160465E-2</v>
      </c>
      <c r="AG9" s="5">
        <f>IF('2023 Lønnsgr arbavg tjeneste'!H9&lt;100,0,C9)</f>
        <v>1300096</v>
      </c>
      <c r="AH9" s="59">
        <f>'2023 Revekting utgiftsbehov'!H9*AG9/$AG$17</f>
        <v>0.22743207422836331</v>
      </c>
      <c r="AI9" s="59">
        <f>'2023 Revekting utgiftsbehov'!H9/$AH$17</f>
        <v>0.96460045526742033</v>
      </c>
      <c r="AJ9" s="59">
        <f>IF(AG9=0,0,(AG9/$AG$17)*AI9*'2023 Arbavg tjeneste'!H9/'2023 Lønnsgr arbavg tjeneste'!H9)</f>
        <v>3.2523922011160465E-2</v>
      </c>
      <c r="AK9" s="5">
        <f>IF(AG9=0,0,'2023 Nto driftsutg landet'!$C$9*'2023 Lønnsand og arbavg landet'!$D$10*('2023 Arbavg tjeneste'!H9/'2023 Lønnsgr arbavg tjeneste'!H9-$AJ$17)*'2023 Revekting utgiftsbehov'!H9)</f>
        <v>5.9889667847064798</v>
      </c>
      <c r="AL9" s="5">
        <f t="shared" si="19"/>
        <v>7786.2317609297561</v>
      </c>
      <c r="AM9" s="59">
        <f>IF('2023 Lønnsgr arbavg tjeneste'!K9&lt;100,0,(C9/$C$17)*'2023 Arbavg tjeneste'!K9/'2023 Lønnsgr arbavg tjeneste'!K9)</f>
        <v>1.339663969377901E-2</v>
      </c>
      <c r="AN9" s="5">
        <f>IF('2023 Lønnsgr arbavg tjeneste'!K9&lt;100,0,C9)</f>
        <v>1300096</v>
      </c>
      <c r="AO9" s="59">
        <f t="shared" si="3"/>
        <v>0.23577852673240896</v>
      </c>
      <c r="AP9" s="59">
        <f t="shared" si="4"/>
        <v>1</v>
      </c>
      <c r="AQ9" s="59">
        <f>IF(AN9=0,0,(AN9/$AN$17)*AP9*'2023 Arbavg tjeneste'!K9/'2023 Lønnsgr arbavg tjeneste'!K9)</f>
        <v>1.339663969377901E-2</v>
      </c>
      <c r="AR9" s="5">
        <f>IF(AN9=0,0,'2023 Nto driftsutg landet'!$C$23*'2023 Lønnsand og arbavg landet'!$D$13*('2023 Arbavg tjeneste'!K9/'2023 Lønnsgr arbavg tjeneste'!K9-$AQ$17))</f>
        <v>-32.098074667801605</v>
      </c>
      <c r="AS9" s="5">
        <f t="shared" si="20"/>
        <v>-41730.578483310193</v>
      </c>
      <c r="AT9" s="59">
        <f>IF('2023 Lønnsgr arbavg tjeneste'!L9&lt;100,0,(C9/$C$17)*'2023 Arbavg tjeneste'!L9/'2023 Lønnsgr arbavg tjeneste'!L9)</f>
        <v>3.4093959835235159E-2</v>
      </c>
      <c r="AU9" s="5">
        <f>IF('2023 Lønnsgr arbavg tjeneste'!L9&lt;100,0,C9)</f>
        <v>1300096</v>
      </c>
      <c r="AV9" s="59">
        <f t="shared" si="5"/>
        <v>0.27073274445673989</v>
      </c>
      <c r="AW9" s="59">
        <f t="shared" si="6"/>
        <v>1</v>
      </c>
      <c r="AX9" s="59">
        <f>IF(AU9=0,0,(AU9/$AU$17)*AW9*'2023 Arbavg tjeneste'!L9/'2023 Lønnsgr arbavg tjeneste'!L9)</f>
        <v>3.9148396775194189E-2</v>
      </c>
      <c r="AY9" s="5">
        <f>IF(AU9=0,0,'2023 Nto driftsutg landet'!$C$24*'2023 Lønnsand og arbavg landet'!$D$14*('2023 Arbavg tjeneste'!L9/'2023 Lønnsgr arbavg tjeneste'!L9-$AX$17))</f>
        <v>0.77946454885653516</v>
      </c>
      <c r="AZ9" s="5">
        <f t="shared" si="21"/>
        <v>1013.378742110186</v>
      </c>
      <c r="BA9" s="59">
        <f>IF('2023 Lønnsgr arbavg tjeneste'!M9&lt;100,0,(C9/$C$17)*'2023 Arbavg tjeneste'!M9/'2023 Lønnsgr arbavg tjeneste'!M9)</f>
        <v>3.5576003868642826E-2</v>
      </c>
      <c r="BB9" s="5">
        <f>IF('2023 Lønnsgr arbavg tjeneste'!M9&lt;100,0,C9)</f>
        <v>1300096</v>
      </c>
      <c r="BC9" s="59">
        <f t="shared" si="7"/>
        <v>0.27073274445673989</v>
      </c>
      <c r="BD9" s="59">
        <f t="shared" si="8"/>
        <v>1</v>
      </c>
      <c r="BE9" s="59">
        <f>IF(BB9=0,0,(BB9/$BB$17)*BD9*'2023 Arbavg tjeneste'!M9/'2023 Lønnsgr arbavg tjeneste'!M9)</f>
        <v>4.0850154157984042E-2</v>
      </c>
      <c r="BF9" s="5">
        <f>IF(BB9=0,0,'2023 Nto driftsutg landet'!$C$25*'2023 Lønnsand og arbavg landet'!$D$15*('2023 Arbavg tjeneste'!M9/'2023 Lønnsgr arbavg tjeneste'!M9-$BE$17))</f>
        <v>-7.6876003036193144E-2</v>
      </c>
      <c r="BG9" s="5">
        <f t="shared" si="22"/>
        <v>-99.946184043342569</v>
      </c>
      <c r="BH9" s="59">
        <f>IF('2023 Lønnsgr arbavg tjeneste'!N9&lt;100,0,(C9/$C$17)*'2023 Arbavg tjeneste'!N9/'2023 Lønnsgr arbavg tjeneste'!N9)</f>
        <v>3.4093863126206742E-2</v>
      </c>
      <c r="BI9" s="5">
        <f>IF('2023 Lønnsgr arbavg tjeneste'!N9&lt;100,0,C9)</f>
        <v>1300096</v>
      </c>
      <c r="BJ9" s="59">
        <f t="shared" si="9"/>
        <v>0.23577852673240896</v>
      </c>
      <c r="BK9" s="59">
        <f t="shared" si="10"/>
        <v>1</v>
      </c>
      <c r="BL9" s="59">
        <f>IF(BI9=0,0,(BI9/$BI$17)*BK9*'2023 Arbavg tjeneste'!N9/'2023 Lønnsgr arbavg tjeneste'!N9)</f>
        <v>3.4093863126206742E-2</v>
      </c>
      <c r="BM9" s="5">
        <f>IF(BI9=0,0,'2023 Nto driftsutg landet'!$C$26*'2023 Lønnsand og arbavg landet'!$D$16*('2023 Arbavg tjeneste'!N9/'2023 Lønnsgr arbavg tjeneste'!N9-$BL$17))</f>
        <v>0.50613257922647104</v>
      </c>
      <c r="BN9" s="5">
        <f t="shared" si="23"/>
        <v>658.02094172201805</v>
      </c>
      <c r="BO9" s="59">
        <f>IF('2023 Lønnsgr arbavg tjeneste'!O9&lt;100,0,(C9/$C$17)*'2023 Arbavg tjeneste'!O9/'2023 Lønnsgr arbavg tjeneste'!O9)</f>
        <v>3.4237478502934383E-2</v>
      </c>
      <c r="BP9" s="5">
        <f>IF('2023 Lønnsgr arbavg tjeneste'!O9&lt;100,0,C9)</f>
        <v>1300096</v>
      </c>
      <c r="BQ9" s="59">
        <f t="shared" si="11"/>
        <v>0.75098010107445767</v>
      </c>
      <c r="BR9" s="59">
        <f t="shared" si="12"/>
        <v>1</v>
      </c>
      <c r="BS9" s="59">
        <f>IF(BP9=0,0,(BP9/$BP$17)*BR9*'2023 Arbavg tjeneste'!O9/'2023 Lønnsgr arbavg tjeneste'!O9)</f>
        <v>0.10905007094157075</v>
      </c>
      <c r="BT9" s="5">
        <f>IF(BP9=0,0,'2023 Nto driftsutg landet'!$C$27*'2023 Lønnsand og arbavg landet'!$D$17*('2023 Arbavg tjeneste'!O9/'2023 Lønnsgr arbavg tjeneste'!O9-$BS$17))</f>
        <v>4.187712986532117E-3</v>
      </c>
      <c r="BU9" s="5">
        <f t="shared" si="24"/>
        <v>5.4444289029384594</v>
      </c>
      <c r="BV9" s="59">
        <f>IF('2023 Lønnsgr arbavg tjeneste'!P9&lt;100,0,(C9/$C$17)*'2023 Arbavg tjeneste'!P9/'2023 Lønnsgr arbavg tjeneste'!P9)</f>
        <v>3.3566942927934558E-2</v>
      </c>
      <c r="BW9" s="5">
        <f>IF('2023 Lønnsgr arbavg tjeneste'!P9&lt;100,0,C9)</f>
        <v>1300096</v>
      </c>
      <c r="BX9" s="59">
        <f t="shared" si="13"/>
        <v>0.3411808762819909</v>
      </c>
      <c r="BY9" s="59">
        <f t="shared" si="14"/>
        <v>1</v>
      </c>
      <c r="BZ9" s="59">
        <f>IF(BW9=0,0,(BW9/$BW$17)*BY9*'2023 Arbavg tjeneste'!P9/'2023 Lønnsgr arbavg tjeneste'!P9)</f>
        <v>4.8572697272207102E-2</v>
      </c>
      <c r="CA9" s="5">
        <f>IF(BW9=0,0,'2023 Nto driftsutg landet'!$C$28*'2023 Lønnsand og arbavg landet'!$D$18*('2023 Arbavg tjeneste'!P9/'2023 Lønnsgr arbavg tjeneste'!P9-$BZ$17))</f>
        <v>-1.1272422151664085E-2</v>
      </c>
      <c r="CB9" s="5">
        <f t="shared" si="25"/>
        <v>-14.655230949689871</v>
      </c>
      <c r="CC9" s="5"/>
      <c r="CD9" s="5"/>
      <c r="CE9" s="5"/>
    </row>
    <row r="10" spans="1:83" x14ac:dyDescent="0.3">
      <c r="A10" s="43">
        <v>3400</v>
      </c>
      <c r="B10" s="44" t="s">
        <v>342</v>
      </c>
      <c r="C10" s="44">
        <f>+'2023 Nto driftsutg'!W10</f>
        <v>374624</v>
      </c>
      <c r="D10" s="59">
        <f>IF('2023 Lønnsgr arbavg tjeneste'!D10&lt;100,0,(C10/$C$17)*'2023 Revekting utgiftsbehov'!D10*'2023 Arbavg tjeneste'!D10/'2023 Lønnsgr arbavg tjeneste'!D10)</f>
        <v>8.6450684291483962E-3</v>
      </c>
      <c r="E10" s="5">
        <f>IF('2023 Lønnsgr arbavg tjeneste'!D10&lt;100,0,C10)</f>
        <v>374624</v>
      </c>
      <c r="F10" s="59">
        <f>'2023 Revekting utgiftsbehov'!D10*E10/$E$17</f>
        <v>6.8363758514205994E-2</v>
      </c>
      <c r="G10" s="59">
        <f>'2023 Revekting utgiftsbehov'!D10/$F$17</f>
        <v>1.0062398373243806</v>
      </c>
      <c r="H10" s="59">
        <f>IF(E10=0,0,(E10/$E$17)*G10*'2023 Arbavg tjeneste'!D10/'2023 Lønnsgr arbavg tjeneste'!D10)</f>
        <v>8.6450684291483979E-3</v>
      </c>
      <c r="I10" s="5">
        <f>IF(E10=0,0,'2023 Nto driftsutg landet'!$C$5*'2023 Lønnsand og arbavg landet'!$D$6*('2023 Arbavg tjeneste'!D10/'2023 Lønnsgr arbavg tjeneste'!D10-$H$17)*'2023 Revekting utgiftsbehov'!D10)</f>
        <v>-16.813868670400307</v>
      </c>
      <c r="J10" s="5">
        <f t="shared" si="15"/>
        <v>-6298.8787367800451</v>
      </c>
      <c r="K10" s="59">
        <f>IF('2023 Lønnsgr arbavg tjeneste'!E10&lt;100,0,(C10/$C$17)*'2023 Revekting utgiftsbehov'!E10*'2023 Arbavg tjeneste'!E10/'2023 Lønnsgr arbavg tjeneste'!E10)</f>
        <v>1.3031293826226241E-2</v>
      </c>
      <c r="L10" s="5">
        <f>IF('2023 Lønnsgr arbavg tjeneste'!E10&lt;100,0,C10)</f>
        <v>374624</v>
      </c>
      <c r="M10" s="59">
        <f>'2023 Revekting utgiftsbehov'!E10*L10/$L$17</f>
        <v>0.10309596274290869</v>
      </c>
      <c r="N10" s="59">
        <f>'2023 Revekting utgiftsbehov'!E10/$M$17</f>
        <v>1.5174599383336682</v>
      </c>
      <c r="O10" s="59">
        <f>IF(L10=0,0,(L10/$L$17)*N10*'2023 Arbavg tjeneste'!E10/'2023 Lønnsgr arbavg tjeneste'!E10)</f>
        <v>1.3031293826226241E-2</v>
      </c>
      <c r="P10" s="5">
        <f>IF(L10=0,0,'2023 Nto driftsutg landet'!$C$6*'2023 Lønnsand og arbavg landet'!$D$7*('2023 Arbavg tjeneste'!E10/'2023 Lønnsgr arbavg tjeneste'!E10-$O$17)*'2023 Revekting utgiftsbehov'!E10)</f>
        <v>-25.593086029467319</v>
      </c>
      <c r="Q10" s="5">
        <f t="shared" si="16"/>
        <v>-9587.7842607031653</v>
      </c>
      <c r="R10" s="59">
        <f>IF('2023 Lønnsgr arbavg tjeneste'!F10&lt;100,0,(C10/$C$17)*'2023 Revekting utgiftsbehov'!F10*'2023 Arbavg tjeneste'!F10/'2023 Lønnsgr arbavg tjeneste'!F10)</f>
        <v>9.1107612466832417E-3</v>
      </c>
      <c r="S10" s="5">
        <f>IF('2023 Lønnsgr arbavg tjeneste'!F10&lt;100,0,C10)</f>
        <v>374624</v>
      </c>
      <c r="T10" s="59">
        <f>'2023 Revekting utgiftsbehov'!F10*S10/$S$17</f>
        <v>6.4073991734869287E-2</v>
      </c>
      <c r="U10" s="59">
        <f>'2023 Revekting utgiftsbehov'!F10/$T$17</f>
        <v>0.94309915694030932</v>
      </c>
      <c r="V10" s="59">
        <f>IF(S10=0,0,(S10/$S$17)*U10*'2023 Arbavg tjeneste'!F10/'2023 Lønnsgr arbavg tjeneste'!F10)</f>
        <v>9.1107612466832417E-3</v>
      </c>
      <c r="W10" s="5">
        <f>IF(S10=0,0,'2023 Nto driftsutg landet'!$C$7*'2023 Lønnsand og arbavg landet'!$D$8*('2023 Arbavg tjeneste'!F10/'2023 Lønnsgr arbavg tjeneste'!F10-$V$17)*'2023 Revekting utgiftsbehov'!F10)</f>
        <v>0.43800969820412344</v>
      </c>
      <c r="X10" s="5">
        <f t="shared" si="17"/>
        <v>164.08894518002154</v>
      </c>
      <c r="Y10" s="59">
        <f>IF('2023 Lønnsgr arbavg tjeneste'!G10&lt;100,0,(C10/$C$17)*'2023 Revekting utgiftsbehov'!G10*'2023 Arbavg tjeneste'!G10/'2023 Lønnsgr arbavg tjeneste'!G10)</f>
        <v>5.8456848779830353E-4</v>
      </c>
      <c r="Z10" s="5">
        <f>IF('2023 Lønnsgr arbavg tjeneste'!G10&lt;100,0,C10)</f>
        <v>374624</v>
      </c>
      <c r="AA10" s="59">
        <f>'2023 Revekting utgiftsbehov'!G10*Z10/$Z$17</f>
        <v>9.1955629271275527E-3</v>
      </c>
      <c r="AB10" s="59">
        <f>'2023 Revekting utgiftsbehov'!G10/$AA$17</f>
        <v>3.6651459805514007E-2</v>
      </c>
      <c r="AC10" s="59">
        <f>IF(Z10=0,0,(Z10/$Z$17)*AB10*'2023 Arbavg tjeneste'!G10/'2023 Lønnsgr arbavg tjeneste'!G10)</f>
        <v>8.2013713836152891E-4</v>
      </c>
      <c r="AD10" s="5">
        <f>IF(Z10=0,0,'2023 Nto driftsutg landet'!$C$8*'2023 Lønnsand og arbavg landet'!$D$9*('2023 Arbavg tjeneste'!G10/'2023 Lønnsgr arbavg tjeneste'!G10-$AC$17)*'2023 Revekting utgiftsbehov'!G10)</f>
        <v>1.0493639004220451E-2</v>
      </c>
      <c r="AE10" s="5">
        <f t="shared" si="18"/>
        <v>3.9311690183170822</v>
      </c>
      <c r="AF10" s="59">
        <f>IF('2023 Lønnsgr arbavg tjeneste'!H10&lt;100,0,(C10/$C$17)*'2023 Revekting utgiftsbehov'!H10*'2023 Arbavg tjeneste'!H10/'2023 Lønnsgr arbavg tjeneste'!H10)</f>
        <v>8.5649726696886679E-3</v>
      </c>
      <c r="AG10" s="5">
        <f>IF('2023 Lønnsgr arbavg tjeneste'!H10&lt;100,0,C10)</f>
        <v>374624</v>
      </c>
      <c r="AH10" s="59">
        <f>'2023 Revekting utgiftsbehov'!H10*AG10/$AG$17</f>
        <v>6.9410108271441728E-2</v>
      </c>
      <c r="AI10" s="59">
        <f>'2023 Revekting utgiftsbehov'!H10/$AH$17</f>
        <v>1.0216409626046192</v>
      </c>
      <c r="AJ10" s="59">
        <f>IF(AG10=0,0,(AG10/$AG$17)*AI10*'2023 Arbavg tjeneste'!H10/'2023 Lønnsgr arbavg tjeneste'!H10)</f>
        <v>8.5649726696886679E-3</v>
      </c>
      <c r="AK10" s="5">
        <f>IF(AG10=0,0,'2023 Nto driftsutg landet'!$C$9*'2023 Lønnsand og arbavg landet'!$D$10*('2023 Arbavg tjeneste'!H10/'2023 Lønnsgr arbavg tjeneste'!H10-$AJ$17)*'2023 Revekting utgiftsbehov'!H10)</f>
        <v>-1.3730170049344332</v>
      </c>
      <c r="AL10" s="5">
        <f t="shared" si="19"/>
        <v>-514.36512245655717</v>
      </c>
      <c r="AM10" s="59">
        <f>IF('2023 Lønnsgr arbavg tjeneste'!K10&lt;100,0,(C10/$C$17)*'2023 Arbavg tjeneste'!K10/'2023 Lønnsgr arbavg tjeneste'!K10)</f>
        <v>9.8235994998307121E-3</v>
      </c>
      <c r="AN10" s="5">
        <f>IF('2023 Lønnsgr arbavg tjeneste'!K10&lt;100,0,C10)</f>
        <v>374624</v>
      </c>
      <c r="AO10" s="59">
        <f t="shared" si="3"/>
        <v>6.7939825057997241E-2</v>
      </c>
      <c r="AP10" s="59">
        <f t="shared" si="4"/>
        <v>1</v>
      </c>
      <c r="AQ10" s="59">
        <f>IF(AN10=0,0,(AN10/$AN$17)*AP10*'2023 Arbavg tjeneste'!K10/'2023 Lønnsgr arbavg tjeneste'!K10)</f>
        <v>9.8235994998307121E-3</v>
      </c>
      <c r="AR10" s="5">
        <f>IF(AN10=0,0,'2023 Nto driftsutg landet'!$C$23*'2023 Lønnsand og arbavg landet'!$D$13*('2023 Arbavg tjeneste'!K10/'2023 Lønnsgr arbavg tjeneste'!K10-$AQ$17))</f>
        <v>10.892570826456817</v>
      </c>
      <c r="AS10" s="5">
        <f t="shared" si="20"/>
        <v>4080.6184532905586</v>
      </c>
      <c r="AT10" s="59">
        <f>IF('2023 Lønnsgr arbavg tjeneste'!L10&lt;100,0,(C10/$C$17)*'2023 Arbavg tjeneste'!L10/'2023 Lønnsgr arbavg tjeneste'!L10)</f>
        <v>9.6826609264877433E-3</v>
      </c>
      <c r="AU10" s="5">
        <f>IF('2023 Lønnsgr arbavg tjeneste'!L10&lt;100,0,C10)</f>
        <v>374624</v>
      </c>
      <c r="AV10" s="59">
        <f t="shared" si="5"/>
        <v>7.8011918857808754E-2</v>
      </c>
      <c r="AW10" s="59">
        <f t="shared" si="6"/>
        <v>1</v>
      </c>
      <c r="AX10" s="59">
        <f>IF(AU10=0,0,(AU10/$AU$17)*AW10*'2023 Arbavg tjeneste'!L10/'2023 Lønnsgr arbavg tjeneste'!L10)</f>
        <v>1.1118117508839873E-2</v>
      </c>
      <c r="AY10" s="5">
        <f>IF(AU10=0,0,'2023 Nto driftsutg landet'!$C$24*'2023 Lønnsand og arbavg landet'!$D$14*('2023 Arbavg tjeneste'!L10/'2023 Lønnsgr arbavg tjeneste'!L10-$AX$17))</f>
        <v>0.64625386875411794</v>
      </c>
      <c r="AZ10" s="5">
        <f t="shared" si="21"/>
        <v>242.10220932814269</v>
      </c>
      <c r="BA10" s="59">
        <f>IF('2023 Lønnsgr arbavg tjeneste'!M10&lt;100,0,(C10/$C$17)*'2023 Arbavg tjeneste'!M10/'2023 Lønnsgr arbavg tjeneste'!M10)</f>
        <v>9.71778151807242E-3</v>
      </c>
      <c r="BB10" s="5">
        <f>IF('2023 Lønnsgr arbavg tjeneste'!M10&lt;100,0,C10)</f>
        <v>374624</v>
      </c>
      <c r="BC10" s="59">
        <f t="shared" si="7"/>
        <v>7.8011918857808754E-2</v>
      </c>
      <c r="BD10" s="59">
        <f t="shared" si="8"/>
        <v>1</v>
      </c>
      <c r="BE10" s="59">
        <f>IF(BB10=0,0,(BB10/$BB$17)*BD10*'2023 Arbavg tjeneste'!M10/'2023 Lønnsgr arbavg tjeneste'!M10)</f>
        <v>1.1158444735744025E-2</v>
      </c>
      <c r="BF10" s="5">
        <f>IF(BB10=0,0,'2023 Nto driftsutg landet'!$C$25*'2023 Lønnsand og arbavg landet'!$D$15*('2023 Arbavg tjeneste'!M10/'2023 Lønnsgr arbavg tjeneste'!M10-$BE$17))</f>
        <v>-3.8375251141337358E-2</v>
      </c>
      <c r="BG10" s="5">
        <f t="shared" si="22"/>
        <v>-14.376290083572366</v>
      </c>
      <c r="BH10" s="59">
        <f>IF('2023 Lønnsgr arbavg tjeneste'!N10&lt;100,0,(C10/$C$17)*'2023 Arbavg tjeneste'!N10/'2023 Lønnsgr arbavg tjeneste'!N10)</f>
        <v>9.6326719555609504E-3</v>
      </c>
      <c r="BI10" s="5">
        <f>IF('2023 Lønnsgr arbavg tjeneste'!N10&lt;100,0,C10)</f>
        <v>374624</v>
      </c>
      <c r="BJ10" s="59">
        <f t="shared" si="9"/>
        <v>6.7939825057997241E-2</v>
      </c>
      <c r="BK10" s="59">
        <f t="shared" si="10"/>
        <v>1</v>
      </c>
      <c r="BL10" s="59">
        <f>IF(BI10=0,0,(BI10/$BI$17)*BK10*'2023 Arbavg tjeneste'!N10/'2023 Lønnsgr arbavg tjeneste'!N10)</f>
        <v>9.6326719555609504E-3</v>
      </c>
      <c r="BM10" s="5">
        <f>IF(BI10=0,0,'2023 Nto driftsutg landet'!$C$26*'2023 Lønnsand og arbavg landet'!$D$16*('2023 Arbavg tjeneste'!N10/'2023 Lønnsgr arbavg tjeneste'!N10-$BL$17))</f>
        <v>0.40671264588035722</v>
      </c>
      <c r="BN10" s="5">
        <f t="shared" si="23"/>
        <v>152.36431825028293</v>
      </c>
      <c r="BO10" s="59">
        <f>IF('2023 Lønnsgr arbavg tjeneste'!O10&lt;100,0,(C10/$C$17)*'2023 Arbavg tjeneste'!O10/'2023 Lønnsgr arbavg tjeneste'!O10)</f>
        <v>0</v>
      </c>
      <c r="BP10" s="5">
        <f>IF('2023 Lønnsgr arbavg tjeneste'!O10&lt;100,0,C10)</f>
        <v>0</v>
      </c>
      <c r="BQ10" s="59">
        <f t="shared" si="11"/>
        <v>0</v>
      </c>
      <c r="BR10" s="59">
        <f t="shared" si="12"/>
        <v>1</v>
      </c>
      <c r="BS10" s="59">
        <f>IF(BP10=0,0,(BP10/$BP$17)*BR10*'2023 Arbavg tjeneste'!O10/'2023 Lønnsgr arbavg tjeneste'!O10)</f>
        <v>0</v>
      </c>
      <c r="BT10" s="5">
        <f>IF(BP10=0,0,'2023 Nto driftsutg landet'!$C$27*'2023 Lønnsand og arbavg landet'!$D$17*('2023 Arbavg tjeneste'!O10/'2023 Lønnsgr arbavg tjeneste'!O10-$BS$17))</f>
        <v>0</v>
      </c>
      <c r="BU10" s="5">
        <f t="shared" si="24"/>
        <v>0</v>
      </c>
      <c r="BV10" s="59">
        <f>IF('2023 Lønnsgr arbavg tjeneste'!P10&lt;100,0,(C10/$C$17)*'2023 Arbavg tjeneste'!P10/'2023 Lønnsgr arbavg tjeneste'!P10)</f>
        <v>9.649108725354268E-3</v>
      </c>
      <c r="BW10" s="5">
        <f>IF('2023 Lønnsgr arbavg tjeneste'!P10&lt;100,0,C10)</f>
        <v>374624</v>
      </c>
      <c r="BX10" s="59">
        <f t="shared" si="13"/>
        <v>9.831162052361099E-2</v>
      </c>
      <c r="BY10" s="59">
        <f t="shared" si="14"/>
        <v>1</v>
      </c>
      <c r="BZ10" s="59">
        <f>IF(BW10=0,0,(BW10/$BW$17)*BY10*'2023 Arbavg tjeneste'!P10/'2023 Lønnsgr arbavg tjeneste'!P10)</f>
        <v>1.3962642891533763E-2</v>
      </c>
      <c r="CA10" s="5">
        <f>IF(BW10=0,0,'2023 Nto driftsutg landet'!$C$28*'2023 Lønnsand og arbavg landet'!$D$18*('2023 Arbavg tjeneste'!P10/'2023 Lønnsgr arbavg tjeneste'!P10-$BZ$17))</f>
        <v>-9.84594669345038E-3</v>
      </c>
      <c r="CB10" s="5">
        <f t="shared" si="25"/>
        <v>-3.6885279340871553</v>
      </c>
      <c r="CC10" s="5"/>
      <c r="CD10" s="5"/>
      <c r="CE10" s="5"/>
    </row>
    <row r="11" spans="1:83" x14ac:dyDescent="0.3">
      <c r="A11" s="43">
        <v>3800</v>
      </c>
      <c r="B11" s="44" t="s">
        <v>343</v>
      </c>
      <c r="C11" s="44">
        <f>+'2023 Nto driftsutg'!W11</f>
        <v>431103</v>
      </c>
      <c r="D11" s="59">
        <f>IF('2023 Lønnsgr arbavg tjeneste'!D11&lt;100,0,(C11/$C$17)*'2023 Revekting utgiftsbehov'!D11*'2023 Arbavg tjeneste'!D11/'2023 Lønnsgr arbavg tjeneste'!D11)</f>
        <v>1.1259018055951097E-2</v>
      </c>
      <c r="E11" s="5">
        <f>IF('2023 Lønnsgr arbavg tjeneste'!D11&lt;100,0,C11)</f>
        <v>431103</v>
      </c>
      <c r="F11" s="59">
        <f>'2023 Revekting utgiftsbehov'!D11*E11/$E$17</f>
        <v>8.0113483607837141E-2</v>
      </c>
      <c r="G11" s="59">
        <f>'2023 Revekting utgiftsbehov'!D11/$F$17</f>
        <v>1.0246976591874706</v>
      </c>
      <c r="H11" s="59">
        <f>IF(E11=0,0,(E11/$E$17)*G11*'2023 Arbavg tjeneste'!D11/'2023 Lønnsgr arbavg tjeneste'!D11)</f>
        <v>1.1259018055951102E-2</v>
      </c>
      <c r="I11" s="5">
        <f>IF(E11=0,0,'2023 Nto driftsutg landet'!$C$5*'2023 Lønnsand og arbavg landet'!$D$6*('2023 Arbavg tjeneste'!D11/'2023 Lønnsgr arbavg tjeneste'!D11-$H$17)*'2023 Revekting utgiftsbehov'!D11)</f>
        <v>45.990493203645293</v>
      </c>
      <c r="J11" s="5">
        <f t="shared" si="15"/>
        <v>19826.639591571096</v>
      </c>
      <c r="K11" s="59">
        <f>IF('2023 Lønnsgr arbavg tjeneste'!E11&lt;100,0,(C11/$C$17)*'2023 Revekting utgiftsbehov'!E11*'2023 Arbavg tjeneste'!E11/'2023 Lønnsgr arbavg tjeneste'!E11)</f>
        <v>9.9537738289604463E-3</v>
      </c>
      <c r="L11" s="5">
        <f>IF('2023 Lønnsgr arbavg tjeneste'!E11&lt;100,0,C11)</f>
        <v>431103</v>
      </c>
      <c r="M11" s="59">
        <f>'2023 Revekting utgiftsbehov'!E11*L11/$L$17</f>
        <v>6.8627385582169631E-2</v>
      </c>
      <c r="N11" s="59">
        <f>'2023 Revekting utgiftsbehov'!E11/$M$17</f>
        <v>0.87778384106275287</v>
      </c>
      <c r="O11" s="59">
        <f>IF(L11=0,0,(L11/$L$17)*N11*'2023 Arbavg tjeneste'!E11/'2023 Lønnsgr arbavg tjeneste'!E11)</f>
        <v>9.9537738289604463E-3</v>
      </c>
      <c r="P11" s="5">
        <f>IF(L11=0,0,'2023 Nto driftsutg landet'!$C$6*'2023 Lønnsand og arbavg landet'!$D$7*('2023 Arbavg tjeneste'!E11/'2023 Lønnsgr arbavg tjeneste'!E11-$O$17)*'2023 Revekting utgiftsbehov'!E11)</f>
        <v>-11.93030743053427</v>
      </c>
      <c r="Q11" s="5">
        <f t="shared" si="16"/>
        <v>-5143.191324225616</v>
      </c>
      <c r="R11" s="59">
        <f>IF('2023 Lønnsgr arbavg tjeneste'!F11&lt;100,0,(C11/$C$17)*'2023 Revekting utgiftsbehov'!F11*'2023 Arbavg tjeneste'!F11/'2023 Lønnsgr arbavg tjeneste'!F11)</f>
        <v>7.4634676569005848E-3</v>
      </c>
      <c r="S11" s="5">
        <f>IF('2023 Lønnsgr arbavg tjeneste'!F11&lt;100,0,C11)</f>
        <v>431103</v>
      </c>
      <c r="T11" s="59">
        <f>'2023 Revekting utgiftsbehov'!F11*S11/$S$17</f>
        <v>5.2189562778583373E-2</v>
      </c>
      <c r="U11" s="59">
        <f>'2023 Revekting utgiftsbehov'!F11/$T$17</f>
        <v>0.66753460722060465</v>
      </c>
      <c r="V11" s="59">
        <f>IF(S11=0,0,(S11/$S$17)*U11*'2023 Arbavg tjeneste'!F11/'2023 Lønnsgr arbavg tjeneste'!F11)</f>
        <v>7.4634676569005848E-3</v>
      </c>
      <c r="W11" s="5">
        <f>IF(S11=0,0,'2023 Nto driftsutg landet'!$C$7*'2023 Lønnsand og arbavg landet'!$D$8*('2023 Arbavg tjeneste'!F11/'2023 Lønnsgr arbavg tjeneste'!F11-$V$17)*'2023 Revekting utgiftsbehov'!F11)</f>
        <v>0.33735873043542769</v>
      </c>
      <c r="X11" s="5">
        <f t="shared" si="17"/>
        <v>145.43636076690419</v>
      </c>
      <c r="Y11" s="59">
        <f>IF('2023 Lønnsgr arbavg tjeneste'!G11&lt;100,0,(C11/$C$17)*'2023 Revekting utgiftsbehov'!G11*'2023 Arbavg tjeneste'!G11/'2023 Lønnsgr arbavg tjeneste'!G11)</f>
        <v>0</v>
      </c>
      <c r="Z11" s="5">
        <f>IF('2023 Lønnsgr arbavg tjeneste'!G11&lt;100,0,C11)</f>
        <v>0</v>
      </c>
      <c r="AA11" s="59">
        <f>'2023 Revekting utgiftsbehov'!G11*Z11/$Z$17</f>
        <v>0</v>
      </c>
      <c r="AB11" s="59">
        <f>'2023 Revekting utgiftsbehov'!G11/$AA$17</f>
        <v>8.2948097703551826E-2</v>
      </c>
      <c r="AC11" s="59">
        <f>IF(Z11=0,0,(Z11/$Z$17)*AB11*'2023 Arbavg tjeneste'!G11/'2023 Lønnsgr arbavg tjeneste'!G11)</f>
        <v>0</v>
      </c>
      <c r="AD11" s="5">
        <f>IF(Z11=0,0,'2023 Nto driftsutg landet'!$C$8*'2023 Lønnsand og arbavg landet'!$D$9*('2023 Arbavg tjeneste'!G11/'2023 Lønnsgr arbavg tjeneste'!G11-$AC$17)*'2023 Revekting utgiftsbehov'!G11)</f>
        <v>0</v>
      </c>
      <c r="AE11" s="5">
        <f t="shared" si="18"/>
        <v>0</v>
      </c>
      <c r="AF11" s="59">
        <f>IF('2023 Lønnsgr arbavg tjeneste'!H11&lt;100,0,(C11/$C$17)*'2023 Revekting utgiftsbehov'!H11*'2023 Arbavg tjeneste'!H11/'2023 Lønnsgr arbavg tjeneste'!H11)</f>
        <v>1.058295420975677E-2</v>
      </c>
      <c r="AG11" s="5">
        <f>IF('2023 Lønnsgr arbavg tjeneste'!H11&lt;100,0,C11)</f>
        <v>431103</v>
      </c>
      <c r="AH11" s="59">
        <f>'2023 Revekting utgiftsbehov'!H11*AG11/$AG$17</f>
        <v>7.5470155003862935E-2</v>
      </c>
      <c r="AI11" s="59">
        <f>'2023 Revekting utgiftsbehov'!H11/$AH$17</f>
        <v>0.96530680839609195</v>
      </c>
      <c r="AJ11" s="59">
        <f>IF(AG11=0,0,(AG11/$AG$17)*AI11*'2023 Arbavg tjeneste'!H11/'2023 Lønnsgr arbavg tjeneste'!H11)</f>
        <v>1.058295420975677E-2</v>
      </c>
      <c r="AK11" s="5">
        <f>IF(AG11=0,0,'2023 Nto driftsutg landet'!$C$9*'2023 Lønnsand og arbavg landet'!$D$10*('2023 Arbavg tjeneste'!H11/'2023 Lønnsgr arbavg tjeneste'!H11-$AJ$17)*'2023 Revekting utgiftsbehov'!H11)</f>
        <v>4.9604609080459108</v>
      </c>
      <c r="AL11" s="5">
        <f t="shared" si="19"/>
        <v>2138.469578841316</v>
      </c>
      <c r="AM11" s="59">
        <f>IF('2023 Lønnsgr arbavg tjeneste'!K11&lt;100,0,(C11/$C$17)*'2023 Arbavg tjeneste'!K11/'2023 Lønnsgr arbavg tjeneste'!K11)</f>
        <v>1.1370357742086321E-2</v>
      </c>
      <c r="AN11" s="5">
        <f>IF('2023 Lønnsgr arbavg tjeneste'!K11&lt;100,0,C11)</f>
        <v>431103</v>
      </c>
      <c r="AO11" s="59">
        <f t="shared" si="3"/>
        <v>7.8182557449543499E-2</v>
      </c>
      <c r="AP11" s="59">
        <f t="shared" si="4"/>
        <v>1</v>
      </c>
      <c r="AQ11" s="59">
        <f>IF(AN11=0,0,(AN11/$AN$17)*AP11*'2023 Arbavg tjeneste'!K11/'2023 Lønnsgr arbavg tjeneste'!K11)</f>
        <v>1.1370357742086321E-2</v>
      </c>
      <c r="AR11" s="5">
        <f>IF(AN11=0,0,'2023 Nto driftsutg landet'!$C$23*'2023 Lønnsand og arbavg landet'!$D$13*('2023 Arbavg tjeneste'!K11/'2023 Lønnsgr arbavg tjeneste'!K11-$AQ$17))</f>
        <v>11.304375578778838</v>
      </c>
      <c r="AS11" s="5">
        <f t="shared" si="20"/>
        <v>4873.3502251382934</v>
      </c>
      <c r="AT11" s="59">
        <f>IF('2023 Lønnsgr arbavg tjeneste'!L11&lt;100,0,(C11/$C$17)*'2023 Arbavg tjeneste'!L11/'2023 Lønnsgr arbavg tjeneste'!L11)</f>
        <v>1.0721956631958815E-2</v>
      </c>
      <c r="AU11" s="5">
        <f>IF('2023 Lønnsgr arbavg tjeneste'!L11&lt;100,0,C11)</f>
        <v>431103</v>
      </c>
      <c r="AV11" s="59">
        <f t="shared" si="5"/>
        <v>8.9773138547871806E-2</v>
      </c>
      <c r="AW11" s="59">
        <f t="shared" si="6"/>
        <v>1</v>
      </c>
      <c r="AX11" s="59">
        <f>IF(AU11=0,0,(AU11/$AU$17)*AW11*'2023 Arbavg tjeneste'!L11/'2023 Lønnsgr arbavg tjeneste'!L11)</f>
        <v>1.2311489028052149E-2</v>
      </c>
      <c r="AY11" s="5">
        <f>IF(AU11=0,0,'2023 Nto driftsutg landet'!$C$24*'2023 Lønnsand og arbavg landet'!$D$14*('2023 Arbavg tjeneste'!L11/'2023 Lønnsgr arbavg tjeneste'!L11-$AX$17))</f>
        <v>0.30238480659768285</v>
      </c>
      <c r="AZ11" s="5">
        <f t="shared" si="21"/>
        <v>130.35899727868087</v>
      </c>
      <c r="BA11" s="59">
        <f>IF('2023 Lønnsgr arbavg tjeneste'!M11&lt;100,0,(C11/$C$17)*'2023 Arbavg tjeneste'!M11/'2023 Lønnsgr arbavg tjeneste'!M11)</f>
        <v>1.1833637279524885E-2</v>
      </c>
      <c r="BB11" s="5">
        <f>IF('2023 Lønnsgr arbavg tjeneste'!M11&lt;100,0,C11)</f>
        <v>431103</v>
      </c>
      <c r="BC11" s="59">
        <f t="shared" si="7"/>
        <v>8.9773138547871806E-2</v>
      </c>
      <c r="BD11" s="59">
        <f t="shared" si="8"/>
        <v>1</v>
      </c>
      <c r="BE11" s="59">
        <f>IF(BB11=0,0,(BB11/$BB$17)*BD11*'2023 Arbavg tjeneste'!M11/'2023 Lønnsgr arbavg tjeneste'!M11)</f>
        <v>1.3587976572724038E-2</v>
      </c>
      <c r="BF11" s="5">
        <f>IF(BB11=0,0,'2023 Nto driftsutg landet'!$C$25*'2023 Lønnsand og arbavg landet'!$D$15*('2023 Arbavg tjeneste'!M11/'2023 Lønnsgr arbavg tjeneste'!M11-$BE$17))</f>
        <v>-7.918865541797071E-2</v>
      </c>
      <c r="BG11" s="5">
        <f t="shared" si="22"/>
        <v>-34.138466916653428</v>
      </c>
      <c r="BH11" s="59">
        <f>IF('2023 Lønnsgr arbavg tjeneste'!N11&lt;100,0,(C11/$C$17)*'2023 Arbavg tjeneste'!N11/'2023 Lønnsgr arbavg tjeneste'!N11)</f>
        <v>1.0997818352702315E-2</v>
      </c>
      <c r="BI11" s="5">
        <f>IF('2023 Lønnsgr arbavg tjeneste'!N11&lt;100,0,C11)</f>
        <v>431103</v>
      </c>
      <c r="BJ11" s="59">
        <f t="shared" si="9"/>
        <v>7.8182557449543499E-2</v>
      </c>
      <c r="BK11" s="59">
        <f t="shared" si="10"/>
        <v>1</v>
      </c>
      <c r="BL11" s="59">
        <f>IF(BI11=0,0,(BI11/$BI$17)*BK11*'2023 Arbavg tjeneste'!N11/'2023 Lønnsgr arbavg tjeneste'!N11)</f>
        <v>1.0997818352702315E-2</v>
      </c>
      <c r="BM11" s="5">
        <f>IF(BI11=0,0,'2023 Nto driftsutg landet'!$C$26*'2023 Lønnsand og arbavg landet'!$D$16*('2023 Arbavg tjeneste'!N11/'2023 Lønnsgr arbavg tjeneste'!N11-$BL$17))</f>
        <v>0.36742286476413166</v>
      </c>
      <c r="BN11" s="5">
        <f t="shared" si="23"/>
        <v>158.39709926841147</v>
      </c>
      <c r="BO11" s="59">
        <f>IF('2023 Lønnsgr arbavg tjeneste'!O11&lt;100,0,(C11/$C$17)*'2023 Arbavg tjeneste'!O11/'2023 Lønnsgr arbavg tjeneste'!O11)</f>
        <v>8.350109877264169E-3</v>
      </c>
      <c r="BP11" s="5">
        <f>IF('2023 Lønnsgr arbavg tjeneste'!O11&lt;100,0,C11)</f>
        <v>431103</v>
      </c>
      <c r="BQ11" s="59">
        <f t="shared" si="11"/>
        <v>0.24901989892554235</v>
      </c>
      <c r="BR11" s="59">
        <f t="shared" si="12"/>
        <v>1</v>
      </c>
      <c r="BS11" s="59">
        <f>IF(BP11=0,0,(BP11/$BP$17)*BR11*'2023 Arbavg tjeneste'!O11/'2023 Lønnsgr arbavg tjeneste'!O11)</f>
        <v>2.6596002810415065E-2</v>
      </c>
      <c r="BT11" s="5">
        <f>IF(BP11=0,0,'2023 Nto driftsutg landet'!$C$27*'2023 Lønnsand og arbavg landet'!$D$17*('2023 Arbavg tjeneste'!O11/'2023 Lønnsgr arbavg tjeneste'!O11-$BS$17))</f>
        <v>-1.2629067538241324E-2</v>
      </c>
      <c r="BU11" s="5">
        <f t="shared" si="24"/>
        <v>-5.4444289029384487</v>
      </c>
      <c r="BV11" s="59">
        <f>IF('2023 Lønnsgr arbavg tjeneste'!P11&lt;100,0,(C11/$C$17)*'2023 Arbavg tjeneste'!P11/'2023 Lønnsgr arbavg tjeneste'!P11)</f>
        <v>1.1876913098892401E-2</v>
      </c>
      <c r="BW11" s="5">
        <f>IF('2023 Lønnsgr arbavg tjeneste'!P11&lt;100,0,C11)</f>
        <v>431103</v>
      </c>
      <c r="BX11" s="59">
        <f t="shared" si="13"/>
        <v>0.11313326039599778</v>
      </c>
      <c r="BY11" s="59">
        <f t="shared" si="14"/>
        <v>1</v>
      </c>
      <c r="BZ11" s="59">
        <f>IF(BW11=0,0,(BW11/$BW$17)*BY11*'2023 Arbavg tjeneste'!P11/'2023 Lønnsgr arbavg tjeneste'!P11)</f>
        <v>1.7186364147588732E-2</v>
      </c>
      <c r="CA11" s="5">
        <f>IF(BW11=0,0,'2023 Nto driftsutg landet'!$C$28*'2023 Lønnsand og arbavg landet'!$D$18*('2023 Arbavg tjeneste'!P11/'2023 Lønnsgr arbavg tjeneste'!P11-$BZ$17))</f>
        <v>-5.1080699895024818E-2</v>
      </c>
      <c r="CB11" s="5">
        <f t="shared" si="25"/>
        <v>-22.021042966844885</v>
      </c>
      <c r="CC11" s="5"/>
      <c r="CD11" s="5"/>
      <c r="CE11" s="5"/>
    </row>
    <row r="12" spans="1:83" x14ac:dyDescent="0.3">
      <c r="A12" s="43">
        <v>4200</v>
      </c>
      <c r="B12" s="44" t="s">
        <v>344</v>
      </c>
      <c r="C12" s="44">
        <f>+'2023 Nto driftsutg'!W12</f>
        <v>317444</v>
      </c>
      <c r="D12" s="59">
        <f>IF('2023 Lønnsgr arbavg tjeneste'!D12&lt;100,0,(C12/$C$17)*'2023 Revekting utgiftsbehov'!D12*'2023 Arbavg tjeneste'!D12/'2023 Lønnsgr arbavg tjeneste'!D12)</f>
        <v>8.8168202280665166E-3</v>
      </c>
      <c r="E12" s="5">
        <f>IF('2023 Lønnsgr arbavg tjeneste'!D12&lt;100,0,C12)</f>
        <v>317444</v>
      </c>
      <c r="F12" s="59">
        <f>'2023 Revekting utgiftsbehov'!D12*E12/$E$17</f>
        <v>6.2421324801316777E-2</v>
      </c>
      <c r="G12" s="59">
        <f>'2023 Revekting utgiftsbehov'!D12/$F$17</f>
        <v>1.0842689751535692</v>
      </c>
      <c r="H12" s="59">
        <f>IF(E12=0,0,(E12/$E$17)*G12*'2023 Arbavg tjeneste'!D12/'2023 Lønnsgr arbavg tjeneste'!D12)</f>
        <v>8.8168202280665183E-3</v>
      </c>
      <c r="I12" s="5">
        <f>IF(E12=0,0,'2023 Nto driftsutg landet'!$C$5*'2023 Lønnsand og arbavg landet'!$D$6*('2023 Arbavg tjeneste'!D12/'2023 Lønnsgr arbavg tjeneste'!D12-$H$17)*'2023 Revekting utgiftsbehov'!D12)</f>
        <v>52.024544370473087</v>
      </c>
      <c r="J12" s="5">
        <f t="shared" si="15"/>
        <v>16514.879463140456</v>
      </c>
      <c r="K12" s="59">
        <f>IF('2023 Lønnsgr arbavg tjeneste'!E12&lt;100,0,(C12/$C$17)*'2023 Revekting utgiftsbehov'!E12*'2023 Arbavg tjeneste'!E12/'2023 Lønnsgr arbavg tjeneste'!E12)</f>
        <v>1.5191947931831498E-2</v>
      </c>
      <c r="L12" s="5">
        <f>IF('2023 Lønnsgr arbavg tjeneste'!E12&lt;100,0,C12)</f>
        <v>317444</v>
      </c>
      <c r="M12" s="59">
        <f>'2023 Revekting utgiftsbehov'!E12*L12/$L$17</f>
        <v>7.0301995089393332E-2</v>
      </c>
      <c r="N12" s="59">
        <f>'2023 Revekting utgiftsbehov'!E12/$M$17</f>
        <v>1.2211575516772717</v>
      </c>
      <c r="O12" s="59">
        <f>IF(L12=0,0,(L12/$L$17)*N12*'2023 Arbavg tjeneste'!E12/'2023 Lønnsgr arbavg tjeneste'!E12)</f>
        <v>1.5191947931831498E-2</v>
      </c>
      <c r="P12" s="5">
        <f>IF(L12=0,0,'2023 Nto driftsutg landet'!$C$6*'2023 Lønnsand og arbavg landet'!$D$7*('2023 Arbavg tjeneste'!E12/'2023 Lønnsgr arbavg tjeneste'!E12-$O$17)*'2023 Revekting utgiftsbehov'!E12)</f>
        <v>-1.3561692599936066</v>
      </c>
      <c r="Q12" s="5">
        <f t="shared" si="16"/>
        <v>-430.50779456941046</v>
      </c>
      <c r="R12" s="59">
        <f>IF('2023 Lønnsgr arbavg tjeneste'!F12&lt;100,0,(C12/$C$17)*'2023 Revekting utgiftsbehov'!F12*'2023 Arbavg tjeneste'!F12/'2023 Lønnsgr arbavg tjeneste'!F12)</f>
        <v>7.0767712439747136E-3</v>
      </c>
      <c r="S12" s="5">
        <f>IF('2023 Lønnsgr arbavg tjeneste'!F12&lt;100,0,C12)</f>
        <v>317444</v>
      </c>
      <c r="T12" s="59">
        <f>'2023 Revekting utgiftsbehov'!F12*S12/$S$17</f>
        <v>4.4907243544478948E-2</v>
      </c>
      <c r="U12" s="59">
        <f>'2023 Revekting utgiftsbehov'!F12/$T$17</f>
        <v>0.78004641987215195</v>
      </c>
      <c r="V12" s="59">
        <f>IF(S12=0,0,(S12/$S$17)*U12*'2023 Arbavg tjeneste'!F12/'2023 Lønnsgr arbavg tjeneste'!F12)</f>
        <v>7.0767712439747136E-3</v>
      </c>
      <c r="W12" s="5">
        <f>IF(S12=0,0,'2023 Nto driftsutg landet'!$C$7*'2023 Lønnsand og arbavg landet'!$D$8*('2023 Arbavg tjeneste'!F12/'2023 Lønnsgr arbavg tjeneste'!F12-$V$17)*'2023 Revekting utgiftsbehov'!F12)</f>
        <v>0.9651029209221601</v>
      </c>
      <c r="X12" s="5">
        <f t="shared" si="17"/>
        <v>306.36613162921424</v>
      </c>
      <c r="Y12" s="59">
        <f>IF('2023 Lønnsgr arbavg tjeneste'!G12&lt;100,0,(C12/$C$17)*'2023 Revekting utgiftsbehov'!G12*'2023 Arbavg tjeneste'!G12/'2023 Lønnsgr arbavg tjeneste'!G12)</f>
        <v>1.0741541296131162E-3</v>
      </c>
      <c r="Z12" s="5">
        <f>IF('2023 Lønnsgr arbavg tjeneste'!G12&lt;100,0,C12)</f>
        <v>317444</v>
      </c>
      <c r="AA12" s="59">
        <f>'2023 Revekting utgiftsbehov'!G12*Z12/$Z$17</f>
        <v>1.7412147874887724E-2</v>
      </c>
      <c r="AB12" s="59">
        <f>'2023 Revekting utgiftsbehov'!G12/$AA$17</f>
        <v>8.1901862288316626E-2</v>
      </c>
      <c r="AC12" s="59">
        <f>IF(Z12=0,0,(Z12/$Z$17)*AB12*'2023 Arbavg tjeneste'!G12/'2023 Lønnsgr arbavg tjeneste'!G12)</f>
        <v>1.5070153667333499E-3</v>
      </c>
      <c r="AD12" s="5">
        <f>IF(Z12=0,0,'2023 Nto driftsutg landet'!$C$8*'2023 Lønnsand og arbavg landet'!$D$9*('2023 Arbavg tjeneste'!G12/'2023 Lønnsgr arbavg tjeneste'!G12-$AC$17)*'2023 Revekting utgiftsbehov'!G12)</f>
        <v>2.1171670252327215E-2</v>
      </c>
      <c r="AE12" s="5">
        <f t="shared" si="18"/>
        <v>6.7208196915797611</v>
      </c>
      <c r="AF12" s="59">
        <f>IF('2023 Lønnsgr arbavg tjeneste'!H12&lt;100,0,(C12/$C$17)*'2023 Revekting utgiftsbehov'!H12*'2023 Arbavg tjeneste'!H12/'2023 Lønnsgr arbavg tjeneste'!H12)</f>
        <v>8.4045268243743438E-3</v>
      </c>
      <c r="AG12" s="5">
        <f>IF('2023 Lønnsgr arbavg tjeneste'!H12&lt;100,0,C12)</f>
        <v>317444</v>
      </c>
      <c r="AH12" s="59">
        <f>'2023 Revekting utgiftsbehov'!H12*AG12/$AG$17</f>
        <v>5.9803843054344483E-2</v>
      </c>
      <c r="AI12" s="59">
        <f>'2023 Revekting utgiftsbehov'!H12/$AH$17</f>
        <v>1.0388028742608666</v>
      </c>
      <c r="AJ12" s="59">
        <f>IF(AG12=0,0,(AG12/$AG$17)*AI12*'2023 Arbavg tjeneste'!H12/'2023 Lønnsgr arbavg tjeneste'!H12)</f>
        <v>8.4045268243743438E-3</v>
      </c>
      <c r="AK12" s="5">
        <f>IF(AG12=0,0,'2023 Nto driftsutg landet'!$C$9*'2023 Lønnsand og arbavg landet'!$D$10*('2023 Arbavg tjeneste'!H12/'2023 Lønnsgr arbavg tjeneste'!H12-$AJ$17)*'2023 Revekting utgiftsbehov'!H12)</f>
        <v>5.4613298137119735</v>
      </c>
      <c r="AL12" s="5">
        <f t="shared" si="19"/>
        <v>1733.6663813839837</v>
      </c>
      <c r="AM12" s="59">
        <f>IF('2023 Lønnsgr arbavg tjeneste'!K12&lt;100,0,(C12/$C$17)*'2023 Arbavg tjeneste'!K12/'2023 Lønnsgr arbavg tjeneste'!K12)</f>
        <v>6.8423973317406194E-3</v>
      </c>
      <c r="AN12" s="5">
        <f>IF('2023 Lønnsgr arbavg tjeneste'!K12&lt;100,0,C12)</f>
        <v>317444</v>
      </c>
      <c r="AO12" s="59">
        <f t="shared" si="3"/>
        <v>5.7569963018148526E-2</v>
      </c>
      <c r="AP12" s="59">
        <f t="shared" si="4"/>
        <v>1</v>
      </c>
      <c r="AQ12" s="59">
        <f>IF(AN12=0,0,(AN12/$AN$17)*AP12*'2023 Arbavg tjeneste'!K12/'2023 Lønnsgr arbavg tjeneste'!K12)</f>
        <v>6.8423973317406194E-3</v>
      </c>
      <c r="AR12" s="5">
        <f>IF(AN12=0,0,'2023 Nto driftsutg landet'!$C$23*'2023 Lønnsand og arbavg landet'!$D$13*('2023 Arbavg tjeneste'!K12/'2023 Lønnsgr arbavg tjeneste'!K12-$AQ$17))</f>
        <v>-1.7141195757075085</v>
      </c>
      <c r="AS12" s="5">
        <f t="shared" si="20"/>
        <v>-544.13697459089428</v>
      </c>
      <c r="AT12" s="59">
        <f>IF('2023 Lønnsgr arbavg tjeneste'!L12&lt;100,0,(C12/$C$17)*'2023 Arbavg tjeneste'!L12/'2023 Lønnsgr arbavg tjeneste'!L12)</f>
        <v>8.2801554234122228E-3</v>
      </c>
      <c r="AU12" s="5">
        <f>IF('2023 Lønnsgr arbavg tjeneste'!L12&lt;100,0,C12)</f>
        <v>317444</v>
      </c>
      <c r="AV12" s="59">
        <f t="shared" si="5"/>
        <v>6.6104722521510215E-2</v>
      </c>
      <c r="AW12" s="59">
        <f t="shared" si="6"/>
        <v>1</v>
      </c>
      <c r="AX12" s="59">
        <f>IF(AU12=0,0,(AU12/$AU$17)*AW12*'2023 Arbavg tjeneste'!L12/'2023 Lønnsgr arbavg tjeneste'!L12)</f>
        <v>9.507690260754419E-3</v>
      </c>
      <c r="AY12" s="5">
        <f>IF(AU12=0,0,'2023 Nto driftsutg landet'!$C$24*'2023 Lønnsand og arbavg landet'!$D$14*('2023 Arbavg tjeneste'!L12/'2023 Lønnsgr arbavg tjeneste'!L12-$AX$17))</f>
        <v>0.72998108128851136</v>
      </c>
      <c r="AZ12" s="5">
        <f t="shared" si="21"/>
        <v>231.72811436855019</v>
      </c>
      <c r="BA12" s="59">
        <f>IF('2023 Lønnsgr arbavg tjeneste'!M12&lt;100,0,(C12/$C$17)*'2023 Arbavg tjeneste'!M12/'2023 Lønnsgr arbavg tjeneste'!M12)</f>
        <v>8.1418206273687621E-3</v>
      </c>
      <c r="BB12" s="5">
        <f>IF('2023 Lønnsgr arbavg tjeneste'!M12&lt;100,0,C12)</f>
        <v>317444</v>
      </c>
      <c r="BC12" s="59">
        <f t="shared" si="7"/>
        <v>6.6104722521510215E-2</v>
      </c>
      <c r="BD12" s="59">
        <f t="shared" si="8"/>
        <v>1</v>
      </c>
      <c r="BE12" s="59">
        <f>IF(BB12=0,0,(BB12/$BB$17)*BD12*'2023 Arbavg tjeneste'!M12/'2023 Lønnsgr arbavg tjeneste'!M12)</f>
        <v>9.3488473011951127E-3</v>
      </c>
      <c r="BF12" s="5">
        <f>IF(BB12=0,0,'2023 Nto driftsutg landet'!$C$25*'2023 Lønnsand og arbavg landet'!$D$15*('2023 Arbavg tjeneste'!M12/'2023 Lønnsgr arbavg tjeneste'!M12-$BE$17))</f>
        <v>-3.0479588926259953E-2</v>
      </c>
      <c r="BG12" s="5">
        <f t="shared" si="22"/>
        <v>-9.6755626271076629</v>
      </c>
      <c r="BH12" s="59">
        <f>IF('2023 Lønnsgr arbavg tjeneste'!N12&lt;100,0,(C12/$C$17)*'2023 Arbavg tjeneste'!N12/'2023 Lønnsgr arbavg tjeneste'!N12)</f>
        <v>8.2181706165686628E-3</v>
      </c>
      <c r="BI12" s="5">
        <f>IF('2023 Lønnsgr arbavg tjeneste'!N12&lt;100,0,C12)</f>
        <v>317444</v>
      </c>
      <c r="BJ12" s="59">
        <f t="shared" si="9"/>
        <v>5.7569963018148526E-2</v>
      </c>
      <c r="BK12" s="59">
        <f t="shared" si="10"/>
        <v>1</v>
      </c>
      <c r="BL12" s="59">
        <f>IF(BI12=0,0,(BI12/$BI$17)*BK12*'2023 Arbavg tjeneste'!N12/'2023 Lønnsgr arbavg tjeneste'!N12)</f>
        <v>8.2181706165686628E-3</v>
      </c>
      <c r="BM12" s="5">
        <f>IF(BI12=0,0,'2023 Nto driftsutg landet'!$C$26*'2023 Lønnsand og arbavg landet'!$D$16*('2023 Arbavg tjeneste'!N12/'2023 Lønnsgr arbavg tjeneste'!N12-$BL$17))</f>
        <v>0.44087552824775705</v>
      </c>
      <c r="BN12" s="5">
        <f t="shared" si="23"/>
        <v>139.95329118908097</v>
      </c>
      <c r="BO12" s="59">
        <f>IF('2023 Lønnsgr arbavg tjeneste'!O12&lt;100,0,(C12/$C$17)*'2023 Arbavg tjeneste'!O12/'2023 Lønnsgr arbavg tjeneste'!O12)</f>
        <v>0</v>
      </c>
      <c r="BP12" s="5">
        <f>IF('2023 Lønnsgr arbavg tjeneste'!O12&lt;100,0,C12)</f>
        <v>0</v>
      </c>
      <c r="BQ12" s="59">
        <f t="shared" si="11"/>
        <v>0</v>
      </c>
      <c r="BR12" s="59">
        <f t="shared" si="12"/>
        <v>1</v>
      </c>
      <c r="BS12" s="59">
        <f>IF(BP12=0,0,(BP12/$BP$17)*BR12*'2023 Arbavg tjeneste'!O12/'2023 Lønnsgr arbavg tjeneste'!O12)</f>
        <v>0</v>
      </c>
      <c r="BT12" s="5">
        <f>IF(BP12=0,0,'2023 Nto driftsutg landet'!$C$27*'2023 Lønnsand og arbavg landet'!$D$17*('2023 Arbavg tjeneste'!O12/'2023 Lønnsgr arbavg tjeneste'!O12-$BS$17))</f>
        <v>0</v>
      </c>
      <c r="BU12" s="5">
        <f t="shared" si="24"/>
        <v>0</v>
      </c>
      <c r="BV12" s="59">
        <f>IF('2023 Lønnsgr arbavg tjeneste'!P12&lt;100,0,(C12/$C$17)*'2023 Arbavg tjeneste'!P12/'2023 Lønnsgr arbavg tjeneste'!P12)</f>
        <v>8.1385115738286454E-3</v>
      </c>
      <c r="BW12" s="5">
        <f>IF('2023 Lønnsgr arbavg tjeneste'!P12&lt;100,0,C12)</f>
        <v>317444</v>
      </c>
      <c r="BX12" s="59">
        <f t="shared" si="13"/>
        <v>8.3306019009719526E-2</v>
      </c>
      <c r="BY12" s="59">
        <f t="shared" si="14"/>
        <v>1</v>
      </c>
      <c r="BZ12" s="59">
        <f>IF(BW12=0,0,(BW12/$BW$17)*BY12*'2023 Arbavg tjeneste'!P12/'2023 Lønnsgr arbavg tjeneste'!P12)</f>
        <v>1.1776748921420374E-2</v>
      </c>
      <c r="CA12" s="5">
        <f>IF(BW12=0,0,'2023 Nto driftsutg landet'!$C$28*'2023 Lønnsand og arbavg landet'!$D$18*('2023 Arbavg tjeneste'!P12/'2023 Lønnsgr arbavg tjeneste'!P12-$BZ$17))</f>
        <v>-7.1061369004616869E-3</v>
      </c>
      <c r="CB12" s="5">
        <f t="shared" si="25"/>
        <v>-2.2558005222301598</v>
      </c>
      <c r="CC12" s="5"/>
      <c r="CD12" s="5"/>
      <c r="CE12" s="5"/>
    </row>
    <row r="13" spans="1:83" x14ac:dyDescent="0.3">
      <c r="A13" s="43">
        <v>4600</v>
      </c>
      <c r="B13" s="44" t="s">
        <v>345</v>
      </c>
      <c r="C13" s="44">
        <f>+'2023 Nto driftsutg'!W13</f>
        <v>648436</v>
      </c>
      <c r="D13" s="59">
        <f>IF('2023 Lønnsgr arbavg tjeneste'!D13&lt;100,0,(C13/$C$17)*'2023 Revekting utgiftsbehov'!D13*'2023 Arbavg tjeneste'!D13/'2023 Lønnsgr arbavg tjeneste'!D13)</f>
        <v>1.7069047968632081E-2</v>
      </c>
      <c r="E13" s="5">
        <f>IF('2023 Lønnsgr arbavg tjeneste'!D13&lt;100,0,C13)</f>
        <v>648436</v>
      </c>
      <c r="F13" s="59">
        <f>'2023 Revekting utgiftsbehov'!D13*E13/$E$17</f>
        <v>0.12334269265572453</v>
      </c>
      <c r="G13" s="59">
        <f>'2023 Revekting utgiftsbehov'!D13/$F$17</f>
        <v>1.0488598944143352</v>
      </c>
      <c r="H13" s="59">
        <f>IF(E13=0,0,(E13/$E$17)*G13*'2023 Arbavg tjeneste'!D13/'2023 Lønnsgr arbavg tjeneste'!D13)</f>
        <v>1.7069047968632085E-2</v>
      </c>
      <c r="I13" s="5">
        <f>IF(E13=0,0,'2023 Nto driftsutg landet'!$C$5*'2023 Lønnsand og arbavg landet'!$D$6*('2023 Arbavg tjeneste'!D13/'2023 Lønnsgr arbavg tjeneste'!D13-$H$17)*'2023 Revekting utgiftsbehov'!D13)</f>
        <v>37.206060917759743</v>
      </c>
      <c r="J13" s="5">
        <f t="shared" si="15"/>
        <v>24125.749317268459</v>
      </c>
      <c r="K13" s="59">
        <f>IF('2023 Lønnsgr arbavg tjeneste'!E13&lt;100,0,(C13/$C$17)*'2023 Revekting utgiftsbehov'!E13*'2023 Arbavg tjeneste'!E13/'2023 Lønnsgr arbavg tjeneste'!E13)</f>
        <v>6.5300320628656566E-2</v>
      </c>
      <c r="L13" s="5">
        <f>IF('2023 Lønnsgr arbavg tjeneste'!E13&lt;100,0,C13)</f>
        <v>648436</v>
      </c>
      <c r="M13" s="59">
        <f>'2023 Revekting utgiftsbehov'!E13*L13/$L$17</f>
        <v>0.15280927161891228</v>
      </c>
      <c r="N13" s="59">
        <f>'2023 Revekting utgiftsbehov'!E13/$M$17</f>
        <v>1.2994326055707779</v>
      </c>
      <c r="O13" s="59">
        <f>IF(L13=0,0,(L13/$L$17)*N13*'2023 Arbavg tjeneste'!E13/'2023 Lønnsgr arbavg tjeneste'!E13)</f>
        <v>6.5300320628656566E-2</v>
      </c>
      <c r="P13" s="5">
        <f>IF(L13=0,0,'2023 Nto driftsutg landet'!$C$6*'2023 Lønnsand og arbavg landet'!$D$7*('2023 Arbavg tjeneste'!E13/'2023 Lønnsgr arbavg tjeneste'!E13-$O$17)*'2023 Revekting utgiftsbehov'!E13)</f>
        <v>46.770977099260648</v>
      </c>
      <c r="Q13" s="5">
        <f t="shared" si="16"/>
        <v>30327.985306336177</v>
      </c>
      <c r="R13" s="59">
        <f>IF('2023 Lønnsgr arbavg tjeneste'!F13&lt;100,0,(C13/$C$17)*'2023 Revekting utgiftsbehov'!F13*'2023 Arbavg tjeneste'!F13/'2023 Lønnsgr arbavg tjeneste'!F13)</f>
        <v>1.7964169333808351E-2</v>
      </c>
      <c r="S13" s="5">
        <f>IF('2023 Lønnsgr arbavg tjeneste'!F13&lt;100,0,C13)</f>
        <v>648436</v>
      </c>
      <c r="T13" s="59">
        <f>'2023 Revekting utgiftsbehov'!F13*S13/$S$17</f>
        <v>0.12520317880132556</v>
      </c>
      <c r="U13" s="59">
        <f>'2023 Revekting utgiftsbehov'!F13/$T$17</f>
        <v>1.0646807692486568</v>
      </c>
      <c r="V13" s="59">
        <f>IF(S13=0,0,(S13/$S$17)*U13*'2023 Arbavg tjeneste'!F13/'2023 Lønnsgr arbavg tjeneste'!F13)</f>
        <v>1.7964169333808351E-2</v>
      </c>
      <c r="W13" s="5">
        <f>IF(S13=0,0,'2023 Nto driftsutg landet'!$C$7*'2023 Lønnsand og arbavg landet'!$D$8*('2023 Arbavg tjeneste'!F13/'2023 Lønnsgr arbavg tjeneste'!F13-$V$17)*'2023 Revekting utgiftsbehov'!F13)</f>
        <v>0.56336039985109598</v>
      </c>
      <c r="X13" s="5">
        <f t="shared" si="17"/>
        <v>365.30316423784529</v>
      </c>
      <c r="Y13" s="59">
        <f>IF('2023 Lønnsgr arbavg tjeneste'!G13&lt;100,0,(C13/$C$17)*'2023 Revekting utgiftsbehov'!G13*'2023 Arbavg tjeneste'!G13/'2023 Lønnsgr arbavg tjeneste'!G13)</f>
        <v>0</v>
      </c>
      <c r="Z13" s="5">
        <f>IF('2023 Lønnsgr arbavg tjeneste'!G13&lt;100,0,C13)</f>
        <v>0</v>
      </c>
      <c r="AA13" s="59">
        <f>'2023 Revekting utgiftsbehov'!G13*Z13/$Z$17</f>
        <v>0</v>
      </c>
      <c r="AB13" s="59">
        <f>'2023 Revekting utgiftsbehov'!G13/$AA$17</f>
        <v>1.4179947978053247</v>
      </c>
      <c r="AC13" s="59">
        <f>IF(Z13=0,0,(Z13/$Z$17)*AB13*'2023 Arbavg tjeneste'!G13/'2023 Lønnsgr arbavg tjeneste'!G13)</f>
        <v>0</v>
      </c>
      <c r="AD13" s="5">
        <f>IF(Z13=0,0,'2023 Nto driftsutg landet'!$C$8*'2023 Lønnsand og arbavg landet'!$D$9*('2023 Arbavg tjeneste'!G13/'2023 Lønnsgr arbavg tjeneste'!G13-$AC$17)*'2023 Revekting utgiftsbehov'!G13)</f>
        <v>0</v>
      </c>
      <c r="AE13" s="5">
        <f t="shared" si="18"/>
        <v>0</v>
      </c>
      <c r="AF13" s="59">
        <f>IF('2023 Lønnsgr arbavg tjeneste'!H13&lt;100,0,(C13/$C$17)*'2023 Revekting utgiftsbehov'!H13*'2023 Arbavg tjeneste'!H13/'2023 Lønnsgr arbavg tjeneste'!H13)</f>
        <v>1.7021884469418717E-2</v>
      </c>
      <c r="AG13" s="5">
        <f>IF('2023 Lønnsgr arbavg tjeneste'!H13&lt;100,0,C13)</f>
        <v>648436</v>
      </c>
      <c r="AH13" s="59">
        <f>'2023 Revekting utgiftsbehov'!H13*AG13/$AG$17</f>
        <v>0.1238342747786932</v>
      </c>
      <c r="AI13" s="59">
        <f>'2023 Revekting utgiftsbehov'!H13/$AH$17</f>
        <v>1.0530401240046849</v>
      </c>
      <c r="AJ13" s="59">
        <f>IF(AG13=0,0,(AG13/$AG$17)*AI13*'2023 Arbavg tjeneste'!H13/'2023 Lønnsgr arbavg tjeneste'!H13)</f>
        <v>1.7021884469418717E-2</v>
      </c>
      <c r="AK13" s="5">
        <f>IF(AG13=0,0,'2023 Nto driftsutg landet'!$C$9*'2023 Lønnsand og arbavg landet'!$D$10*('2023 Arbavg tjeneste'!H13/'2023 Lønnsgr arbavg tjeneste'!H13-$AJ$17)*'2023 Revekting utgiftsbehov'!H13)</f>
        <v>4.287754345669212</v>
      </c>
      <c r="AL13" s="5">
        <f t="shared" si="19"/>
        <v>2780.3342768883613</v>
      </c>
      <c r="AM13" s="59">
        <f>IF('2023 Lønnsgr arbavg tjeneste'!K13&lt;100,0,(C13/$C$17)*'2023 Arbavg tjeneste'!K13/'2023 Lønnsgr arbavg tjeneste'!K13)</f>
        <v>1.6546260817761459E-2</v>
      </c>
      <c r="AN13" s="5">
        <f>IF('2023 Lønnsgr arbavg tjeneste'!K13&lt;100,0,C13)</f>
        <v>648436</v>
      </c>
      <c r="AO13" s="59">
        <f t="shared" si="3"/>
        <v>0.1175969195815204</v>
      </c>
      <c r="AP13" s="59">
        <f t="shared" si="4"/>
        <v>1</v>
      </c>
      <c r="AQ13" s="59">
        <f>IF(AN13=0,0,(AN13/$AN$17)*AP13*'2023 Arbavg tjeneste'!K13/'2023 Lønnsgr arbavg tjeneste'!K13)</f>
        <v>1.6546260817761459E-2</v>
      </c>
      <c r="AR13" s="5">
        <f>IF(AN13=0,0,'2023 Nto driftsutg landet'!$C$23*'2023 Lønnsand og arbavg landet'!$D$13*('2023 Arbavg tjeneste'!K13/'2023 Lønnsgr arbavg tjeneste'!K13-$AQ$17))</f>
        <v>8.9875534245341022</v>
      </c>
      <c r="AS13" s="5">
        <f t="shared" si="20"/>
        <v>5827.8531923911951</v>
      </c>
      <c r="AT13" s="59">
        <f>IF('2023 Lønnsgr arbavg tjeneste'!L13&lt;100,0,(C13/$C$17)*'2023 Arbavg tjeneste'!L13/'2023 Lønnsgr arbavg tjeneste'!L13)</f>
        <v>1.5583864654055956E-2</v>
      </c>
      <c r="AU13" s="5">
        <f>IF('2023 Lønnsgr arbavg tjeneste'!L13&lt;100,0,C13)</f>
        <v>648436</v>
      </c>
      <c r="AV13" s="59">
        <f t="shared" si="5"/>
        <v>0.13503068841420218</v>
      </c>
      <c r="AW13" s="59">
        <f t="shared" si="6"/>
        <v>1</v>
      </c>
      <c r="AX13" s="59">
        <f>IF(AU13=0,0,(AU13/$AU$17)*AW13*'2023 Arbavg tjeneste'!L13/'2023 Lønnsgr arbavg tjeneste'!L13)</f>
        <v>1.7894175968888267E-2</v>
      </c>
      <c r="AY13" s="5">
        <f>IF(AU13=0,0,'2023 Nto driftsutg landet'!$C$24*'2023 Lønnsand og arbavg landet'!$D$14*('2023 Arbavg tjeneste'!L13/'2023 Lønnsgr arbavg tjeneste'!L13-$AX$17))</f>
        <v>6.9485966525971452E-3</v>
      </c>
      <c r="AZ13" s="5">
        <f t="shared" si="21"/>
        <v>4.5057202190234822</v>
      </c>
      <c r="BA13" s="59">
        <f>IF('2023 Lønnsgr arbavg tjeneste'!M13&lt;100,0,(C13/$C$17)*'2023 Arbavg tjeneste'!M13/'2023 Lønnsgr arbavg tjeneste'!M13)</f>
        <v>1.577581084584008E-2</v>
      </c>
      <c r="BB13" s="5">
        <f>IF('2023 Lønnsgr arbavg tjeneste'!M13&lt;100,0,C13)</f>
        <v>648436</v>
      </c>
      <c r="BC13" s="59">
        <f t="shared" si="7"/>
        <v>0.13503068841420218</v>
      </c>
      <c r="BD13" s="59">
        <f t="shared" si="8"/>
        <v>1</v>
      </c>
      <c r="BE13" s="59">
        <f>IF(BB13=0,0,(BB13/$BB$17)*BD13*'2023 Arbavg tjeneste'!M13/'2023 Lønnsgr arbavg tjeneste'!M13)</f>
        <v>1.8114578225234171E-2</v>
      </c>
      <c r="BF13" s="5">
        <f>IF(BB13=0,0,'2023 Nto driftsutg landet'!$C$25*'2023 Lønnsand og arbavg landet'!$D$15*('2023 Arbavg tjeneste'!M13/'2023 Lønnsgr arbavg tjeneste'!M13-$BE$17))</f>
        <v>5.1821674252998133E-3</v>
      </c>
      <c r="BG13" s="5">
        <f t="shared" si="22"/>
        <v>3.3603039165917097</v>
      </c>
      <c r="BH13" s="59">
        <f>IF('2023 Lønnsgr arbavg tjeneste'!N13&lt;100,0,(C13/$C$17)*'2023 Arbavg tjeneste'!N13/'2023 Lønnsgr arbavg tjeneste'!N13)</f>
        <v>1.5064726901850014E-2</v>
      </c>
      <c r="BI13" s="5">
        <f>IF('2023 Lønnsgr arbavg tjeneste'!N13&lt;100,0,C13)</f>
        <v>648436</v>
      </c>
      <c r="BJ13" s="59">
        <f t="shared" si="9"/>
        <v>0.1175969195815204</v>
      </c>
      <c r="BK13" s="59">
        <f t="shared" si="10"/>
        <v>1</v>
      </c>
      <c r="BL13" s="59">
        <f>IF(BI13=0,0,(BI13/$BI$17)*BK13*'2023 Arbavg tjeneste'!N13/'2023 Lønnsgr arbavg tjeneste'!N13)</f>
        <v>1.5064726901850014E-2</v>
      </c>
      <c r="BM13" s="5">
        <f>IF(BI13=0,0,'2023 Nto driftsutg landet'!$C$26*'2023 Lønnsand og arbavg landet'!$D$16*('2023 Arbavg tjeneste'!N13/'2023 Lønnsgr arbavg tjeneste'!N13-$BL$17))</f>
        <v>-7.5699089824712532E-2</v>
      </c>
      <c r="BN13" s="5">
        <f t="shared" si="23"/>
        <v>-49.086015009577288</v>
      </c>
      <c r="BO13" s="59">
        <f>IF('2023 Lønnsgr arbavg tjeneste'!O13&lt;100,0,(C13/$C$17)*'2023 Arbavg tjeneste'!O13/'2023 Lønnsgr arbavg tjeneste'!O13)</f>
        <v>0</v>
      </c>
      <c r="BP13" s="5">
        <f>IF('2023 Lønnsgr arbavg tjeneste'!O13&lt;100,0,C13)</f>
        <v>0</v>
      </c>
      <c r="BQ13" s="59">
        <f t="shared" si="11"/>
        <v>0</v>
      </c>
      <c r="BR13" s="59">
        <f t="shared" si="12"/>
        <v>1</v>
      </c>
      <c r="BS13" s="59">
        <f>IF(BP13=0,0,(BP13/$BP$17)*BR13*'2023 Arbavg tjeneste'!O13/'2023 Lønnsgr arbavg tjeneste'!O13)</f>
        <v>0</v>
      </c>
      <c r="BT13" s="5">
        <f>IF(BP13=0,0,'2023 Nto driftsutg landet'!$C$27*'2023 Lønnsand og arbavg landet'!$D$17*('2023 Arbavg tjeneste'!O13/'2023 Lønnsgr arbavg tjeneste'!O13-$BS$17))</f>
        <v>0</v>
      </c>
      <c r="BU13" s="5">
        <f t="shared" si="24"/>
        <v>0</v>
      </c>
      <c r="BV13" s="59">
        <f>IF('2023 Lønnsgr arbavg tjeneste'!P13&lt;100,0,(C13/$C$17)*'2023 Arbavg tjeneste'!P13/'2023 Lønnsgr arbavg tjeneste'!P13)</f>
        <v>1.6656218985095891E-2</v>
      </c>
      <c r="BW13" s="5">
        <f>IF('2023 Lønnsgr arbavg tjeneste'!P13&lt;100,0,C13)</f>
        <v>648436</v>
      </c>
      <c r="BX13" s="59">
        <f t="shared" si="13"/>
        <v>0.17016740509376926</v>
      </c>
      <c r="BY13" s="59">
        <f t="shared" si="14"/>
        <v>1</v>
      </c>
      <c r="BZ13" s="59">
        <f>IF(BW13=0,0,(BW13/$BW$17)*BY13*'2023 Arbavg tjeneste'!P13/'2023 Lønnsgr arbavg tjeneste'!P13)</f>
        <v>2.4102209253895647E-2</v>
      </c>
      <c r="CA13" s="5">
        <f>IF(BW13=0,0,'2023 Nto driftsutg landet'!$C$28*'2023 Lønnsand og arbavg landet'!$D$18*('2023 Arbavg tjeneste'!P13/'2023 Lønnsgr arbavg tjeneste'!P13-$BZ$17))</f>
        <v>-8.2358209916030285E-3</v>
      </c>
      <c r="CB13" s="5">
        <f t="shared" si="25"/>
        <v>-5.3404028205111018</v>
      </c>
      <c r="CC13" s="5"/>
      <c r="CD13" s="5"/>
      <c r="CE13" s="5"/>
    </row>
    <row r="14" spans="1:83" x14ac:dyDescent="0.3">
      <c r="A14" s="43">
        <v>5000</v>
      </c>
      <c r="B14" s="44" t="s">
        <v>340</v>
      </c>
      <c r="C14" s="44">
        <f>+'2023 Nto driftsutg'!W14</f>
        <v>480437</v>
      </c>
      <c r="D14" s="59">
        <f>IF('2023 Lønnsgr arbavg tjeneste'!D14&lt;100,0,(C14/$C$17)*'2023 Revekting utgiftsbehov'!D14*'2023 Arbavg tjeneste'!D14/'2023 Lønnsgr arbavg tjeneste'!D14)</f>
        <v>1.1149872632752626E-2</v>
      </c>
      <c r="E14" s="5">
        <f>IF('2023 Lønnsgr arbavg tjeneste'!D14&lt;100,0,C14)</f>
        <v>480437</v>
      </c>
      <c r="F14" s="59">
        <f>'2023 Revekting utgiftsbehov'!D14*E14/$E$17</f>
        <v>8.8828903870707299E-2</v>
      </c>
      <c r="G14" s="59">
        <f>'2023 Revekting utgiftsbehov'!D14/$F$17</f>
        <v>1.0195042229505573</v>
      </c>
      <c r="H14" s="59">
        <f>IF(E14=0,0,(E14/$E$17)*G14*'2023 Arbavg tjeneste'!D14/'2023 Lønnsgr arbavg tjeneste'!D14)</f>
        <v>1.1149872632752628E-2</v>
      </c>
      <c r="I14" s="5">
        <f>IF(E14=0,0,'2023 Nto driftsutg landet'!$C$5*'2023 Lønnsand og arbavg landet'!$D$6*('2023 Arbavg tjeneste'!D14/'2023 Lønnsgr arbavg tjeneste'!D14-$H$17)*'2023 Revekting utgiftsbehov'!D14)</f>
        <v>-21.209909105238214</v>
      </c>
      <c r="J14" s="5">
        <f t="shared" si="15"/>
        <v>-10190.025100793331</v>
      </c>
      <c r="K14" s="59">
        <f>IF('2023 Lønnsgr arbavg tjeneste'!E14&lt;100,0,(C14/$C$17)*'2023 Revekting utgiftsbehov'!E14*'2023 Arbavg tjeneste'!E14/'2023 Lønnsgr arbavg tjeneste'!E14)</f>
        <v>3.2058762575559868E-2</v>
      </c>
      <c r="L14" s="5">
        <f>IF('2023 Lønnsgr arbavg tjeneste'!E14&lt;100,0,C14)</f>
        <v>480437</v>
      </c>
      <c r="M14" s="59">
        <f>'2023 Revekting utgiftsbehov'!E14*L14/$L$17</f>
        <v>0.11036279752885199</v>
      </c>
      <c r="N14" s="59">
        <f>'2023 Revekting utgiftsbehov'!E14/$M$17</f>
        <v>1.2666523308794941</v>
      </c>
      <c r="O14" s="59">
        <f>IF(L14=0,0,(L14/$L$17)*N14*'2023 Arbavg tjeneste'!E14/'2023 Lønnsgr arbavg tjeneste'!E14)</f>
        <v>3.2058762575559868E-2</v>
      </c>
      <c r="P14" s="5">
        <f>IF(L14=0,0,'2023 Nto driftsutg landet'!$C$6*'2023 Lønnsand og arbavg landet'!$D$7*('2023 Arbavg tjeneste'!E14/'2023 Lønnsgr arbavg tjeneste'!E14-$O$17)*'2023 Revekting utgiftsbehov'!E14)</f>
        <v>15.144181400231403</v>
      </c>
      <c r="Q14" s="5">
        <f t="shared" si="16"/>
        <v>7275.8250793829748</v>
      </c>
      <c r="R14" s="59">
        <f>IF('2023 Lønnsgr arbavg tjeneste'!F14&lt;100,0,(C14/$C$17)*'2023 Revekting utgiftsbehov'!F14*'2023 Arbavg tjeneste'!F14/'2023 Lønnsgr arbavg tjeneste'!F14)</f>
        <v>1.3644024630055662E-2</v>
      </c>
      <c r="S14" s="5">
        <f>IF('2023 Lønnsgr arbavg tjeneste'!F14&lt;100,0,C14)</f>
        <v>480437</v>
      </c>
      <c r="T14" s="59">
        <f>'2023 Revekting utgiftsbehov'!F14*S14/$S$17</f>
        <v>9.5122055795008445E-2</v>
      </c>
      <c r="U14" s="59">
        <f>'2023 Revekting utgiftsbehov'!F14/$T$17</f>
        <v>1.0917317827078288</v>
      </c>
      <c r="V14" s="59">
        <f>IF(S14=0,0,(S14/$S$17)*U14*'2023 Arbavg tjeneste'!F14/'2023 Lønnsgr arbavg tjeneste'!F14)</f>
        <v>1.3644024630055662E-2</v>
      </c>
      <c r="W14" s="5">
        <f>IF(S14=0,0,'2023 Nto driftsutg landet'!$C$7*'2023 Lønnsand og arbavg landet'!$D$8*('2023 Arbavg tjeneste'!F14/'2023 Lønnsgr arbavg tjeneste'!F14-$V$17)*'2023 Revekting utgiftsbehov'!F14)</f>
        <v>0.57531133434860171</v>
      </c>
      <c r="X14" s="5">
        <f t="shared" si="17"/>
        <v>276.40085154043919</v>
      </c>
      <c r="Y14" s="59">
        <f>IF('2023 Lønnsgr arbavg tjeneste'!G14&lt;100,0,(C14/$C$17)*'2023 Revekting utgiftsbehov'!G14*'2023 Arbavg tjeneste'!G14/'2023 Lønnsgr arbavg tjeneste'!G14)</f>
        <v>1.1905711102687977E-2</v>
      </c>
      <c r="Z14" s="5">
        <f>IF('2023 Lønnsgr arbavg tjeneste'!G14&lt;100,0,C14)</f>
        <v>480437</v>
      </c>
      <c r="AA14" s="59">
        <f>'2023 Revekting utgiftsbehov'!G14*Z14/$Z$17</f>
        <v>0.20940566647965786</v>
      </c>
      <c r="AB14" s="59">
        <f>'2023 Revekting utgiftsbehov'!G14/$AA$17</f>
        <v>0.6508194686611255</v>
      </c>
      <c r="AC14" s="59">
        <f>IF(Z14=0,0,(Z14/$Z$17)*AB14*'2023 Arbavg tjeneste'!G14/'2023 Lønnsgr arbavg tjeneste'!G14)</f>
        <v>1.6703459111683475E-2</v>
      </c>
      <c r="AD14" s="5">
        <f>IF(Z14=0,0,'2023 Nto driftsutg landet'!$C$8*'2023 Lønnsand og arbavg landet'!$D$9*('2023 Arbavg tjeneste'!G14/'2023 Lønnsgr arbavg tjeneste'!G14-$AC$17)*'2023 Revekting utgiftsbehov'!G14)</f>
        <v>0.1217098144683213</v>
      </c>
      <c r="AE14" s="5">
        <f t="shared" si="18"/>
        <v>58.473898133716879</v>
      </c>
      <c r="AF14" s="59">
        <f>IF('2023 Lønnsgr arbavg tjeneste'!H14&lt;100,0,(C14/$C$17)*'2023 Revekting utgiftsbehov'!H14*'2023 Arbavg tjeneste'!H14/'2023 Lønnsgr arbavg tjeneste'!H14)</f>
        <v>1.1702725388287392E-2</v>
      </c>
      <c r="AG14" s="5">
        <f>IF('2023 Lønnsgr arbavg tjeneste'!H14&lt;100,0,C14)</f>
        <v>480437</v>
      </c>
      <c r="AH14" s="59">
        <f>'2023 Revekting utgiftsbehov'!H14*AG14/$AG$17</f>
        <v>9.0761459556060159E-2</v>
      </c>
      <c r="AI14" s="59">
        <f>'2023 Revekting utgiftsbehov'!H14/$AH$17</f>
        <v>1.0416844885673895</v>
      </c>
      <c r="AJ14" s="59">
        <f>IF(AG14=0,0,(AG14/$AG$17)*AI14*'2023 Arbavg tjeneste'!H14/'2023 Lønnsgr arbavg tjeneste'!H14)</f>
        <v>1.1702725388287392E-2</v>
      </c>
      <c r="AK14" s="5">
        <f>IF(AG14=0,0,'2023 Nto driftsutg landet'!$C$9*'2023 Lønnsand og arbavg landet'!$D$10*('2023 Arbavg tjeneste'!H14/'2023 Lønnsgr arbavg tjeneste'!H14-$AJ$17)*'2023 Revekting utgiftsbehov'!H14)</f>
        <v>0.82397765639783838</v>
      </c>
      <c r="AL14" s="5">
        <f t="shared" si="19"/>
        <v>395.86935330680825</v>
      </c>
      <c r="AM14" s="59">
        <f>IF('2023 Lønnsgr arbavg tjeneste'!K14&lt;100,0,(C14/$C$17)*'2023 Arbavg tjeneste'!K14/'2023 Lønnsgr arbavg tjeneste'!K14)</f>
        <v>1.5449145590320195E-2</v>
      </c>
      <c r="AN14" s="5">
        <f>IF('2023 Lønnsgr arbavg tjeneste'!K14&lt;100,0,C14)</f>
        <v>480437</v>
      </c>
      <c r="AO14" s="59">
        <f t="shared" si="3"/>
        <v>8.7129510472871513E-2</v>
      </c>
      <c r="AP14" s="59">
        <f t="shared" si="4"/>
        <v>1</v>
      </c>
      <c r="AQ14" s="59">
        <f>IF(AN14=0,0,(AN14/$AN$17)*AP14*'2023 Arbavg tjeneste'!K14/'2023 Lønnsgr arbavg tjeneste'!K14)</f>
        <v>1.5449145590320195E-2</v>
      </c>
      <c r="AR14" s="5">
        <f>IF(AN14=0,0,'2023 Nto driftsutg landet'!$C$23*'2023 Lønnsand og arbavg landet'!$D$13*('2023 Arbavg tjeneste'!K14/'2023 Lønnsgr arbavg tjeneste'!K14-$AQ$17))</f>
        <v>26.918341677522413</v>
      </c>
      <c r="AS14" s="5">
        <f t="shared" si="20"/>
        <v>12932.567320523836</v>
      </c>
      <c r="AT14" s="59">
        <f>IF('2023 Lønnsgr arbavg tjeneste'!L14&lt;100,0,(C14/$C$17)*'2023 Arbavg tjeneste'!L14/'2023 Lønnsgr arbavg tjeneste'!L14)</f>
        <v>1.2051839300348111E-2</v>
      </c>
      <c r="AU14" s="5">
        <f>IF('2023 Lønnsgr arbavg tjeneste'!L14&lt;100,0,C14)</f>
        <v>480437</v>
      </c>
      <c r="AV14" s="59">
        <f t="shared" si="5"/>
        <v>0.10004647929734631</v>
      </c>
      <c r="AW14" s="59">
        <f t="shared" si="6"/>
        <v>1</v>
      </c>
      <c r="AX14" s="59">
        <f>IF(AU14=0,0,(AU14/$AU$17)*AW14*'2023 Arbavg tjeneste'!L14/'2023 Lønnsgr arbavg tjeneste'!L14)</f>
        <v>1.3838527090458521E-2</v>
      </c>
      <c r="AY14" s="5">
        <f>IF(AU14=0,0,'2023 Nto driftsutg landet'!$C$24*'2023 Lønnsand og arbavg landet'!$D$14*('2023 Arbavg tjeneste'!L14/'2023 Lønnsgr arbavg tjeneste'!L14-$AX$17))</f>
        <v>0.37789350657616716</v>
      </c>
      <c r="AZ14" s="5">
        <f t="shared" si="21"/>
        <v>181.55402261893403</v>
      </c>
      <c r="BA14" s="59">
        <f>IF('2023 Lønnsgr arbavg tjeneste'!M14&lt;100,0,(C14/$C$17)*'2023 Arbavg tjeneste'!M14/'2023 Lønnsgr arbavg tjeneste'!M14)</f>
        <v>1.1697989863648421E-2</v>
      </c>
      <c r="BB14" s="5">
        <f>IF('2023 Lønnsgr arbavg tjeneste'!M14&lt;100,0,C14)</f>
        <v>480437</v>
      </c>
      <c r="BC14" s="59">
        <f t="shared" si="7"/>
        <v>0.10004647929734631</v>
      </c>
      <c r="BD14" s="59">
        <f t="shared" si="8"/>
        <v>1</v>
      </c>
      <c r="BE14" s="59">
        <f>IF(BB14=0,0,(BB14/$BB$17)*BD14*'2023 Arbavg tjeneste'!M14/'2023 Lønnsgr arbavg tjeneste'!M14)</f>
        <v>1.3432219398024329E-2</v>
      </c>
      <c r="BF14" s="5">
        <f>IF(BB14=0,0,'2023 Nto driftsutg landet'!$C$25*'2023 Lønnsand og arbavg landet'!$D$15*('2023 Arbavg tjeneste'!M14/'2023 Lønnsgr arbavg tjeneste'!M14-$BE$17))</f>
        <v>4.6515213278631815E-3</v>
      </c>
      <c r="BG14" s="5">
        <f t="shared" si="22"/>
        <v>2.2347629521946031</v>
      </c>
      <c r="BH14" s="59">
        <f>IF('2023 Lønnsgr arbavg tjeneste'!N14&lt;100,0,(C14/$C$17)*'2023 Arbavg tjeneste'!N14/'2023 Lønnsgr arbavg tjeneste'!N14)</f>
        <v>1.2187939990640417E-2</v>
      </c>
      <c r="BI14" s="5">
        <f>IF('2023 Lønnsgr arbavg tjeneste'!N14&lt;100,0,C14)</f>
        <v>480437</v>
      </c>
      <c r="BJ14" s="59">
        <f t="shared" si="9"/>
        <v>8.7129510472871513E-2</v>
      </c>
      <c r="BK14" s="59">
        <f t="shared" si="10"/>
        <v>1</v>
      </c>
      <c r="BL14" s="59">
        <f>IF(BI14=0,0,(BI14/$BI$17)*BK14*'2023 Arbavg tjeneste'!N14/'2023 Lønnsgr arbavg tjeneste'!N14)</f>
        <v>1.2187939990640417E-2</v>
      </c>
      <c r="BM14" s="5">
        <f>IF(BI14=0,0,'2023 Nto driftsutg landet'!$C$26*'2023 Lønnsand og arbavg landet'!$D$16*('2023 Arbavg tjeneste'!N14/'2023 Lønnsgr arbavg tjeneste'!N14-$BL$17))</f>
        <v>0.33972140340645646</v>
      </c>
      <c r="BN14" s="5">
        <f t="shared" si="23"/>
        <v>163.21473188838772</v>
      </c>
      <c r="BO14" s="59">
        <f>IF('2023 Lønnsgr arbavg tjeneste'!O14&lt;100,0,(C14/$C$17)*'2023 Arbavg tjeneste'!O14/'2023 Lønnsgr arbavg tjeneste'!O14)</f>
        <v>0</v>
      </c>
      <c r="BP14" s="5">
        <f>IF('2023 Lønnsgr arbavg tjeneste'!O14&lt;100,0,C14)</f>
        <v>0</v>
      </c>
      <c r="BQ14" s="59">
        <f t="shared" si="11"/>
        <v>0</v>
      </c>
      <c r="BR14" s="59">
        <f t="shared" si="12"/>
        <v>1</v>
      </c>
      <c r="BS14" s="59">
        <f>IF(BP14=0,0,(BP14/$BP$17)*BR14*'2023 Arbavg tjeneste'!O14/'2023 Lønnsgr arbavg tjeneste'!O14)</f>
        <v>0</v>
      </c>
      <c r="BT14" s="5">
        <f>IF(BP14=0,0,'2023 Nto driftsutg landet'!$C$27*'2023 Lønnsand og arbavg landet'!$D$17*('2023 Arbavg tjeneste'!O14/'2023 Lønnsgr arbavg tjeneste'!O14-$BS$17))</f>
        <v>0</v>
      </c>
      <c r="BU14" s="5">
        <f t="shared" si="24"/>
        <v>0</v>
      </c>
      <c r="BV14" s="59">
        <f>IF('2023 Lønnsgr arbavg tjeneste'!P14&lt;100,0,(C14/$C$17)*'2023 Arbavg tjeneste'!P14/'2023 Lønnsgr arbavg tjeneste'!P14)</f>
        <v>0</v>
      </c>
      <c r="BW14" s="5">
        <f>IF('2023 Lønnsgr arbavg tjeneste'!P14&lt;100,0,C14)</f>
        <v>0</v>
      </c>
      <c r="BX14" s="59">
        <f t="shared" si="13"/>
        <v>0</v>
      </c>
      <c r="BY14" s="59">
        <f t="shared" si="14"/>
        <v>1</v>
      </c>
      <c r="BZ14" s="59">
        <f>IF(BW14=0,0,(BW14/$BW$17)*BY14*'2023 Arbavg tjeneste'!P14/'2023 Lønnsgr arbavg tjeneste'!P14)</f>
        <v>0</v>
      </c>
      <c r="CA14" s="5">
        <f>IF(BW14=0,0,'2023 Nto driftsutg landet'!$C$28*'2023 Lønnsand og arbavg landet'!$D$18*('2023 Arbavg tjeneste'!P14/'2023 Lønnsgr arbavg tjeneste'!P14-$BZ$17))</f>
        <v>0</v>
      </c>
      <c r="CB14" s="5">
        <f t="shared" si="25"/>
        <v>0</v>
      </c>
      <c r="CC14" s="5"/>
      <c r="CD14" s="5"/>
      <c r="CE14" s="5"/>
    </row>
    <row r="15" spans="1:83" x14ac:dyDescent="0.3">
      <c r="A15" s="43">
        <v>5400</v>
      </c>
      <c r="B15" s="44" t="s">
        <v>346</v>
      </c>
      <c r="C15" s="44">
        <f>+'2023 Nto driftsutg'!W15</f>
        <v>243329</v>
      </c>
      <c r="D15" s="59">
        <f>IF('2023 Lønnsgr arbavg tjeneste'!D15&lt;100,0,(C15/$C$17)*'2023 Revekting utgiftsbehov'!D15*'2023 Arbavg tjeneste'!D15/'2023 Lønnsgr arbavg tjeneste'!D15)</f>
        <v>2.0742839554732458E-3</v>
      </c>
      <c r="E15" s="5">
        <f>IF('2023 Lønnsgr arbavg tjeneste'!D15&lt;100,0,C15)</f>
        <v>243329</v>
      </c>
      <c r="F15" s="59">
        <f>'2023 Revekting utgiftsbehov'!D15*E15/$E$17</f>
        <v>4.8730797010759219E-2</v>
      </c>
      <c r="G15" s="59">
        <f>'2023 Revekting utgiftsbehov'!D15/$F$17</f>
        <v>1.1042840912589911</v>
      </c>
      <c r="H15" s="59">
        <f>IF(E15=0,0,(E15/$E$17)*G15*'2023 Arbavg tjeneste'!D15/'2023 Lønnsgr arbavg tjeneste'!D15)</f>
        <v>2.0742839554732458E-3</v>
      </c>
      <c r="I15" s="5">
        <f>IF(E15=0,0,'2023 Nto driftsutg landet'!$C$5*'2023 Lønnsand og arbavg landet'!$D$6*('2023 Arbavg tjeneste'!D15/'2023 Lønnsgr arbavg tjeneste'!D15-$H$17)*'2023 Revekting utgiftsbehov'!D15)</f>
        <v>-423.65097652583563</v>
      </c>
      <c r="J15" s="5">
        <f t="shared" si="15"/>
        <v>-103086.56846705505</v>
      </c>
      <c r="K15" s="59">
        <f>IF('2023 Lønnsgr arbavg tjeneste'!E15&lt;100,0,(C15/$C$17)*'2023 Revekting utgiftsbehov'!E15*'2023 Arbavg tjeneste'!E15/'2023 Lønnsgr arbavg tjeneste'!E15)</f>
        <v>4.2393838865422652E-3</v>
      </c>
      <c r="L15" s="5">
        <f>IF('2023 Lønnsgr arbavg tjeneste'!E15&lt;100,0,C15)</f>
        <v>243329</v>
      </c>
      <c r="M15" s="59">
        <f>'2023 Revekting utgiftsbehov'!E15*L15/$L$17</f>
        <v>9.1339134842638753E-2</v>
      </c>
      <c r="N15" s="59">
        <f>'2023 Revekting utgiftsbehov'!E15/$M$17</f>
        <v>2.0698277004132728</v>
      </c>
      <c r="O15" s="59">
        <f>IF(L15=0,0,(L15/$L$17)*N15*'2023 Arbavg tjeneste'!E15/'2023 Lønnsgr arbavg tjeneste'!E15)</f>
        <v>4.2393838865422652E-3</v>
      </c>
      <c r="P15" s="5">
        <f>IF(L15=0,0,'2023 Nto driftsutg landet'!$C$6*'2023 Lønnsand og arbavg landet'!$D$7*('2023 Arbavg tjeneste'!E15/'2023 Lønnsgr arbavg tjeneste'!E15-$O$17)*'2023 Revekting utgiftsbehov'!E15)</f>
        <v>-63.989481005903045</v>
      </c>
      <c r="Q15" s="5">
        <f t="shared" si="16"/>
        <v>-15570.496423685381</v>
      </c>
      <c r="R15" s="59">
        <f>IF('2023 Lønnsgr arbavg tjeneste'!F15&lt;100,0,(C15/$C$17)*'2023 Revekting utgiftsbehov'!F15*'2023 Arbavg tjeneste'!F15/'2023 Lønnsgr arbavg tjeneste'!F15)</f>
        <v>4.0839145023259249E-3</v>
      </c>
      <c r="S15" s="5">
        <f>IF('2023 Lønnsgr arbavg tjeneste'!F15&lt;100,0,C15)</f>
        <v>243329</v>
      </c>
      <c r="T15" s="59">
        <f>'2023 Revekting utgiftsbehov'!F15*S15/$S$17</f>
        <v>7.2841558144657106E-2</v>
      </c>
      <c r="U15" s="59">
        <f>'2023 Revekting utgiftsbehov'!F15/$T$17</f>
        <v>1.6506558229265536</v>
      </c>
      <c r="V15" s="59">
        <f>IF(S15=0,0,(S15/$S$17)*U15*'2023 Arbavg tjeneste'!F15/'2023 Lønnsgr arbavg tjeneste'!F15)</f>
        <v>4.0839145023259249E-3</v>
      </c>
      <c r="W15" s="5">
        <f>IF(S15=0,0,'2023 Nto driftsutg landet'!$C$7*'2023 Lønnsand og arbavg landet'!$D$8*('2023 Arbavg tjeneste'!F15/'2023 Lønnsgr arbavg tjeneste'!F15-$V$17)*'2023 Revekting utgiftsbehov'!F15)</f>
        <v>-6.3696607669506973</v>
      </c>
      <c r="X15" s="5">
        <f t="shared" si="17"/>
        <v>-1549.9231847613464</v>
      </c>
      <c r="Y15" s="59">
        <f>IF('2023 Lønnsgr arbavg tjeneste'!G15&lt;100,0,(C15/$C$17)*'2023 Revekting utgiftsbehov'!G15*'2023 Arbavg tjeneste'!G15/'2023 Lønnsgr arbavg tjeneste'!G15)</f>
        <v>7.1220323110661203E-3</v>
      </c>
      <c r="Z15" s="5">
        <f>IF('2023 Lønnsgr arbavg tjeneste'!G15&lt;100,0,C15)</f>
        <v>243329</v>
      </c>
      <c r="AA15" s="59">
        <f>'2023 Revekting utgiftsbehov'!G15*Z15/$Z$17</f>
        <v>0.3231748603202676</v>
      </c>
      <c r="AB15" s="59">
        <f>'2023 Revekting utgiftsbehov'!G15/$AA$17</f>
        <v>1.9831348723351416</v>
      </c>
      <c r="AC15" s="59">
        <f>IF(Z15=0,0,(Z15/$Z$17)*AB15*'2023 Arbavg tjeneste'!G15/'2023 Lønnsgr arbavg tjeneste'!G15)</f>
        <v>9.9920596488455912E-3</v>
      </c>
      <c r="AD15" s="5">
        <f>IF(Z15=0,0,'2023 Nto driftsutg landet'!$C$8*'2023 Lønnsand og arbavg landet'!$D$9*('2023 Arbavg tjeneste'!G15/'2023 Lønnsgr arbavg tjeneste'!G15-$AC$17)*'2023 Revekting utgiftsbehov'!G15)</f>
        <v>-0.6500296230830529</v>
      </c>
      <c r="AE15" s="5">
        <f t="shared" si="18"/>
        <v>-158.17105815517618</v>
      </c>
      <c r="AF15" s="59">
        <f>IF('2023 Lønnsgr arbavg tjeneste'!H15&lt;100,0,(C15/$C$17)*'2023 Revekting utgiftsbehov'!H15*'2023 Arbavg tjeneste'!H15/'2023 Lønnsgr arbavg tjeneste'!H15)</f>
        <v>2.0428325857081197E-3</v>
      </c>
      <c r="AG15" s="5">
        <f>IF('2023 Lønnsgr arbavg tjeneste'!H15&lt;100,0,C15)</f>
        <v>243329</v>
      </c>
      <c r="AH15" s="59">
        <f>'2023 Revekting utgiftsbehov'!H15*AG15/$AG$17</f>
        <v>5.3831940356040629E-2</v>
      </c>
      <c r="AI15" s="59">
        <f>'2023 Revekting utgiftsbehov'!H15/$AH$17</f>
        <v>1.2198806295668334</v>
      </c>
      <c r="AJ15" s="59">
        <f>IF(AG15=0,0,(AG15/$AG$17)*AI15*'2023 Arbavg tjeneste'!H15/'2023 Lønnsgr arbavg tjeneste'!H15)</f>
        <v>2.0428325857081197E-3</v>
      </c>
      <c r="AK15" s="5">
        <f>IF(AG15=0,0,'2023 Nto driftsutg landet'!$C$9*'2023 Lønnsand og arbavg landet'!$D$10*('2023 Arbavg tjeneste'!H15/'2023 Lønnsgr arbavg tjeneste'!H15-$AJ$17)*'2023 Revekting utgiftsbehov'!H15)</f>
        <v>-41.788978414994467</v>
      </c>
      <c r="AL15" s="5">
        <f t="shared" si="19"/>
        <v>-10168.470328742189</v>
      </c>
      <c r="AM15" s="59">
        <f>IF('2023 Lønnsgr arbavg tjeneste'!K15&lt;100,0,(C15/$C$17)*'2023 Arbavg tjeneste'!K15/'2023 Lønnsgr arbavg tjeneste'!K15)</f>
        <v>2.3920024656447414E-3</v>
      </c>
      <c r="AN15" s="5">
        <f>IF('2023 Lønnsgr arbavg tjeneste'!K15&lt;100,0,C15)</f>
        <v>243329</v>
      </c>
      <c r="AO15" s="59">
        <f t="shared" si="3"/>
        <v>4.4128859046770656E-2</v>
      </c>
      <c r="AP15" s="59">
        <f t="shared" si="4"/>
        <v>1</v>
      </c>
      <c r="AQ15" s="59">
        <f>IF(AN15=0,0,(AN15/$AN$17)*AP15*'2023 Arbavg tjeneste'!K15/'2023 Lønnsgr arbavg tjeneste'!K15)</f>
        <v>2.3920024656447414E-3</v>
      </c>
      <c r="AR15" s="5">
        <f>IF(AN15=0,0,'2023 Nto driftsutg landet'!$C$23*'2023 Lønnsand og arbavg landet'!$D$13*('2023 Arbavg tjeneste'!K15/'2023 Lønnsgr arbavg tjeneste'!K15-$AQ$17))</f>
        <v>-33.378282098744229</v>
      </c>
      <c r="AS15" s="5">
        <f t="shared" si="20"/>
        <v>-8121.9040048053348</v>
      </c>
      <c r="AT15" s="59">
        <f>IF('2023 Lønnsgr arbavg tjeneste'!L15&lt;100,0,(C15/$C$17)*'2023 Arbavg tjeneste'!L15/'2023 Lønnsgr arbavg tjeneste'!L15)</f>
        <v>2.2905768354059657E-3</v>
      </c>
      <c r="AU15" s="5">
        <f>IF('2023 Lønnsgr arbavg tjeneste'!L15&lt;100,0,C15)</f>
        <v>243329</v>
      </c>
      <c r="AV15" s="59">
        <f t="shared" si="5"/>
        <v>5.0670971971234477E-2</v>
      </c>
      <c r="AW15" s="59">
        <f t="shared" si="6"/>
        <v>1</v>
      </c>
      <c r="AX15" s="59">
        <f>IF(AU15=0,0,(AU15/$AU$17)*AW15*'2023 Arbavg tjeneste'!L15/'2023 Lønnsgr arbavg tjeneste'!L15)</f>
        <v>2.6301553480410759E-3</v>
      </c>
      <c r="AY15" s="5">
        <f>IF(AU15=0,0,'2023 Nto driftsutg landet'!$C$24*'2023 Lønnsand og arbavg landet'!$D$14*('2023 Arbavg tjeneste'!L15/'2023 Lønnsgr arbavg tjeneste'!L15-$AX$17))</f>
        <v>-5.1472545980822568</v>
      </c>
      <c r="AZ15" s="5">
        <f t="shared" si="21"/>
        <v>-1252.4763140967575</v>
      </c>
      <c r="BA15" s="59">
        <f>IF('2023 Lønnsgr arbavg tjeneste'!M15&lt;100,0,(C15/$C$17)*'2023 Arbavg tjeneste'!M15/'2023 Lønnsgr arbavg tjeneste'!M15)</f>
        <v>2.0200889903385939E-3</v>
      </c>
      <c r="BB15" s="5">
        <f>IF('2023 Lønnsgr arbavg tjeneste'!M15&lt;100,0,C15)</f>
        <v>243329</v>
      </c>
      <c r="BC15" s="59">
        <f t="shared" si="7"/>
        <v>5.0670971971234477E-2</v>
      </c>
      <c r="BD15" s="59">
        <f t="shared" si="8"/>
        <v>1</v>
      </c>
      <c r="BE15" s="59">
        <f>IF(BB15=0,0,(BB15/$BB$17)*BD15*'2023 Arbavg tjeneste'!M15/'2023 Lønnsgr arbavg tjeneste'!M15)</f>
        <v>2.3195676212783688E-3</v>
      </c>
      <c r="BF15" s="5">
        <f>IF(BB15=0,0,'2023 Nto driftsutg landet'!$C$25*'2023 Lønnsand og arbavg landet'!$D$15*('2023 Arbavg tjeneste'!M15/'2023 Lønnsgr arbavg tjeneste'!M15-$BE$17))</f>
        <v>0.43849549814501904</v>
      </c>
      <c r="BG15" s="5">
        <f t="shared" si="22"/>
        <v>106.69867106812933</v>
      </c>
      <c r="BH15" s="59">
        <f>IF('2023 Lønnsgr arbavg tjeneste'!N15&lt;100,0,(C15/$C$17)*'2023 Arbavg tjeneste'!N15/'2023 Lønnsgr arbavg tjeneste'!N15)</f>
        <v>1.5171687134214464E-3</v>
      </c>
      <c r="BI15" s="5">
        <f>IF('2023 Lønnsgr arbavg tjeneste'!N15&lt;100,0,C15)</f>
        <v>243329</v>
      </c>
      <c r="BJ15" s="59">
        <f t="shared" si="9"/>
        <v>4.4128859046770656E-2</v>
      </c>
      <c r="BK15" s="59">
        <f t="shared" si="10"/>
        <v>1</v>
      </c>
      <c r="BL15" s="59">
        <f>IF(BI15=0,0,(BI15/$BI$17)*BK15*'2023 Arbavg tjeneste'!N15/'2023 Lønnsgr arbavg tjeneste'!N15)</f>
        <v>1.5171687134214464E-3</v>
      </c>
      <c r="BM15" s="5">
        <f>IF(BI15=0,0,'2023 Nto driftsutg landet'!$C$26*'2023 Lønnsand og arbavg landet'!$D$16*('2023 Arbavg tjeneste'!N15/'2023 Lønnsgr arbavg tjeneste'!N15-$BL$17))</f>
        <v>-3.3813682777130758</v>
      </c>
      <c r="BN15" s="5">
        <f t="shared" si="23"/>
        <v>-822.78496164764499</v>
      </c>
      <c r="BO15" s="59">
        <f>IF('2023 Lønnsgr arbavg tjeneste'!O15&lt;100,0,(C15/$C$17)*'2023 Arbavg tjeneste'!O15/'2023 Lønnsgr arbavg tjeneste'!O15)</f>
        <v>0</v>
      </c>
      <c r="BP15" s="5">
        <f>IF('2023 Lønnsgr arbavg tjeneste'!O15&lt;100,0,C15)</f>
        <v>0</v>
      </c>
      <c r="BQ15" s="59">
        <f t="shared" si="11"/>
        <v>0</v>
      </c>
      <c r="BR15" s="59">
        <f t="shared" si="12"/>
        <v>1</v>
      </c>
      <c r="BS15" s="59">
        <f>IF(BP15=0,0,(BP15/$BP$17)*BR15*'2023 Arbavg tjeneste'!O15/'2023 Lønnsgr arbavg tjeneste'!O15)</f>
        <v>0</v>
      </c>
      <c r="BT15" s="5">
        <f>IF(BP15=0,0,'2023 Nto driftsutg landet'!$C$27*'2023 Lønnsand og arbavg landet'!$D$17*('2023 Arbavg tjeneste'!O15/'2023 Lønnsgr arbavg tjeneste'!O15-$BS$17))</f>
        <v>0</v>
      </c>
      <c r="BU15" s="5">
        <f t="shared" si="24"/>
        <v>0</v>
      </c>
      <c r="BV15" s="59">
        <f>IF('2023 Lønnsgr arbavg tjeneste'!P15&lt;100,0,(C15/$C$17)*'2023 Arbavg tjeneste'!P15/'2023 Lønnsgr arbavg tjeneste'!P15)</f>
        <v>3.5590621223071817E-3</v>
      </c>
      <c r="BW15" s="5">
        <f>IF('2023 Lønnsgr arbavg tjeneste'!P15&lt;100,0,C15)</f>
        <v>243329</v>
      </c>
      <c r="BX15" s="59">
        <f t="shared" si="13"/>
        <v>6.3856208652915289E-2</v>
      </c>
      <c r="BY15" s="59">
        <f t="shared" si="14"/>
        <v>1</v>
      </c>
      <c r="BZ15" s="59">
        <f>IF(BW15=0,0,(BW15/$BW$17)*BY15*'2023 Arbavg tjeneste'!P15/'2023 Lønnsgr arbavg tjeneste'!P15)</f>
        <v>5.1501039999665788E-3</v>
      </c>
      <c r="CA15" s="5">
        <f>IF(BW15=0,0,'2023 Nto driftsutg landet'!$C$28*'2023 Lønnsand og arbavg landet'!$D$18*('2023 Arbavg tjeneste'!P15/'2023 Lønnsgr arbavg tjeneste'!P15-$BZ$17))</f>
        <v>0.24608365218323514</v>
      </c>
      <c r="CB15" s="5">
        <f t="shared" si="25"/>
        <v>59.879289002094424</v>
      </c>
      <c r="CC15" s="5"/>
      <c r="CD15" s="5"/>
      <c r="CE15" s="5"/>
    </row>
    <row r="16" spans="1:83" x14ac:dyDescent="0.3">
      <c r="B16" s="45"/>
      <c r="C16" s="45"/>
      <c r="D16" s="45"/>
      <c r="E16" s="45"/>
      <c r="F16" s="45"/>
      <c r="G16" s="45"/>
    </row>
    <row r="17" spans="2:83" x14ac:dyDescent="0.3">
      <c r="B17" s="44" t="s">
        <v>3</v>
      </c>
      <c r="C17" s="5">
        <f>SUM(C5:C16)</f>
        <v>5514056</v>
      </c>
      <c r="D17" s="59">
        <f>SUM(D5:D16)</f>
        <v>0.13027714965941661</v>
      </c>
      <c r="E17" s="5">
        <f>SUM(E5:E16)</f>
        <v>5514056</v>
      </c>
      <c r="F17" s="59">
        <f>SUM(F5:F16)</f>
        <v>0.99999999999999989</v>
      </c>
      <c r="G17" s="5"/>
      <c r="H17" s="59">
        <f>SUM(H5:H16)</f>
        <v>0.13027714965941661</v>
      </c>
      <c r="I17" s="5"/>
      <c r="J17" s="5">
        <f>SUM(J5:J16)</f>
        <v>0</v>
      </c>
      <c r="K17" s="59">
        <f>SUM(K5:K16)</f>
        <v>0.22241808174222802</v>
      </c>
      <c r="L17" s="5">
        <f>SUM(L5:L16)</f>
        <v>5514056</v>
      </c>
      <c r="M17" s="59">
        <f>SUM(M5:M16)</f>
        <v>1</v>
      </c>
      <c r="N17" s="5"/>
      <c r="O17" s="59">
        <f>SUM(O5:O16)</f>
        <v>0.22241808174222802</v>
      </c>
      <c r="P17" s="5"/>
      <c r="Q17" s="5">
        <f>SUM(Q5:Q16)</f>
        <v>2.5465851649641991E-11</v>
      </c>
      <c r="R17" s="59">
        <f>SUM(R5:R16)</f>
        <v>0.13293910568016384</v>
      </c>
      <c r="S17" s="5">
        <f>SUM(S5:S16)</f>
        <v>5514056</v>
      </c>
      <c r="T17" s="59">
        <f>SUM(T5:T16)</f>
        <v>1</v>
      </c>
      <c r="U17" s="5"/>
      <c r="V17" s="59">
        <f>SUM(V5:V16)</f>
        <v>0.13293910568016384</v>
      </c>
      <c r="W17" s="5"/>
      <c r="X17" s="5">
        <f>SUM(X5:X16)</f>
        <v>2.9558577807620168E-12</v>
      </c>
      <c r="Y17" s="59">
        <f>SUM(Y5:Y16)</f>
        <v>7.1720414959771342E-2</v>
      </c>
      <c r="Z17" s="5">
        <f>SUM(Z5:Z16)</f>
        <v>2422503</v>
      </c>
      <c r="AA17" s="59">
        <f>SUM(AA5:AA16)</f>
        <v>1.6223919044163007</v>
      </c>
      <c r="AB17" s="5"/>
      <c r="AC17" s="59">
        <f>SUM(AC5:AC16)</f>
        <v>0.10062221470190402</v>
      </c>
      <c r="AD17" s="5"/>
      <c r="AE17" s="5">
        <f>SUM(AE5:AE16)</f>
        <v>2.2737367544323206E-13</v>
      </c>
      <c r="AF17" s="59">
        <f>SUM(AF5:AF16)</f>
        <v>0.12688575327246912</v>
      </c>
      <c r="AG17" s="5">
        <f>SUM(AG5:AG16)</f>
        <v>5514056</v>
      </c>
      <c r="AH17" s="59">
        <f>SUM(AH5:AH16)</f>
        <v>1</v>
      </c>
      <c r="AI17" s="5"/>
      <c r="AJ17" s="59">
        <f>SUM(AJ5:AJ16)</f>
        <v>0.12688575327246912</v>
      </c>
      <c r="AK17" s="5"/>
      <c r="AL17" s="5">
        <f>SUM(AL5:AL16)</f>
        <v>4.0017766878008842E-11</v>
      </c>
      <c r="AM17" s="59">
        <f>SUM(AM5:AM16)</f>
        <v>0.12235331382246115</v>
      </c>
      <c r="AN17" s="5">
        <f>SUM(AN5:AN16)</f>
        <v>5514056</v>
      </c>
      <c r="AO17" s="59">
        <f>SUM(AO5:AO16)</f>
        <v>1</v>
      </c>
      <c r="AP17" s="5"/>
      <c r="AQ17" s="59">
        <f>SUM(AQ5:AQ16)</f>
        <v>0.12235331382246115</v>
      </c>
      <c r="AR17" s="5"/>
      <c r="AS17" s="5">
        <f>SUM(AS5:AS16)</f>
        <v>2.0008883439004421E-11</v>
      </c>
      <c r="AT17" s="59">
        <f>SUM(AT5:AT16)</f>
        <v>0.11531515319440926</v>
      </c>
      <c r="AU17" s="5">
        <f>SUM(AU5:AU16)</f>
        <v>4802138</v>
      </c>
      <c r="AV17" s="59">
        <f>SUM(AV5:AV16)</f>
        <v>1</v>
      </c>
      <c r="AW17" s="5"/>
      <c r="AX17" s="59">
        <f>SUM(AX5:AX16)</f>
        <v>0.13241064966532648</v>
      </c>
      <c r="AY17" s="5"/>
      <c r="AZ17" s="5">
        <f>SUM(AZ5:AZ16)</f>
        <v>0</v>
      </c>
      <c r="BA17" s="59">
        <f>SUM(BA5:BA16)</f>
        <v>0.11775174919791094</v>
      </c>
      <c r="BB17" s="5">
        <f>SUM(BB5:BB16)</f>
        <v>4802138</v>
      </c>
      <c r="BC17" s="59">
        <f>SUM(BC5:BC16)</f>
        <v>1</v>
      </c>
      <c r="BD17" s="5"/>
      <c r="BE17" s="59">
        <f>SUM(BE5:BE16)</f>
        <v>0.13520847155480245</v>
      </c>
      <c r="BF17" s="5"/>
      <c r="BG17" s="5">
        <f>SUM(BG5:BG16)</f>
        <v>-4.8316906031686813E-13</v>
      </c>
      <c r="BH17" s="59">
        <f>SUM(BH5:BH16)</f>
        <v>0.13025104170964327</v>
      </c>
      <c r="BI17" s="5">
        <f>SUM(BI5:BI16)</f>
        <v>5514056</v>
      </c>
      <c r="BJ17" s="59">
        <f>SUM(BJ5:BJ16)</f>
        <v>1</v>
      </c>
      <c r="BK17" s="5"/>
      <c r="BL17" s="59">
        <f>SUM(BL5:BL16)</f>
        <v>0.13025104170964327</v>
      </c>
      <c r="BM17" s="5"/>
      <c r="BN17" s="5">
        <f>SUM(BN5:BN16)</f>
        <v>-2.0463630789890885E-12</v>
      </c>
      <c r="BO17" s="59">
        <f>SUM(BO5:BO16)</f>
        <v>4.2587588380198549E-2</v>
      </c>
      <c r="BP17" s="5">
        <f>SUM(BP5:BP16)</f>
        <v>1731199</v>
      </c>
      <c r="BQ17" s="59">
        <f>SUM(BQ5:BQ16)</f>
        <v>1</v>
      </c>
      <c r="BR17" s="5"/>
      <c r="BS17" s="59">
        <f>SUM(BS5:BS16)</f>
        <v>0.13564607375198581</v>
      </c>
      <c r="BT17" s="5"/>
      <c r="BU17" s="5">
        <f>SUM(BU5:BU16)</f>
        <v>1.0658141036401503E-14</v>
      </c>
      <c r="BV17" s="59">
        <f>SUM(BV5:BV16)</f>
        <v>9.6516531854310958E-2</v>
      </c>
      <c r="BW17" s="5">
        <f>SUM(BW5:BW16)</f>
        <v>3810577</v>
      </c>
      <c r="BX17" s="59">
        <f>SUM(BX5:BX16)</f>
        <v>1</v>
      </c>
      <c r="BY17" s="5"/>
      <c r="BZ17" s="59">
        <f>SUM(BZ5:BZ16)</f>
        <v>0.13966324826147178</v>
      </c>
      <c r="CA17" s="59"/>
      <c r="CB17" s="5">
        <f>SUM(CB5:CB16)</f>
        <v>-2.2737367544323206E-13</v>
      </c>
      <c r="CC17" s="5"/>
      <c r="CD17" s="5"/>
      <c r="CE17" s="5"/>
    </row>
    <row r="18" spans="2:83" x14ac:dyDescent="0.3">
      <c r="CD18" s="5"/>
    </row>
  </sheetData>
  <sheetProtection algorithmName="SHA-512" hashValue="iATp0I4KMFxuomb0gOH9LFDBkNHXrf0r+Q64I1+wzYrZHHu3oM9y4ZXTpI+6aeG6wTmjbhZNxhV/7ippjBrsjw==" saltValue="hKADNHD2WU0olNAjw5kFOQ==" spinCount="100000" sheet="1" selectLockedCells="1" selectUnlockedCell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21"/>
  <dimension ref="A1:K18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RowHeight="14.4" x14ac:dyDescent="0.3"/>
  <cols>
    <col min="1" max="1" width="6.44140625" customWidth="1"/>
    <col min="2" max="2" width="17.88671875" bestFit="1" customWidth="1"/>
    <col min="3" max="3" width="12" customWidth="1"/>
    <col min="4" max="6" width="17" customWidth="1"/>
    <col min="7" max="9" width="16.5546875" customWidth="1"/>
    <col min="10" max="10" width="15.44140625" customWidth="1"/>
    <col min="11" max="11" width="16.88671875" customWidth="1"/>
  </cols>
  <sheetData>
    <row r="1" spans="1:11" x14ac:dyDescent="0.3">
      <c r="G1" s="100"/>
      <c r="H1" s="58"/>
      <c r="I1" s="58"/>
    </row>
    <row r="2" spans="1:11" ht="40.200000000000003" x14ac:dyDescent="0.3">
      <c r="A2" s="24" t="s">
        <v>2</v>
      </c>
      <c r="B2" s="24" t="s">
        <v>1</v>
      </c>
      <c r="C2" s="24" t="s">
        <v>348</v>
      </c>
      <c r="D2" s="24" t="s">
        <v>120</v>
      </c>
      <c r="E2" s="24" t="s">
        <v>117</v>
      </c>
      <c r="F2" s="24" t="s">
        <v>118</v>
      </c>
      <c r="G2" s="24" t="s">
        <v>335</v>
      </c>
      <c r="H2" s="24" t="s">
        <v>336</v>
      </c>
      <c r="I2" s="24" t="s">
        <v>337</v>
      </c>
      <c r="J2" s="24" t="s">
        <v>119</v>
      </c>
      <c r="K2" s="24" t="s">
        <v>338</v>
      </c>
    </row>
    <row r="3" spans="1:11" x14ac:dyDescent="0.3">
      <c r="A3" s="107">
        <v>1</v>
      </c>
      <c r="B3" s="107">
        <f>+A3+1</f>
        <v>2</v>
      </c>
      <c r="C3" s="107">
        <f t="shared" ref="C3:K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</row>
    <row r="5" spans="1:11" x14ac:dyDescent="0.3">
      <c r="A5" s="43">
        <v>300</v>
      </c>
      <c r="B5" s="44" t="s">
        <v>0</v>
      </c>
      <c r="C5" s="44">
        <f>+'2023 Nto driftsutg'!W5</f>
        <v>711918</v>
      </c>
      <c r="D5" s="5">
        <f>+'2023 Nto driftsutg eks avskriv'!R5</f>
        <v>-656025.221676777</v>
      </c>
      <c r="E5" s="5">
        <f>+'2023 Lønnsgr pensjon tjeneste'!C5</f>
        <v>2392173</v>
      </c>
      <c r="F5" s="59">
        <f>+D5/E5</f>
        <v>-0.27423820170061991</v>
      </c>
      <c r="G5" s="5">
        <f>'2023 Lønnsand og pensjon landet'!$C$6*'2023 Lønnsand og arbavg landet'!$D$6*'2023 Revekting utgiftsbehov'!D5+'2023 Lønnsand og pensjon landet'!$C$7*'2023 Lønnsand og arbavg landet'!$D$7*'2023 Revekting utgiftsbehov'!E5+'2023 Lønnsand og pensjon landet'!$C$8*'2023 Lønnsand og arbavg landet'!$D$8*'2023 Revekting utgiftsbehov'!F5+'2023 Lønnsand og pensjon landet'!$C$9*'2023 Lønnsand og arbavg landet'!$D$9*'2023 Revekting utgiftsbehov'!G5+'2023 Lønnsand og pensjon landet'!$C$10*'2023 Lønnsand og arbavg landet'!$D$10*'2023 Revekting utgiftsbehov'!H5+'2023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3955.5383342117384</v>
      </c>
      <c r="H5" s="59">
        <f t="shared" ref="H5:H15" si="1">G5/G$17</f>
        <v>0.73091222207041329</v>
      </c>
      <c r="I5" s="59">
        <f t="shared" ref="I5:I15" si="2">F5*(G5*C5)/(G$17*C$17)</f>
        <v>-2.5879267384175616E-2</v>
      </c>
      <c r="J5" s="5">
        <f t="shared" ref="J5:J15" si="3">(F5-$I$17)*$G$17*H5</f>
        <v>-662.89771612027437</v>
      </c>
      <c r="K5" s="5">
        <f>J5*C5</f>
        <v>-471928816.2649135</v>
      </c>
    </row>
    <row r="6" spans="1:11" x14ac:dyDescent="0.3">
      <c r="A6" s="43">
        <v>1100</v>
      </c>
      <c r="B6" s="44" t="s">
        <v>141</v>
      </c>
      <c r="C6" s="44">
        <f>+'2023 Nto driftsutg'!W6</f>
        <v>495545</v>
      </c>
      <c r="D6" s="5">
        <f>+'2023 Nto driftsutg eks avskriv'!R6</f>
        <v>-272716</v>
      </c>
      <c r="E6" s="5">
        <f>+'2023 Lønnsgr pensjon tjeneste'!C6</f>
        <v>2833636</v>
      </c>
      <c r="F6" s="59">
        <f t="shared" ref="F6:F15" si="4">+D6/E6</f>
        <v>-9.6242424926843109E-2</v>
      </c>
      <c r="G6" s="5">
        <f>'2023 Lønnsand og pensjon landet'!$C$6*'2023 Lønnsand og arbavg landet'!$D$6*'2023 Revekting utgiftsbehov'!D6+'2023 Lønnsand og pensjon landet'!$C$7*'2023 Lønnsand og arbavg landet'!$D$7*'2023 Revekting utgiftsbehov'!E6+'2023 Lønnsand og pensjon landet'!$C$8*'2023 Lønnsand og arbavg landet'!$D$8*'2023 Revekting utgiftsbehov'!F6+'2023 Lønnsand og pensjon landet'!$C$9*'2023 Lønnsand og arbavg landet'!$D$9*'2023 Revekting utgiftsbehov'!G6+'2023 Lønnsand og pensjon landet'!$C$10*'2023 Lønnsand og arbavg landet'!$D$10*'2023 Revekting utgiftsbehov'!H6+'2023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5717.8626942476149</v>
      </c>
      <c r="H6" s="59">
        <f t="shared" si="1"/>
        <v>1.0565580141644333</v>
      </c>
      <c r="I6" s="59">
        <f t="shared" si="2"/>
        <v>-9.1384350942686782E-3</v>
      </c>
      <c r="J6" s="5">
        <f t="shared" si="3"/>
        <v>59.51463619505445</v>
      </c>
      <c r="K6" s="5">
        <f t="shared" ref="K6:K15" si="5">J6*C6</f>
        <v>29492180.393278256</v>
      </c>
    </row>
    <row r="7" spans="1:11" x14ac:dyDescent="0.3">
      <c r="A7" s="43">
        <v>1500</v>
      </c>
      <c r="B7" s="44" t="s">
        <v>142</v>
      </c>
      <c r="C7" s="44">
        <f>+'2023 Nto driftsutg'!W7</f>
        <v>269164</v>
      </c>
      <c r="D7" s="5">
        <f>+'2023 Nto driftsutg eks avskriv'!R7</f>
        <v>-182410</v>
      </c>
      <c r="E7" s="5">
        <f>+'2023 Lønnsgr pensjon tjeneste'!C7</f>
        <v>1621048</v>
      </c>
      <c r="F7" s="59">
        <f t="shared" si="4"/>
        <v>-0.11252597085342322</v>
      </c>
      <c r="G7" s="5">
        <f>'2023 Lønnsand og pensjon landet'!$C$6*'2023 Lønnsand og arbavg landet'!$D$6*'2023 Revekting utgiftsbehov'!D7+'2023 Lønnsand og pensjon landet'!$C$7*'2023 Lønnsand og arbavg landet'!$D$7*'2023 Revekting utgiftsbehov'!E7+'2023 Lønnsand og pensjon landet'!$C$8*'2023 Lønnsand og arbavg landet'!$D$8*'2023 Revekting utgiftsbehov'!F7+'2023 Lønnsand og pensjon landet'!$C$9*'2023 Lønnsand og arbavg landet'!$D$9*'2023 Revekting utgiftsbehov'!G7+'2023 Lønnsand og pensjon landet'!$C$10*'2023 Lønnsand og arbavg landet'!$D$10*'2023 Revekting utgiftsbehov'!H7+'2023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5987.3159678807933</v>
      </c>
      <c r="H7" s="59">
        <f t="shared" si="1"/>
        <v>1.1063481247220701</v>
      </c>
      <c r="I7" s="59">
        <f t="shared" si="2"/>
        <v>-6.0770159178693516E-3</v>
      </c>
      <c r="J7" s="5">
        <f t="shared" si="3"/>
        <v>-35.175481583448402</v>
      </c>
      <c r="K7" s="5">
        <f t="shared" si="5"/>
        <v>-9467973.3249273058</v>
      </c>
    </row>
    <row r="8" spans="1:11" x14ac:dyDescent="0.3">
      <c r="A8" s="43">
        <v>1800</v>
      </c>
      <c r="B8" s="44" t="s">
        <v>143</v>
      </c>
      <c r="C8" s="44">
        <f>+'2023 Nto driftsutg'!W8</f>
        <v>241960</v>
      </c>
      <c r="D8" s="5">
        <f>+'2023 Nto driftsutg eks avskriv'!R8</f>
        <v>-200862</v>
      </c>
      <c r="E8" s="5">
        <f>+'2023 Lønnsgr pensjon tjeneste'!C8</f>
        <v>1892941</v>
      </c>
      <c r="F8" s="59">
        <f t="shared" si="4"/>
        <v>-0.10611107266417706</v>
      </c>
      <c r="G8" s="5">
        <f>'2023 Lønnsand og pensjon landet'!$C$6*'2023 Lønnsand og arbavg landet'!$D$6*'2023 Revekting utgiftsbehov'!D8+'2023 Lønnsand og pensjon landet'!$C$7*'2023 Lønnsand og arbavg landet'!$D$7*'2023 Revekting utgiftsbehov'!E8+'2023 Lønnsand og pensjon landet'!$C$8*'2023 Lønnsand og arbavg landet'!$D$8*'2023 Revekting utgiftsbehov'!F8+'2023 Lønnsand og pensjon landet'!$C$9*'2023 Lønnsand og arbavg landet'!$D$9*'2023 Revekting utgiftsbehov'!G8+'2023 Lønnsand og pensjon landet'!$C$10*'2023 Lønnsand og arbavg landet'!$D$10*'2023 Revekting utgiftsbehov'!H8+'2023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6046.5260721285931</v>
      </c>
      <c r="H8" s="59">
        <f t="shared" si="1"/>
        <v>1.1172890852710986</v>
      </c>
      <c r="I8" s="59">
        <f t="shared" si="2"/>
        <v>-5.2023391877554477E-3</v>
      </c>
      <c r="J8" s="5">
        <f t="shared" si="3"/>
        <v>3.2645082027318431</v>
      </c>
      <c r="K8" s="5">
        <f t="shared" si="5"/>
        <v>789880.40473299671</v>
      </c>
    </row>
    <row r="9" spans="1:11" x14ac:dyDescent="0.3">
      <c r="A9" s="43">
        <v>3000</v>
      </c>
      <c r="B9" s="44" t="s">
        <v>341</v>
      </c>
      <c r="C9" s="44">
        <f>+'2023 Nto driftsutg'!W9</f>
        <v>1300096</v>
      </c>
      <c r="D9" s="5">
        <f>+'2023 Nto driftsutg eks avskriv'!R9</f>
        <v>-609560</v>
      </c>
      <c r="E9" s="5">
        <f>+'2023 Lønnsgr pensjon tjeneste'!C9</f>
        <v>6885107</v>
      </c>
      <c r="F9" s="59">
        <f t="shared" si="4"/>
        <v>-8.8533119383620323E-2</v>
      </c>
      <c r="G9" s="5">
        <f>'2023 Lønnsand og pensjon landet'!$C$6*'2023 Lønnsand og arbavg landet'!$D$6*'2023 Revekting utgiftsbehov'!D9+'2023 Lønnsand og pensjon landet'!$C$7*'2023 Lønnsand og arbavg landet'!$D$7*'2023 Revekting utgiftsbehov'!E9+'2023 Lønnsand og pensjon landet'!$C$8*'2023 Lønnsand og arbavg landet'!$D$8*'2023 Revekting utgiftsbehov'!F9+'2023 Lønnsand og pensjon landet'!$C$9*'2023 Lønnsand og arbavg landet'!$D$9*'2023 Revekting utgiftsbehov'!G9+'2023 Lønnsand og pensjon landet'!$C$10*'2023 Lønnsand og arbavg landet'!$D$10*'2023 Revekting utgiftsbehov'!H9+'2023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5355.5798641960891</v>
      </c>
      <c r="H9" s="59">
        <f t="shared" si="1"/>
        <v>0.98961467397716452</v>
      </c>
      <c r="I9" s="59">
        <f t="shared" si="2"/>
        <v>-2.0657422995017619E-2</v>
      </c>
      <c r="J9" s="5">
        <f t="shared" si="3"/>
        <v>97.031600270738252</v>
      </c>
      <c r="K9" s="5">
        <f t="shared" si="5"/>
        <v>126150395.38558573</v>
      </c>
    </row>
    <row r="10" spans="1:11" x14ac:dyDescent="0.3">
      <c r="A10" s="43">
        <v>3400</v>
      </c>
      <c r="B10" s="44" t="s">
        <v>342</v>
      </c>
      <c r="C10" s="44">
        <f>+'2023 Nto driftsutg'!W10</f>
        <v>374624</v>
      </c>
      <c r="D10" s="5">
        <f>+'2023 Nto driftsutg eks avskriv'!R10</f>
        <v>-276193</v>
      </c>
      <c r="E10" s="5">
        <f>+'2023 Lønnsgr pensjon tjeneste'!C10</f>
        <v>2395477</v>
      </c>
      <c r="F10" s="59">
        <f t="shared" si="4"/>
        <v>-0.11529770479950339</v>
      </c>
      <c r="G10" s="5">
        <f>'2023 Lønnsand og pensjon landet'!$C$6*'2023 Lønnsand og arbavg landet'!$D$6*'2023 Revekting utgiftsbehov'!D10+'2023 Lønnsand og pensjon landet'!$C$7*'2023 Lønnsand og arbavg landet'!$D$7*'2023 Revekting utgiftsbehov'!E10+'2023 Lønnsand og pensjon landet'!$C$8*'2023 Lønnsand og arbavg landet'!$D$8*'2023 Revekting utgiftsbehov'!F10+'2023 Lønnsand og pensjon landet'!$C$9*'2023 Lønnsand og arbavg landet'!$D$9*'2023 Revekting utgiftsbehov'!G10+'2023 Lønnsand og pensjon landet'!$C$10*'2023 Lønnsand og arbavg landet'!$D$10*'2023 Revekting utgiftsbehov'!H10+'2023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5531.6816698595749</v>
      </c>
      <c r="H10" s="59">
        <f t="shared" si="1"/>
        <v>1.0221551150531225</v>
      </c>
      <c r="I10" s="59">
        <f t="shared" si="2"/>
        <v>-8.0068536869873624E-3</v>
      </c>
      <c r="J10" s="5">
        <f t="shared" si="3"/>
        <v>-47.830979925122477</v>
      </c>
      <c r="K10" s="5">
        <f t="shared" si="5"/>
        <v>-17918633.023469083</v>
      </c>
    </row>
    <row r="11" spans="1:11" x14ac:dyDescent="0.3">
      <c r="A11" s="43">
        <v>3800</v>
      </c>
      <c r="B11" s="44" t="s">
        <v>343</v>
      </c>
      <c r="C11" s="44">
        <f>+'2023 Nto driftsutg'!W11</f>
        <v>431103</v>
      </c>
      <c r="D11" s="5">
        <f>+'2023 Nto driftsutg eks avskriv'!R11</f>
        <v>-302629</v>
      </c>
      <c r="E11" s="5">
        <f>+'2023 Lønnsgr pensjon tjeneste'!C11</f>
        <v>2610180</v>
      </c>
      <c r="F11" s="59">
        <f t="shared" si="4"/>
        <v>-0.1159418124420538</v>
      </c>
      <c r="G11" s="5">
        <f>'2023 Lønnsand og pensjon landet'!$C$6*'2023 Lønnsand og arbavg landet'!$D$6*'2023 Revekting utgiftsbehov'!D11+'2023 Lønnsand og pensjon landet'!$C$7*'2023 Lønnsand og arbavg landet'!$D$7*'2023 Revekting utgiftsbehov'!E11+'2023 Lønnsand og pensjon landet'!$C$8*'2023 Lønnsand og arbavg landet'!$D$8*'2023 Revekting utgiftsbehov'!F11+'2023 Lønnsand og pensjon landet'!$C$9*'2023 Lønnsand og arbavg landet'!$D$9*'2023 Revekting utgiftsbehov'!G11+'2023 Lønnsand og pensjon landet'!$C$10*'2023 Lønnsand og arbavg landet'!$D$10*'2023 Revekting utgiftsbehov'!H11+'2023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5464.8248310241925</v>
      </c>
      <c r="H11" s="59">
        <f t="shared" si="1"/>
        <v>1.0098011757141652</v>
      </c>
      <c r="I11" s="59">
        <f t="shared" si="2"/>
        <v>-9.1534714181040581E-3</v>
      </c>
      <c r="J11" s="5">
        <f t="shared" si="3"/>
        <v>-50.772822063059962</v>
      </c>
      <c r="K11" s="5">
        <f t="shared" si="5"/>
        <v>-21888315.909851339</v>
      </c>
    </row>
    <row r="12" spans="1:11" x14ac:dyDescent="0.3">
      <c r="A12" s="43">
        <v>4200</v>
      </c>
      <c r="B12" s="44" t="s">
        <v>344</v>
      </c>
      <c r="C12" s="44">
        <f>+'2023 Nto driftsutg'!W12</f>
        <v>317444</v>
      </c>
      <c r="D12" s="5">
        <f>+'2023 Nto driftsutg eks avskriv'!R12</f>
        <v>-248648</v>
      </c>
      <c r="E12" s="5">
        <f>+'2023 Lønnsgr pensjon tjeneste'!C12</f>
        <v>2020318</v>
      </c>
      <c r="F12" s="59">
        <f t="shared" si="4"/>
        <v>-0.12307369433920799</v>
      </c>
      <c r="G12" s="5">
        <f>'2023 Lønnsand og pensjon landet'!$C$6*'2023 Lønnsand og arbavg landet'!$D$6*'2023 Revekting utgiftsbehov'!D12+'2023 Lønnsand og pensjon landet'!$C$7*'2023 Lønnsand og arbavg landet'!$D$7*'2023 Revekting utgiftsbehov'!E12+'2023 Lønnsand og pensjon landet'!$C$8*'2023 Lønnsand og arbavg landet'!$D$8*'2023 Revekting utgiftsbehov'!F12+'2023 Lønnsand og pensjon landet'!$C$9*'2023 Lønnsand og arbavg landet'!$D$9*'2023 Revekting utgiftsbehov'!G12+'2023 Lønnsand og pensjon landet'!$C$10*'2023 Lønnsand og arbavg landet'!$D$10*'2023 Revekting utgiftsbehov'!H12+'2023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5819.6505612700666</v>
      </c>
      <c r="H12" s="59">
        <f t="shared" si="1"/>
        <v>1.0753665782027879</v>
      </c>
      <c r="I12" s="59">
        <f t="shared" si="2"/>
        <v>-7.6193464681338094E-3</v>
      </c>
      <c r="J12" s="5">
        <f t="shared" si="3"/>
        <v>-95.574512216158084</v>
      </c>
      <c r="K12" s="5">
        <f t="shared" si="5"/>
        <v>-30339555.455946088</v>
      </c>
    </row>
    <row r="13" spans="1:11" x14ac:dyDescent="0.3">
      <c r="A13" s="43">
        <v>4600</v>
      </c>
      <c r="B13" s="44" t="s">
        <v>345</v>
      </c>
      <c r="C13" s="44">
        <f>+'2023 Nto driftsutg'!W13</f>
        <v>648436</v>
      </c>
      <c r="D13" s="5">
        <f>+'2023 Nto driftsutg eks avskriv'!R13</f>
        <v>-129001</v>
      </c>
      <c r="E13" s="5">
        <f>+'2023 Lønnsgr pensjon tjeneste'!C13</f>
        <v>3616790</v>
      </c>
      <c r="F13" s="59">
        <f t="shared" si="4"/>
        <v>-3.5667262959696307E-2</v>
      </c>
      <c r="G13" s="5">
        <f>'2023 Lønnsand og pensjon landet'!$C$6*'2023 Lønnsand og arbavg landet'!$D$6*'2023 Revekting utgiftsbehov'!D13+'2023 Lønnsand og pensjon landet'!$C$7*'2023 Lønnsand og arbavg landet'!$D$7*'2023 Revekting utgiftsbehov'!E13+'2023 Lønnsand og pensjon landet'!$C$8*'2023 Lønnsand og arbavg landet'!$D$8*'2023 Revekting utgiftsbehov'!F13+'2023 Lønnsand og pensjon landet'!$C$9*'2023 Lønnsand og arbavg landet'!$D$9*'2023 Revekting utgiftsbehov'!G13+'2023 Lønnsand og pensjon landet'!$C$10*'2023 Lønnsand og arbavg landet'!$D$10*'2023 Revekting utgiftsbehov'!H13+'2023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5706.9730124154758</v>
      </c>
      <c r="H13" s="59">
        <f t="shared" si="1"/>
        <v>1.0545457971479206</v>
      </c>
      <c r="I13" s="59">
        <f t="shared" si="2"/>
        <v>-4.4231449775423877E-3</v>
      </c>
      <c r="J13" s="5">
        <f t="shared" si="3"/>
        <v>405.10210501127693</v>
      </c>
      <c r="K13" s="5">
        <f t="shared" si="5"/>
        <v>262682788.56509236</v>
      </c>
    </row>
    <row r="14" spans="1:11" x14ac:dyDescent="0.3">
      <c r="A14" s="43">
        <v>5000</v>
      </c>
      <c r="B14" s="44" t="s">
        <v>340</v>
      </c>
      <c r="C14" s="44">
        <f>+'2023 Nto driftsutg'!W14</f>
        <v>480437</v>
      </c>
      <c r="D14" s="5">
        <f>+'2023 Nto driftsutg eks avskriv'!R14</f>
        <v>-131740</v>
      </c>
      <c r="E14" s="5">
        <f>+'2023 Lønnsgr pensjon tjeneste'!C14</f>
        <v>2844292</v>
      </c>
      <c r="F14" s="59">
        <f t="shared" si="4"/>
        <v>-4.6317326069194018E-2</v>
      </c>
      <c r="G14" s="5">
        <f>'2023 Lønnsand og pensjon landet'!$C$6*'2023 Lønnsand og arbavg landet'!$D$6*'2023 Revekting utgiftsbehov'!D14+'2023 Lønnsand og pensjon landet'!$C$7*'2023 Lønnsand og arbavg landet'!$D$7*'2023 Revekting utgiftsbehov'!E14+'2023 Lønnsand og pensjon landet'!$C$8*'2023 Lønnsand og arbavg landet'!$D$8*'2023 Revekting utgiftsbehov'!F14+'2023 Lønnsand og pensjon landet'!$C$9*'2023 Lønnsand og arbavg landet'!$D$9*'2023 Revekting utgiftsbehov'!G14+'2023 Lønnsand og pensjon landet'!$C$10*'2023 Lønnsand og arbavg landet'!$D$10*'2023 Revekting utgiftsbehov'!H14+'2023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5564.8155618815072</v>
      </c>
      <c r="H14" s="59">
        <f t="shared" si="1"/>
        <v>1.0282776613660047</v>
      </c>
      <c r="I14" s="59">
        <f t="shared" si="2"/>
        <v>-4.1497234451920908E-3</v>
      </c>
      <c r="J14" s="5">
        <f t="shared" si="3"/>
        <v>335.74560514736544</v>
      </c>
      <c r="K14" s="5">
        <f t="shared" si="5"/>
        <v>161304611.30018482</v>
      </c>
    </row>
    <row r="15" spans="1:11" x14ac:dyDescent="0.3">
      <c r="A15" s="43">
        <v>5400</v>
      </c>
      <c r="B15" s="44" t="s">
        <v>346</v>
      </c>
      <c r="C15" s="44">
        <f>+'2023 Nto driftsutg'!W15</f>
        <v>243329</v>
      </c>
      <c r="D15" s="5">
        <f>+'2023 Nto driftsutg eks avskriv'!R15</f>
        <v>-266720</v>
      </c>
      <c r="E15" s="5">
        <f>+'2023 Lønnsgr pensjon tjeneste'!C15</f>
        <v>2119394</v>
      </c>
      <c r="F15" s="59">
        <f t="shared" si="4"/>
        <v>-0.12584729408500731</v>
      </c>
      <c r="G15" s="5">
        <f>'2023 Lønnsand og pensjon landet'!$C$6*'2023 Lønnsand og arbavg landet'!$D$6*'2023 Revekting utgiftsbehov'!D15+'2023 Lønnsand og pensjon landet'!$C$7*'2023 Lønnsand og arbavg landet'!$D$7*'2023 Revekting utgiftsbehov'!E15+'2023 Lønnsand og pensjon landet'!$C$8*'2023 Lønnsand og arbavg landet'!$D$8*'2023 Revekting utgiftsbehov'!F15+'2023 Lønnsand og pensjon landet'!$C$9*'2023 Lønnsand og arbavg landet'!$D$9*'2023 Revekting utgiftsbehov'!G15+'2023 Lønnsand og pensjon landet'!$C$10*'2023 Lønnsand og arbavg landet'!$D$10*'2023 Revekting utgiftsbehov'!H15+'2023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6182.0649020686324</v>
      </c>
      <c r="H15" s="59">
        <f t="shared" si="1"/>
        <v>1.1423342192068413</v>
      </c>
      <c r="I15" s="59">
        <f t="shared" si="2"/>
        <v>-6.3439502329225867E-3</v>
      </c>
      <c r="J15" s="5">
        <f t="shared" si="3"/>
        <v>-118.67291637974155</v>
      </c>
      <c r="K15" s="5">
        <f t="shared" si="5"/>
        <v>-28876562.06976613</v>
      </c>
    </row>
    <row r="16" spans="1:11" x14ac:dyDescent="0.3">
      <c r="B16" s="45"/>
      <c r="C16" s="45"/>
      <c r="F16" s="59"/>
      <c r="H16" s="5"/>
    </row>
    <row r="17" spans="2:11" x14ac:dyDescent="0.3">
      <c r="B17" s="44" t="s">
        <v>3</v>
      </c>
      <c r="C17" s="5">
        <f>SUM(C5:C16)</f>
        <v>5514056</v>
      </c>
      <c r="D17" s="5">
        <f>SUM(D5:D16)</f>
        <v>-3276504.2216767771</v>
      </c>
      <c r="E17" s="5">
        <f>SUM(E5:E16)</f>
        <v>31231356</v>
      </c>
      <c r="F17" s="59">
        <f t="shared" ref="F17" si="6">+D17/E17</f>
        <v>-0.10491072567187852</v>
      </c>
      <c r="G17" s="5">
        <f>'2023 Lønnsand og pensjon landet'!$C$6*'2023 Lønnsand og arbavg landet'!$D$6*'2023 Revekting utgiftsbehov'!D17+'2023 Lønnsand og pensjon landet'!$C$7*'2023 Lønnsand og arbavg landet'!$D$7*'2023 Revekting utgiftsbehov'!E17+'2023 Lønnsand og pensjon landet'!$C$8*'2023 Lønnsand og arbavg landet'!$D$8*'2023 Revekting utgiftsbehov'!F17+'2023 Lønnsand og pensjon landet'!$C$9*'2023 Lønnsand og arbavg landet'!$D$9*'2023 Revekting utgiftsbehov'!G17+'2023 Lønnsand og pensjon landet'!$C$10*'2023 Lønnsand og arbavg landet'!$D$10*'2023 Revekting utgiftsbehov'!H17+'2023 Lønnsand og pensjon landet'!$C$13*'2023 Lønnsand og pensjon landet'!$D$13+'2023 Lønnsand og pensjon landet'!$C$14*'2023 Lønnsand og pensjon landet'!$D$14+'2023 Lønnsand og pensjon landet'!$C$15*'2023 Lønnsand og pensjon landet'!$D$15+'2023 Lønnsand og pensjon landet'!$C$16*'2023 Lønnsand og pensjon landet'!$D$16+'2023 Lønnsand og pensjon landet'!$C$17*'2023 Lønnsand og pensjon landet'!$D$17+'2023 Lønnsand og pensjon landet'!$C$18*'2023 Lønnsand og pensjon landet'!$D$18</f>
        <v>5411.7829949636234</v>
      </c>
      <c r="H17" s="59">
        <f>G17/G$17</f>
        <v>1</v>
      </c>
      <c r="I17" s="59">
        <f>SUM(I5:I15)</f>
        <v>-0.10665097080796901</v>
      </c>
      <c r="J17" s="5"/>
      <c r="K17" s="5">
        <f>SUM(K5:K16)</f>
        <v>6.891787052154541E-7</v>
      </c>
    </row>
    <row r="18" spans="2:11" x14ac:dyDescent="0.3">
      <c r="C18" s="5"/>
      <c r="I18" s="5"/>
    </row>
  </sheetData>
  <sheetProtection algorithmName="SHA-512" hashValue="+CgpF9zGFlkOipJWQBF++h53wz87FB76HFOAMOrBtDUmW8UQhI9Q0ymFBThoVB4prfBIODMnu/9PehNJcepsTA==" saltValue="64KoroxBV+H66g0XNHhLAA==" spinCount="100000" sheet="1" selectLockedCells="1" selectUnlockedCell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22"/>
  <dimension ref="A1:M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RowHeight="14.4" x14ac:dyDescent="0.3"/>
  <cols>
    <col min="1" max="1" width="5.5546875" customWidth="1"/>
    <col min="2" max="2" width="17.88671875" bestFit="1" customWidth="1"/>
    <col min="3" max="8" width="12" customWidth="1"/>
    <col min="9" max="10" width="14.5546875" customWidth="1"/>
    <col min="11" max="11" width="14.88671875" customWidth="1"/>
    <col min="12" max="12" width="14.5546875" customWidth="1"/>
    <col min="13" max="13" width="16.109375" customWidth="1"/>
  </cols>
  <sheetData>
    <row r="1" spans="1:13" x14ac:dyDescent="0.3">
      <c r="D1" s="118"/>
      <c r="E1" s="118"/>
      <c r="F1" s="118"/>
      <c r="G1" s="118"/>
      <c r="H1" s="118"/>
    </row>
    <row r="2" spans="1:13" ht="40.200000000000003" x14ac:dyDescent="0.3">
      <c r="A2" s="24" t="s">
        <v>2</v>
      </c>
      <c r="B2" s="24" t="s">
        <v>1</v>
      </c>
      <c r="C2" s="24" t="s">
        <v>348</v>
      </c>
      <c r="D2" s="24" t="s">
        <v>174</v>
      </c>
      <c r="E2" s="24" t="s">
        <v>175</v>
      </c>
      <c r="F2" s="24" t="s">
        <v>398</v>
      </c>
      <c r="G2" s="24" t="s">
        <v>399</v>
      </c>
      <c r="H2" s="24" t="s">
        <v>176</v>
      </c>
      <c r="I2" s="24" t="s">
        <v>123</v>
      </c>
      <c r="J2" s="24" t="s">
        <v>124</v>
      </c>
      <c r="K2" s="24" t="s">
        <v>125</v>
      </c>
      <c r="L2" s="24" t="s">
        <v>122</v>
      </c>
      <c r="M2" s="24" t="s">
        <v>126</v>
      </c>
    </row>
    <row r="3" spans="1:13" x14ac:dyDescent="0.3">
      <c r="A3" s="107">
        <v>1</v>
      </c>
      <c r="B3" s="107">
        <f>+A3+1</f>
        <v>2</v>
      </c>
      <c r="C3" s="107">
        <f t="shared" ref="C3:M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</row>
    <row r="5" spans="1:13" x14ac:dyDescent="0.3">
      <c r="A5" s="43">
        <v>300</v>
      </c>
      <c r="B5" s="44" t="s">
        <v>0</v>
      </c>
      <c r="C5" s="44">
        <f>+'2023 Nto driftsutg'!W5</f>
        <v>711918</v>
      </c>
      <c r="D5" s="3">
        <f>+'2023 Revekting utgiftsbehov'!D5</f>
        <v>0.71053058348772868</v>
      </c>
      <c r="E5" s="3">
        <f>+'2023 Revekting utgiftsbehov'!E5</f>
        <v>0.21462039411895759</v>
      </c>
      <c r="F5" s="3">
        <f>+'2023 Revekting utgiftsbehov'!F5</f>
        <v>1.5114284535122655</v>
      </c>
      <c r="G5" s="3">
        <f>+'2023 Revekting utgiftsbehov'!G5</f>
        <v>0</v>
      </c>
      <c r="H5" s="3">
        <f>+'2023 Revekting utgiftsbehov'!H5</f>
        <v>0.80830409059491792</v>
      </c>
      <c r="I5" s="5">
        <f>+'2023 Nto driftsutg landet'!$C$35*(D5-1)*C5</f>
        <v>0</v>
      </c>
      <c r="J5" s="5">
        <f t="shared" ref="J5:J15" si="1">+I5-$I$17*C5/$C$17</f>
        <v>0</v>
      </c>
      <c r="K5" s="5">
        <f t="shared" ref="K5:K15" si="2">J5/C5</f>
        <v>0</v>
      </c>
      <c r="L5" s="5">
        <f>+K5</f>
        <v>0</v>
      </c>
      <c r="M5" s="5">
        <f t="shared" ref="M5:M15" si="3">+L5*C5/1000</f>
        <v>0</v>
      </c>
    </row>
    <row r="6" spans="1:13" x14ac:dyDescent="0.3">
      <c r="A6" s="43">
        <v>1100</v>
      </c>
      <c r="B6" s="44" t="s">
        <v>141</v>
      </c>
      <c r="C6" s="44">
        <f>+'2023 Nto driftsutg'!W6</f>
        <v>495545</v>
      </c>
      <c r="D6" s="3">
        <f>+'2023 Revekting utgiftsbehov'!D6</f>
        <v>1.0774887931615929</v>
      </c>
      <c r="E6" s="3">
        <f>+'2023 Revekting utgiftsbehov'!E6</f>
        <v>0.79939004925414059</v>
      </c>
      <c r="F6" s="3">
        <f>+'2023 Revekting utgiftsbehov'!F6</f>
        <v>0.9424851409192746</v>
      </c>
      <c r="G6" s="3">
        <f>+'2023 Revekting utgiftsbehov'!G6</f>
        <v>0.64870346692722514</v>
      </c>
      <c r="H6" s="3">
        <f>+'2023 Revekting utgiftsbehov'!H6</f>
        <v>1.0173396804533479</v>
      </c>
      <c r="I6" s="5">
        <f>+'2023 Nto driftsutg landet'!$C$35*(D6-1)*C6</f>
        <v>0</v>
      </c>
      <c r="J6" s="5">
        <f t="shared" si="1"/>
        <v>0</v>
      </c>
      <c r="K6" s="5">
        <f t="shared" si="2"/>
        <v>0</v>
      </c>
      <c r="L6" s="5">
        <f t="shared" ref="L6:L15" si="4">+K6</f>
        <v>0</v>
      </c>
      <c r="M6" s="5">
        <f t="shared" si="3"/>
        <v>0</v>
      </c>
    </row>
    <row r="7" spans="1:13" x14ac:dyDescent="0.3">
      <c r="A7" s="43">
        <v>1500</v>
      </c>
      <c r="B7" s="44" t="s">
        <v>142</v>
      </c>
      <c r="C7" s="44">
        <f>+'2023 Nto driftsutg'!W7</f>
        <v>269164</v>
      </c>
      <c r="D7" s="3">
        <f>+'2023 Revekting utgiftsbehov'!D7</f>
        <v>1.0989358133062832</v>
      </c>
      <c r="E7" s="3">
        <f>+'2023 Revekting utgiftsbehov'!E7</f>
        <v>1.5552146008066416</v>
      </c>
      <c r="F7" s="3">
        <f>+'2023 Revekting utgiftsbehov'!F7</f>
        <v>1.0728168111973642</v>
      </c>
      <c r="G7" s="3">
        <f>+'2023 Revekting utgiftsbehov'!G7</f>
        <v>3.6508681383265915</v>
      </c>
      <c r="H7" s="3">
        <f>+'2023 Revekting utgiftsbehov'!H7</f>
        <v>1.0804828658338601</v>
      </c>
      <c r="I7" s="5">
        <f>+'2023 Nto driftsutg landet'!$C$35*(D7-1)*C7</f>
        <v>0</v>
      </c>
      <c r="J7" s="5">
        <f t="shared" si="1"/>
        <v>0</v>
      </c>
      <c r="K7" s="5">
        <f t="shared" si="2"/>
        <v>0</v>
      </c>
      <c r="L7" s="5">
        <f t="shared" si="4"/>
        <v>0</v>
      </c>
      <c r="M7" s="5">
        <f t="shared" si="3"/>
        <v>0</v>
      </c>
    </row>
    <row r="8" spans="1:13" x14ac:dyDescent="0.3">
      <c r="A8" s="43">
        <v>1800</v>
      </c>
      <c r="B8" s="44" t="s">
        <v>143</v>
      </c>
      <c r="C8" s="44">
        <f>+'2023 Nto driftsutg'!W8</f>
        <v>241960</v>
      </c>
      <c r="D8" s="3">
        <f>+'2023 Revekting utgiftsbehov'!D8</f>
        <v>1.0853378047755211</v>
      </c>
      <c r="E8" s="3">
        <f>+'2023 Revekting utgiftsbehov'!E8</f>
        <v>1.9381931214813777</v>
      </c>
      <c r="F8" s="3">
        <f>+'2023 Revekting utgiftsbehov'!F8</f>
        <v>1.3547771165025086</v>
      </c>
      <c r="G8" s="3">
        <f>+'2023 Revekting utgiftsbehov'!G8</f>
        <v>5.2548770101082702</v>
      </c>
      <c r="H8" s="3">
        <f>+'2023 Revekting utgiftsbehov'!H8</f>
        <v>1.1605514881983592</v>
      </c>
      <c r="I8" s="5">
        <f>+'2023 Nto driftsutg landet'!$C$35*(D8-1)*C8</f>
        <v>0</v>
      </c>
      <c r="J8" s="5">
        <f t="shared" si="1"/>
        <v>0</v>
      </c>
      <c r="K8" s="5">
        <f t="shared" si="2"/>
        <v>0</v>
      </c>
      <c r="L8" s="5">
        <f t="shared" si="4"/>
        <v>0</v>
      </c>
      <c r="M8" s="5">
        <f t="shared" si="3"/>
        <v>0</v>
      </c>
    </row>
    <row r="9" spans="1:13" x14ac:dyDescent="0.3">
      <c r="A9" s="43">
        <v>3000</v>
      </c>
      <c r="B9" s="44" t="s">
        <v>341</v>
      </c>
      <c r="C9" s="44">
        <f>+'2023 Nto driftsutg'!W9</f>
        <v>1300096</v>
      </c>
      <c r="D9" s="3">
        <f>+'2023 Revekting utgiftsbehov'!D9</f>
        <v>1.0109508011160717</v>
      </c>
      <c r="E9" s="3">
        <f>+'2023 Revekting utgiftsbehov'!E9</f>
        <v>0.60627924197881555</v>
      </c>
      <c r="F9" s="3">
        <f>+'2023 Revekting utgiftsbehov'!F9</f>
        <v>0.65317532338165341</v>
      </c>
      <c r="G9" s="3">
        <f>+'2023 Revekting utgiftsbehov'!G9</f>
        <v>2.6179811137927375E-2</v>
      </c>
      <c r="H9" s="3">
        <f>+'2023 Revekting utgiftsbehov'!H9</f>
        <v>0.96460045526742033</v>
      </c>
      <c r="I9" s="5">
        <f>+'2023 Nto driftsutg landet'!$C$35*(D9-1)*C9</f>
        <v>0</v>
      </c>
      <c r="J9" s="5">
        <f t="shared" si="1"/>
        <v>0</v>
      </c>
      <c r="K9" s="5">
        <f t="shared" si="2"/>
        <v>0</v>
      </c>
      <c r="L9" s="5">
        <f t="shared" si="4"/>
        <v>0</v>
      </c>
      <c r="M9" s="5">
        <f t="shared" si="3"/>
        <v>0</v>
      </c>
    </row>
    <row r="10" spans="1:13" x14ac:dyDescent="0.3">
      <c r="A10" s="43">
        <v>3400</v>
      </c>
      <c r="B10" s="44" t="s">
        <v>342</v>
      </c>
      <c r="C10" s="44">
        <f>+'2023 Nto driftsutg'!W10</f>
        <v>374624</v>
      </c>
      <c r="D10" s="3">
        <f>+'2023 Revekting utgiftsbehov'!D10</f>
        <v>1.0062398373243804</v>
      </c>
      <c r="E10" s="3">
        <f>+'2023 Revekting utgiftsbehov'!E10</f>
        <v>1.5174599383336682</v>
      </c>
      <c r="F10" s="3">
        <f>+'2023 Revekting utgiftsbehov'!F10</f>
        <v>0.94309915694030932</v>
      </c>
      <c r="G10" s="3">
        <f>+'2023 Revekting utgiftsbehov'!G10</f>
        <v>5.9463031673505369E-2</v>
      </c>
      <c r="H10" s="3">
        <f>+'2023 Revekting utgiftsbehov'!H10</f>
        <v>1.0216409626046192</v>
      </c>
      <c r="I10" s="5">
        <f>+'2023 Nto driftsutg landet'!$C$35*(D10-1)*C10</f>
        <v>0</v>
      </c>
      <c r="J10" s="5">
        <f t="shared" si="1"/>
        <v>0</v>
      </c>
      <c r="K10" s="5">
        <f t="shared" si="2"/>
        <v>0</v>
      </c>
      <c r="L10" s="5">
        <f t="shared" si="4"/>
        <v>0</v>
      </c>
      <c r="M10" s="5">
        <f t="shared" si="3"/>
        <v>0</v>
      </c>
    </row>
    <row r="11" spans="1:13" x14ac:dyDescent="0.3">
      <c r="A11" s="43">
        <v>3800</v>
      </c>
      <c r="B11" s="44" t="s">
        <v>343</v>
      </c>
      <c r="C11" s="44">
        <f>+'2023 Nto driftsutg'!W11</f>
        <v>431103</v>
      </c>
      <c r="D11" s="3">
        <f>+'2023 Revekting utgiftsbehov'!D11</f>
        <v>1.0246976591874704</v>
      </c>
      <c r="E11" s="3">
        <f>+'2023 Revekting utgiftsbehov'!E11</f>
        <v>0.87778384106275287</v>
      </c>
      <c r="F11" s="3">
        <f>+'2023 Revekting utgiftsbehov'!F11</f>
        <v>0.66753460722060465</v>
      </c>
      <c r="G11" s="3">
        <f>+'2023 Revekting utgiftsbehov'!G11</f>
        <v>0.13457432220097482</v>
      </c>
      <c r="H11" s="3">
        <f>+'2023 Revekting utgiftsbehov'!H11</f>
        <v>0.96530680839609195</v>
      </c>
      <c r="I11" s="5">
        <f>+'2023 Nto driftsutg landet'!$C$35*(D11-1)*C11</f>
        <v>0</v>
      </c>
      <c r="J11" s="5">
        <f t="shared" si="1"/>
        <v>0</v>
      </c>
      <c r="K11" s="5">
        <f t="shared" si="2"/>
        <v>0</v>
      </c>
      <c r="L11" s="5">
        <f t="shared" si="4"/>
        <v>0</v>
      </c>
      <c r="M11" s="5">
        <f t="shared" si="3"/>
        <v>0</v>
      </c>
    </row>
    <row r="12" spans="1:13" x14ac:dyDescent="0.3">
      <c r="A12" s="43">
        <v>4200</v>
      </c>
      <c r="B12" s="44" t="s">
        <v>344</v>
      </c>
      <c r="C12" s="44">
        <f>+'2023 Nto driftsutg'!W12</f>
        <v>317444</v>
      </c>
      <c r="D12" s="3">
        <f>+'2023 Revekting utgiftsbehov'!D12</f>
        <v>1.084268975153569</v>
      </c>
      <c r="E12" s="3">
        <f>+'2023 Revekting utgiftsbehov'!E12</f>
        <v>1.2211575516772717</v>
      </c>
      <c r="F12" s="3">
        <f>+'2023 Revekting utgiftsbehov'!F12</f>
        <v>0.78004641987215195</v>
      </c>
      <c r="G12" s="3">
        <f>+'2023 Revekting utgiftsbehov'!G12</f>
        <v>0.1328769183331836</v>
      </c>
      <c r="H12" s="3">
        <f>+'2023 Revekting utgiftsbehov'!H12</f>
        <v>1.0388028742608666</v>
      </c>
      <c r="I12" s="5">
        <f>+'2023 Nto driftsutg landet'!$C$35*(D12-1)*C12</f>
        <v>0</v>
      </c>
      <c r="J12" s="5">
        <f t="shared" si="1"/>
        <v>0</v>
      </c>
      <c r="K12" s="5">
        <f t="shared" si="2"/>
        <v>0</v>
      </c>
      <c r="L12" s="5">
        <f t="shared" si="4"/>
        <v>0</v>
      </c>
      <c r="M12" s="5">
        <f t="shared" si="3"/>
        <v>0</v>
      </c>
    </row>
    <row r="13" spans="1:13" x14ac:dyDescent="0.3">
      <c r="A13" s="43">
        <v>4600</v>
      </c>
      <c r="B13" s="44" t="s">
        <v>345</v>
      </c>
      <c r="C13" s="44">
        <f>+'2023 Nto driftsutg'!W13</f>
        <v>648436</v>
      </c>
      <c r="D13" s="3">
        <f>+'2023 Revekting utgiftsbehov'!D13</f>
        <v>1.048859894414335</v>
      </c>
      <c r="E13" s="3">
        <f>+'2023 Revekting utgiftsbehov'!E13</f>
        <v>1.2994326055707779</v>
      </c>
      <c r="F13" s="3">
        <f>+'2023 Revekting utgiftsbehov'!F13</f>
        <v>1.0646807692486568</v>
      </c>
      <c r="G13" s="3">
        <f>+'2023 Revekting utgiftsbehov'!G13</f>
        <v>2.300543280463788</v>
      </c>
      <c r="H13" s="3">
        <f>+'2023 Revekting utgiftsbehov'!H13</f>
        <v>1.0530401240046849</v>
      </c>
      <c r="I13" s="5">
        <f>+'2023 Nto driftsutg landet'!$C$35*(D13-1)*C13</f>
        <v>0</v>
      </c>
      <c r="J13" s="5">
        <f t="shared" si="1"/>
        <v>0</v>
      </c>
      <c r="K13" s="5">
        <f t="shared" si="2"/>
        <v>0</v>
      </c>
      <c r="L13" s="5">
        <f t="shared" si="4"/>
        <v>0</v>
      </c>
      <c r="M13" s="5">
        <f t="shared" si="3"/>
        <v>0</v>
      </c>
    </row>
    <row r="14" spans="1:13" x14ac:dyDescent="0.3">
      <c r="A14" s="43">
        <v>5000</v>
      </c>
      <c r="B14" s="44" t="s">
        <v>340</v>
      </c>
      <c r="C14" s="44">
        <f>+'2023 Nto driftsutg'!W14</f>
        <v>480437</v>
      </c>
      <c r="D14" s="3">
        <f>+'2023 Revekting utgiftsbehov'!D14</f>
        <v>1.0195042229505571</v>
      </c>
      <c r="E14" s="3">
        <f>+'2023 Revekting utgiftsbehov'!E14</f>
        <v>1.2666523308794941</v>
      </c>
      <c r="F14" s="3">
        <f>+'2023 Revekting utgiftsbehov'!F14</f>
        <v>1.0917317827078288</v>
      </c>
      <c r="G14" s="3">
        <f>+'2023 Revekting utgiftsbehov'!G14</f>
        <v>1.0558842371923283</v>
      </c>
      <c r="H14" s="3">
        <f>+'2023 Revekting utgiftsbehov'!H14</f>
        <v>1.0416844885673895</v>
      </c>
      <c r="I14" s="5">
        <f>+'2023 Nto driftsutg landet'!$C$35*(D14-1)*C14</f>
        <v>0</v>
      </c>
      <c r="J14" s="5">
        <f t="shared" si="1"/>
        <v>0</v>
      </c>
      <c r="K14" s="5">
        <f t="shared" si="2"/>
        <v>0</v>
      </c>
      <c r="L14" s="5">
        <f t="shared" si="4"/>
        <v>0</v>
      </c>
      <c r="M14" s="5">
        <f t="shared" si="3"/>
        <v>0</v>
      </c>
    </row>
    <row r="15" spans="1:13" x14ac:dyDescent="0.3">
      <c r="A15" s="43">
        <v>5400</v>
      </c>
      <c r="B15" s="44" t="s">
        <v>346</v>
      </c>
      <c r="C15" s="44">
        <f>+'2023 Nto driftsutg'!W15</f>
        <v>243329</v>
      </c>
      <c r="D15" s="3">
        <f>+'2023 Revekting utgiftsbehov'!D15</f>
        <v>1.1042840912589909</v>
      </c>
      <c r="E15" s="3">
        <f>+'2023 Revekting utgiftsbehov'!E15</f>
        <v>2.0698277004132728</v>
      </c>
      <c r="F15" s="3">
        <f>+'2023 Revekting utgiftsbehov'!F15</f>
        <v>1.6506558229265536</v>
      </c>
      <c r="G15" s="3">
        <f>+'2023 Revekting utgiftsbehov'!G15</f>
        <v>3.2174219622421876</v>
      </c>
      <c r="H15" s="3">
        <f>+'2023 Revekting utgiftsbehov'!H15</f>
        <v>1.2198806295668334</v>
      </c>
      <c r="I15" s="5">
        <f>+'2023 Nto driftsutg landet'!$C$35*(D15-1)*C15</f>
        <v>0</v>
      </c>
      <c r="J15" s="5">
        <f t="shared" si="1"/>
        <v>0</v>
      </c>
      <c r="K15" s="5">
        <f t="shared" si="2"/>
        <v>0</v>
      </c>
      <c r="L15" s="5">
        <f t="shared" si="4"/>
        <v>0</v>
      </c>
      <c r="M15" s="5">
        <f t="shared" si="3"/>
        <v>0</v>
      </c>
    </row>
    <row r="16" spans="1:13" x14ac:dyDescent="0.3">
      <c r="B16" s="45"/>
      <c r="C16" s="45"/>
      <c r="D16" s="4"/>
      <c r="E16" s="4"/>
      <c r="F16" s="4"/>
      <c r="G16" s="4"/>
      <c r="H16" s="4"/>
    </row>
    <row r="17" spans="2:13" x14ac:dyDescent="0.3">
      <c r="B17" s="44" t="s">
        <v>3</v>
      </c>
      <c r="C17" s="5">
        <f>SUM(C5:C16)</f>
        <v>5514056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5">
        <f>SUM(I5:I15)</f>
        <v>0</v>
      </c>
      <c r="J17" s="5">
        <f>SUM(J5:J15)</f>
        <v>0</v>
      </c>
      <c r="K17" s="5">
        <f t="shared" ref="K17:L17" si="5">SUM(K5:K15)</f>
        <v>0</v>
      </c>
      <c r="L17" s="5">
        <f t="shared" si="5"/>
        <v>0</v>
      </c>
      <c r="M17" s="5">
        <f>SUM(M5:M15)</f>
        <v>0</v>
      </c>
    </row>
  </sheetData>
  <sheetProtection algorithmName="SHA-512" hashValue="avyEcOIthZ6g1/ZLCm4Vyk7aXdwX4CBMAONoq8H329wDMZpfn7ByoQJsIfyWiPBu1KOPzeX+Z3etAkA4tzfi2w==" saltValue="sfl8TUfi3jE2Wjv5WlYT7Q==" spinCount="100000" sheet="1" selectLockedCells="1" selectUnlockedCells="1"/>
  <mergeCells count="1">
    <mergeCell ref="D1:H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23"/>
  <dimension ref="A1:AM21"/>
  <sheetViews>
    <sheetView workbookViewId="0"/>
  </sheetViews>
  <sheetFormatPr baseColWidth="10" defaultRowHeight="14.4" x14ac:dyDescent="0.3"/>
  <cols>
    <col min="1" max="1" width="9.88671875" customWidth="1"/>
    <col min="2" max="2" width="18.5546875" customWidth="1"/>
    <col min="3" max="3" width="13.109375" customWidth="1"/>
    <col min="6" max="7" width="14.88671875" customWidth="1"/>
    <col min="8" max="8" width="11.5546875" customWidth="1"/>
    <col min="9" max="9" width="4.5546875" customWidth="1"/>
    <col min="25" max="25" width="4.44140625" customWidth="1"/>
  </cols>
  <sheetData>
    <row r="1" spans="1:39" ht="15" customHeight="1" x14ac:dyDescent="0.3">
      <c r="D1" s="119" t="s">
        <v>82</v>
      </c>
      <c r="E1" s="118"/>
      <c r="F1" s="118"/>
      <c r="G1" s="118"/>
      <c r="H1" s="118"/>
      <c r="J1" s="120" t="s">
        <v>249</v>
      </c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Z1" s="121" t="s">
        <v>99</v>
      </c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39" ht="79.8" x14ac:dyDescent="0.3">
      <c r="A2" s="24" t="s">
        <v>2</v>
      </c>
      <c r="B2" s="24" t="s">
        <v>1</v>
      </c>
      <c r="C2" s="24" t="s">
        <v>9</v>
      </c>
      <c r="D2" s="24" t="s">
        <v>174</v>
      </c>
      <c r="E2" s="24" t="s">
        <v>175</v>
      </c>
      <c r="F2" s="24" t="s">
        <v>398</v>
      </c>
      <c r="G2" s="24" t="s">
        <v>359</v>
      </c>
      <c r="H2" s="24" t="s">
        <v>240</v>
      </c>
      <c r="I2" s="24"/>
      <c r="J2" s="24" t="s">
        <v>241</v>
      </c>
      <c r="K2" s="24" t="s">
        <v>242</v>
      </c>
      <c r="L2" s="24" t="s">
        <v>400</v>
      </c>
      <c r="M2" s="24" t="s">
        <v>401</v>
      </c>
      <c r="N2" s="24" t="s">
        <v>243</v>
      </c>
      <c r="O2" s="13" t="s">
        <v>77</v>
      </c>
      <c r="P2" s="24" t="s">
        <v>78</v>
      </c>
      <c r="Q2" s="24" t="s">
        <v>244</v>
      </c>
      <c r="R2" s="24" t="s">
        <v>245</v>
      </c>
      <c r="S2" s="24" t="s">
        <v>79</v>
      </c>
      <c r="T2" s="24" t="s">
        <v>246</v>
      </c>
      <c r="U2" s="24" t="s">
        <v>80</v>
      </c>
      <c r="V2" s="24" t="s">
        <v>247</v>
      </c>
      <c r="W2" s="24" t="s">
        <v>248</v>
      </c>
      <c r="X2" s="24" t="s">
        <v>81</v>
      </c>
      <c r="Z2" s="24" t="s">
        <v>241</v>
      </c>
      <c r="AA2" s="24" t="s">
        <v>242</v>
      </c>
      <c r="AB2" s="24" t="s">
        <v>400</v>
      </c>
      <c r="AC2" s="24" t="s">
        <v>401</v>
      </c>
      <c r="AD2" s="24" t="s">
        <v>243</v>
      </c>
      <c r="AE2" s="13" t="s">
        <v>77</v>
      </c>
      <c r="AF2" s="24" t="s">
        <v>78</v>
      </c>
      <c r="AG2" s="24" t="s">
        <v>244</v>
      </c>
      <c r="AH2" s="24" t="s">
        <v>245</v>
      </c>
      <c r="AI2" s="24" t="s">
        <v>79</v>
      </c>
      <c r="AJ2" s="24" t="s">
        <v>246</v>
      </c>
      <c r="AK2" s="24" t="s">
        <v>80</v>
      </c>
      <c r="AL2" s="24" t="s">
        <v>247</v>
      </c>
      <c r="AM2" s="24" t="s">
        <v>248</v>
      </c>
    </row>
    <row r="3" spans="1:39" x14ac:dyDescent="0.3">
      <c r="A3" s="107">
        <v>1</v>
      </c>
      <c r="B3" s="107">
        <f>+A3+1</f>
        <v>2</v>
      </c>
      <c r="C3" s="107">
        <f>+B3+1</f>
        <v>3</v>
      </c>
      <c r="D3" s="107">
        <f>+C3+1</f>
        <v>4</v>
      </c>
      <c r="E3" s="107">
        <f t="shared" ref="E3:J3" si="0">+D3+1</f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ref="K3:X3" si="1">J3+1</f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  <c r="S3" s="107">
        <f t="shared" si="1"/>
        <v>19</v>
      </c>
      <c r="T3" s="107">
        <f t="shared" si="1"/>
        <v>20</v>
      </c>
      <c r="U3" s="107">
        <f t="shared" si="1"/>
        <v>21</v>
      </c>
      <c r="V3" s="107">
        <f t="shared" si="1"/>
        <v>22</v>
      </c>
      <c r="W3" s="107">
        <f t="shared" si="1"/>
        <v>23</v>
      </c>
      <c r="X3" s="107">
        <f t="shared" si="1"/>
        <v>24</v>
      </c>
      <c r="Y3" s="102">
        <f>+X3+1</f>
        <v>25</v>
      </c>
      <c r="Z3" s="102">
        <f>+Y3+1</f>
        <v>26</v>
      </c>
      <c r="AA3" s="107">
        <f t="shared" ref="AA3:AM3" si="2">Z3+1</f>
        <v>27</v>
      </c>
      <c r="AB3" s="107">
        <f t="shared" si="2"/>
        <v>28</v>
      </c>
      <c r="AC3" s="107">
        <f t="shared" si="2"/>
        <v>29</v>
      </c>
      <c r="AD3" s="107">
        <f t="shared" si="2"/>
        <v>30</v>
      </c>
      <c r="AE3" s="107">
        <f t="shared" si="2"/>
        <v>31</v>
      </c>
      <c r="AF3" s="107">
        <f t="shared" si="2"/>
        <v>32</v>
      </c>
      <c r="AG3" s="107">
        <f t="shared" si="2"/>
        <v>33</v>
      </c>
      <c r="AH3" s="107">
        <f t="shared" si="2"/>
        <v>34</v>
      </c>
      <c r="AI3" s="107">
        <f t="shared" si="2"/>
        <v>35</v>
      </c>
      <c r="AJ3" s="107">
        <f t="shared" si="2"/>
        <v>36</v>
      </c>
      <c r="AK3" s="107">
        <f t="shared" si="2"/>
        <v>37</v>
      </c>
      <c r="AL3" s="107">
        <f t="shared" si="2"/>
        <v>38</v>
      </c>
      <c r="AM3" s="107">
        <f t="shared" si="2"/>
        <v>39</v>
      </c>
    </row>
    <row r="5" spans="1:39" x14ac:dyDescent="0.3">
      <c r="A5" s="43">
        <v>300</v>
      </c>
      <c r="B5" s="44" t="s">
        <v>0</v>
      </c>
      <c r="C5" s="1">
        <v>-70410.561243150005</v>
      </c>
      <c r="D5" s="3">
        <v>0.71053058348772868</v>
      </c>
      <c r="E5" s="3">
        <v>0.21462039411895759</v>
      </c>
      <c r="F5" s="3">
        <v>1.5114284535122655</v>
      </c>
      <c r="G5" s="3">
        <v>0</v>
      </c>
      <c r="H5" s="3">
        <v>0.80830409059491792</v>
      </c>
      <c r="I5" s="3"/>
      <c r="J5" s="46">
        <f>IF('2023 Lønnsgr arbavg tjeneste'!D5=0,0,'2023 Arbavg tjeneste'!D5/'2023 Lønnsgr arbavg tjeneste'!D5)</f>
        <v>0.14148405634029215</v>
      </c>
      <c r="K5" s="46">
        <f>IF('2023 Lønnsgr arbavg tjeneste'!E5=0,0,'2023 Arbavg tjeneste'!E5/'2023 Lønnsgr arbavg tjeneste'!E5)</f>
        <v>0.14653465346534653</v>
      </c>
      <c r="L5" s="46">
        <f>IF('2023 Lønnsgr arbavg tjeneste'!F5=0,0,'2023 Arbavg tjeneste'!F5/'2023 Lønnsgr arbavg tjeneste'!F5)</f>
        <v>0.14107416879795395</v>
      </c>
      <c r="M5" s="46">
        <f>IF('2023 Lønnsgr arbavg tjeneste'!G5=0,0,'2023 Arbavg tjeneste'!G5/'2023 Lønnsgr arbavg tjeneste'!G5)</f>
        <v>0</v>
      </c>
      <c r="N5" s="46">
        <f>IF('2023 Lønnsgr arbavg tjeneste'!H5=0,0,'2023 Arbavg tjeneste'!H5/'2023 Lønnsgr arbavg tjeneste'!H5)</f>
        <v>0.12769818327601123</v>
      </c>
      <c r="O5" s="46">
        <f>IF('2023 Lønnsgr arbavg tjeneste'!I5=0,0,'2023 Arbavg tjeneste'!I5/'2023 Lønnsgr arbavg tjeneste'!I5)</f>
        <v>0.17792167745914278</v>
      </c>
      <c r="P5" s="46">
        <f>IF('2023 Lønnsgr arbavg tjeneste'!J5=0,0,'2023 Arbavg tjeneste'!J5/'2023 Lønnsgr arbavg tjeneste'!J5)</f>
        <v>0</v>
      </c>
      <c r="Q5" s="46">
        <f>IF('2023 Lønnsgr arbavg tjeneste'!K5=0,0,'2023 Arbavg tjeneste'!K5/'2023 Lønnsgr arbavg tjeneste'!K5)</f>
        <v>0.17989715710377782</v>
      </c>
      <c r="R5" s="46">
        <f>IF('2023 Lønnsgr arbavg tjeneste'!L5=0,0,'2023 Arbavg tjeneste'!L5/'2023 Lønnsgr arbavg tjeneste'!L5)</f>
        <v>0</v>
      </c>
      <c r="S5" s="46">
        <f>IF('2023 Lønnsgr arbavg tjeneste'!M5=0,0,'2023 Arbavg tjeneste'!M5/'2023 Lønnsgr arbavg tjeneste'!M5)</f>
        <v>0</v>
      </c>
      <c r="T5" s="46">
        <f>IF('2023 Lønnsgr arbavg tjeneste'!N5=0,0,'2023 Arbavg tjeneste'!N5/'2023 Lønnsgr arbavg tjeneste'!N5)</f>
        <v>0.12701252236135957</v>
      </c>
      <c r="U5" s="46">
        <f>IF('2023 Lønnsgr arbavg tjeneste'!O5=0,0,'2023 Arbavg tjeneste'!O5/'2023 Lønnsgr arbavg tjeneste'!O5)</f>
        <v>0</v>
      </c>
      <c r="V5" s="46">
        <f>IF('2023 Lønnsgr arbavg tjeneste'!P5=0,0,'2023 Arbavg tjeneste'!P5/'2023 Lønnsgr arbavg tjeneste'!P5)</f>
        <v>0</v>
      </c>
      <c r="W5" s="46">
        <f>IF('2023 Lønnsgr arbavg tjeneste'!Q5=0,0,'2023 Arbavg tjeneste'!Q5/'2023 Lønnsgr arbavg tjeneste'!Q5)</f>
        <v>0</v>
      </c>
      <c r="X5" s="46">
        <f>IF('2023 Lønnsgr arbavg tjeneste'!R5=0,0,'2023 Arbavg tjeneste'!R5/'2023 Lønnsgr arbavg tjeneste'!R5)</f>
        <v>0.14099999999999999</v>
      </c>
      <c r="Z5" s="46">
        <f>IF('2023 Lønnsgr pensjon tjeneste'!D5=0,0,'2023 Pensjon tjeneste'!D5/'2023 Lønnsgr pensjon tjeneste'!D5)</f>
        <v>0.15197165403029211</v>
      </c>
      <c r="AA5" s="46">
        <f>IF('2023 Lønnsgr pensjon tjeneste'!E5=0,0,'2023 Pensjon tjeneste'!E5/'2023 Lønnsgr pensjon tjeneste'!E5)</f>
        <v>0.16628175519630484</v>
      </c>
      <c r="AB5" s="46">
        <f>IF('2023 Lønnsgr pensjon tjeneste'!F5=0,0,'2023 Pensjon tjeneste'!F5/'2023 Lønnsgr pensjon tjeneste'!F5)</f>
        <v>0.26542677138172088</v>
      </c>
      <c r="AC5" s="46">
        <f>IF('2023 Lønnsgr pensjon tjeneste'!G5=0,0,'2023 Pensjon tjeneste'!G5/'2023 Lønnsgr pensjon tjeneste'!G5)</f>
        <v>0</v>
      </c>
      <c r="AD5" s="46">
        <f>IF('2023 Lønnsgr pensjon tjeneste'!H5=0,0,'2023 Pensjon tjeneste'!H5/'2023 Lønnsgr pensjon tjeneste'!H5)</f>
        <v>0.44039631945658037</v>
      </c>
      <c r="AE5" s="46">
        <f>IF('2023 Lønnsgr pensjon tjeneste'!I5=0,0,'2023 Pensjon tjeneste'!I5/'2023 Lønnsgr pensjon tjeneste'!I5)</f>
        <v>0.56260662334448941</v>
      </c>
      <c r="AF5" s="46">
        <f>IF('2023 Lønnsgr pensjon tjeneste'!J5=0,0,'2023 Pensjon tjeneste'!J5/'2023 Lønnsgr pensjon tjeneste'!J5)</f>
        <v>0</v>
      </c>
      <c r="AG5" s="46">
        <f>IF('2023 Lønnsgr pensjon tjeneste'!K5=0,0,'2023 Pensjon tjeneste'!K5/'2023 Lønnsgr pensjon tjeneste'!K5)</f>
        <v>0.5700441726129799</v>
      </c>
      <c r="AH5" s="46">
        <f>IF('2023 Lønnsgr pensjon tjeneste'!L5=0,0,'2023 Pensjon tjeneste'!L5/'2023 Lønnsgr pensjon tjeneste'!L5)</f>
        <v>0</v>
      </c>
      <c r="AI5" s="46">
        <f>IF('2023 Lønnsgr pensjon tjeneste'!M5=0,0,'2023 Pensjon tjeneste'!M5/'2023 Lønnsgr pensjon tjeneste'!M5)</f>
        <v>0</v>
      </c>
      <c r="AJ5" s="46">
        <f>IF('2023 Lønnsgr pensjon tjeneste'!N5=0,0,'2023 Pensjon tjeneste'!N5/'2023 Lønnsgr pensjon tjeneste'!N5)</f>
        <v>0.39271255060728744</v>
      </c>
      <c r="AK5" s="46">
        <f>IF('2023 Lønnsgr pensjon tjeneste'!O5=0,0,'2023 Pensjon tjeneste'!O5/'2023 Lønnsgr pensjon tjeneste'!O5)</f>
        <v>0</v>
      </c>
      <c r="AL5" s="46">
        <f>IF('2023 Lønnsgr pensjon tjeneste'!P5=0,0,'2023 Pensjon tjeneste'!P5/'2023 Lønnsgr pensjon tjeneste'!P5)</f>
        <v>0</v>
      </c>
      <c r="AM5" s="46">
        <f>IF('2023 Lønnsgr pensjon tjeneste'!Q5=0,0,'2023 Pensjon tjeneste'!Q5/'2023 Lønnsgr pensjon tjeneste'!Q5)</f>
        <v>0</v>
      </c>
    </row>
    <row r="6" spans="1:39" x14ac:dyDescent="0.3">
      <c r="A6" s="43">
        <v>1100</v>
      </c>
      <c r="B6" s="44" t="s">
        <v>141</v>
      </c>
      <c r="C6" s="1">
        <v>-53508.58078176</v>
      </c>
      <c r="D6" s="3">
        <v>1.0774887931615929</v>
      </c>
      <c r="E6" s="3">
        <v>0.79939004925414059</v>
      </c>
      <c r="F6" s="3">
        <v>0.9424851409192746</v>
      </c>
      <c r="G6" s="3">
        <v>0.64870346692722514</v>
      </c>
      <c r="H6" s="3">
        <v>1.0173396804533479</v>
      </c>
      <c r="I6" s="3"/>
      <c r="J6" s="46">
        <f>IF('2023 Lønnsgr arbavg tjeneste'!D6=0,0,'2023 Arbavg tjeneste'!D6/'2023 Lønnsgr arbavg tjeneste'!D6)</f>
        <v>0.14145696641149763</v>
      </c>
      <c r="K6" s="46">
        <f>IF('2023 Lønnsgr arbavg tjeneste'!E6=0,0,'2023 Arbavg tjeneste'!E6/'2023 Lønnsgr arbavg tjeneste'!E6)</f>
        <v>0.14394677412212725</v>
      </c>
      <c r="L6" s="46">
        <f>IF('2023 Lønnsgr arbavg tjeneste'!F6=0,0,'2023 Arbavg tjeneste'!F6/'2023 Lønnsgr arbavg tjeneste'!F6)</f>
        <v>0.14486145212206245</v>
      </c>
      <c r="M6" s="46">
        <f>IF('2023 Lønnsgr arbavg tjeneste'!G6=0,0,'2023 Arbavg tjeneste'!G6/'2023 Lønnsgr arbavg tjeneste'!G6)</f>
        <v>0.14000000000000001</v>
      </c>
      <c r="N6" s="46">
        <f>IF('2023 Lønnsgr arbavg tjeneste'!H6=0,0,'2023 Arbavg tjeneste'!H6/'2023 Lønnsgr arbavg tjeneste'!H6)</f>
        <v>0.14356911489742713</v>
      </c>
      <c r="O6" s="46">
        <f>IF('2023 Lønnsgr arbavg tjeneste'!I6=0,0,'2023 Arbavg tjeneste'!I6/'2023 Lønnsgr arbavg tjeneste'!I6)</f>
        <v>0.14496495908493853</v>
      </c>
      <c r="P6" s="46">
        <f>IF('2023 Lønnsgr arbavg tjeneste'!J6=0,0,'2023 Arbavg tjeneste'!J6/'2023 Lønnsgr arbavg tjeneste'!J6)</f>
        <v>0</v>
      </c>
      <c r="Q6" s="46">
        <f>IF('2023 Lønnsgr arbavg tjeneste'!K6=0,0,'2023 Arbavg tjeneste'!K6/'2023 Lønnsgr arbavg tjeneste'!K6)</f>
        <v>0.14600276037795945</v>
      </c>
      <c r="R6" s="46">
        <f>IF('2023 Lønnsgr arbavg tjeneste'!L6=0,0,'2023 Arbavg tjeneste'!L6/'2023 Lønnsgr arbavg tjeneste'!L6)</f>
        <v>0.14329216999226085</v>
      </c>
      <c r="S6" s="46">
        <f>IF('2023 Lønnsgr arbavg tjeneste'!M6=0,0,'2023 Arbavg tjeneste'!M6/'2023 Lønnsgr arbavg tjeneste'!M6)</f>
        <v>0.1437946342404941</v>
      </c>
      <c r="T6" s="46">
        <f>IF('2023 Lønnsgr arbavg tjeneste'!N6=0,0,'2023 Arbavg tjeneste'!N6/'2023 Lønnsgr arbavg tjeneste'!N6)</f>
        <v>0.14349877764511912</v>
      </c>
      <c r="U6" s="46">
        <f>IF('2023 Lønnsgr arbavg tjeneste'!O6=0,0,'2023 Arbavg tjeneste'!O6/'2023 Lønnsgr arbavg tjeneste'!O6)</f>
        <v>0</v>
      </c>
      <c r="V6" s="46">
        <f>IF('2023 Lønnsgr arbavg tjeneste'!P6=0,0,'2023 Arbavg tjeneste'!P6/'2023 Lønnsgr arbavg tjeneste'!P6)</f>
        <v>0.14543072387815265</v>
      </c>
      <c r="W6" s="46">
        <f>IF('2023 Lønnsgr arbavg tjeneste'!Q6=0,0,'2023 Arbavg tjeneste'!Q6/'2023 Lønnsgr arbavg tjeneste'!Q6)</f>
        <v>0</v>
      </c>
      <c r="X6" s="46">
        <f>IF('2023 Lønnsgr arbavg tjeneste'!R6=0,0,'2023 Arbavg tjeneste'!R6/'2023 Lønnsgr arbavg tjeneste'!R6)</f>
        <v>0.14100783818374979</v>
      </c>
      <c r="Z6" s="46">
        <f>IF('2023 Lønnsgr pensjon tjeneste'!D6=0,0,'2023 Pensjon tjeneste'!D6/'2023 Lønnsgr pensjon tjeneste'!D6)</f>
        <v>0.16120425040699554</v>
      </c>
      <c r="AA6" s="46">
        <f>IF('2023 Lønnsgr pensjon tjeneste'!E6=0,0,'2023 Pensjon tjeneste'!E6/'2023 Lønnsgr pensjon tjeneste'!E6)</f>
        <v>0.25483767902537957</v>
      </c>
      <c r="AB6" s="46">
        <f>IF('2023 Lønnsgr pensjon tjeneste'!F6=0,0,'2023 Pensjon tjeneste'!F6/'2023 Lønnsgr pensjon tjeneste'!F6)</f>
        <v>0.29209154769997736</v>
      </c>
      <c r="AC6" s="46">
        <f>IF('2023 Lønnsgr pensjon tjeneste'!G6=0,0,'2023 Pensjon tjeneste'!G6/'2023 Lønnsgr pensjon tjeneste'!G6)</f>
        <v>0.2</v>
      </c>
      <c r="AD6" s="46">
        <f>IF('2023 Lønnsgr pensjon tjeneste'!H6=0,0,'2023 Pensjon tjeneste'!H6/'2023 Lønnsgr pensjon tjeneste'!H6)</f>
        <v>0.25595452196382429</v>
      </c>
      <c r="AE6" s="46">
        <f>IF('2023 Lønnsgr pensjon tjeneste'!I6=0,0,'2023 Pensjon tjeneste'!I6/'2023 Lønnsgr pensjon tjeneste'!I6)</f>
        <v>0.27195180797907942</v>
      </c>
      <c r="AF6" s="46">
        <f>IF('2023 Lønnsgr pensjon tjeneste'!J6=0,0,'2023 Pensjon tjeneste'!J6/'2023 Lønnsgr pensjon tjeneste'!J6)</f>
        <v>0</v>
      </c>
      <c r="AG6" s="46">
        <f>IF('2023 Lønnsgr pensjon tjeneste'!K6=0,0,'2023 Pensjon tjeneste'!K6/'2023 Lønnsgr pensjon tjeneste'!K6)</f>
        <v>0.22801003856277163</v>
      </c>
      <c r="AH6" s="46">
        <f>IF('2023 Lønnsgr pensjon tjeneste'!L6=0,0,'2023 Pensjon tjeneste'!L6/'2023 Lønnsgr pensjon tjeneste'!L6)</f>
        <v>0.47969543147208121</v>
      </c>
      <c r="AI6" s="46">
        <f>IF('2023 Lønnsgr pensjon tjeneste'!M6=0,0,'2023 Pensjon tjeneste'!M6/'2023 Lønnsgr pensjon tjeneste'!M6)</f>
        <v>0.27258213079521032</v>
      </c>
      <c r="AJ6" s="46">
        <f>IF('2023 Lønnsgr pensjon tjeneste'!N6=0,0,'2023 Pensjon tjeneste'!N6/'2023 Lønnsgr pensjon tjeneste'!N6)</f>
        <v>0.28031736788469935</v>
      </c>
      <c r="AK6" s="46">
        <f>IF('2023 Lønnsgr pensjon tjeneste'!O6=0,0,'2023 Pensjon tjeneste'!O6/'2023 Lønnsgr pensjon tjeneste'!O6)</f>
        <v>0</v>
      </c>
      <c r="AL6" s="46">
        <f>IF('2023 Lønnsgr pensjon tjeneste'!P6=0,0,'2023 Pensjon tjeneste'!P6/'2023 Lønnsgr pensjon tjeneste'!P6)</f>
        <v>0.26575456053067992</v>
      </c>
      <c r="AM6" s="46">
        <f>IF('2023 Lønnsgr pensjon tjeneste'!Q6=0,0,'2023 Pensjon tjeneste'!Q6/'2023 Lønnsgr pensjon tjeneste'!Q6)</f>
        <v>0</v>
      </c>
    </row>
    <row r="7" spans="1:39" x14ac:dyDescent="0.3">
      <c r="A7" s="43">
        <v>1500</v>
      </c>
      <c r="B7" s="44" t="s">
        <v>142</v>
      </c>
      <c r="C7" s="1">
        <v>72521.188922729998</v>
      </c>
      <c r="D7" s="3">
        <v>1.0989358133062832</v>
      </c>
      <c r="E7" s="3">
        <v>1.5552146008066416</v>
      </c>
      <c r="F7" s="3">
        <v>1.0728168111973642</v>
      </c>
      <c r="G7" s="3">
        <v>3.6508681383265915</v>
      </c>
      <c r="H7" s="3">
        <v>1.0804828658338601</v>
      </c>
      <c r="I7" s="3"/>
      <c r="J7" s="46">
        <f>IF('2023 Lønnsgr arbavg tjeneste'!D7=0,0,'2023 Arbavg tjeneste'!D7/'2023 Lønnsgr arbavg tjeneste'!D7)</f>
        <v>0.13631827303791288</v>
      </c>
      <c r="K7" s="46">
        <f>IF('2023 Lønnsgr arbavg tjeneste'!E7=0,0,'2023 Arbavg tjeneste'!E7/'2023 Lønnsgr arbavg tjeneste'!E7)</f>
        <v>0.30469374011370221</v>
      </c>
      <c r="L7" s="46">
        <f>IF('2023 Lønnsgr arbavg tjeneste'!F7=0,0,'2023 Arbavg tjeneste'!F7/'2023 Lønnsgr arbavg tjeneste'!F7)</f>
        <v>0.15738587281546948</v>
      </c>
      <c r="M7" s="46">
        <f>IF('2023 Lønnsgr arbavg tjeneste'!G7=0,0,'2023 Arbavg tjeneste'!G7/'2023 Lønnsgr arbavg tjeneste'!G7)</f>
        <v>0.14550966275104207</v>
      </c>
      <c r="N7" s="46">
        <f>IF('2023 Lønnsgr arbavg tjeneste'!H7=0,0,'2023 Arbavg tjeneste'!H7/'2023 Lønnsgr arbavg tjeneste'!H7)</f>
        <v>0.12775504637206764</v>
      </c>
      <c r="O7" s="46">
        <f>IF('2023 Lønnsgr arbavg tjeneste'!I7=0,0,'2023 Arbavg tjeneste'!I7/'2023 Lønnsgr arbavg tjeneste'!I7)</f>
        <v>0.14103029517265223</v>
      </c>
      <c r="P7" s="46">
        <f>IF('2023 Lønnsgr arbavg tjeneste'!J7=0,0,'2023 Arbavg tjeneste'!J7/'2023 Lønnsgr arbavg tjeneste'!J7)</f>
        <v>0</v>
      </c>
      <c r="Q7" s="46">
        <f>IF('2023 Lønnsgr arbavg tjeneste'!K7=0,0,'2023 Arbavg tjeneste'!K7/'2023 Lønnsgr arbavg tjeneste'!K7)</f>
        <v>0.1433016659782459</v>
      </c>
      <c r="R7" s="46">
        <f>IF('2023 Lønnsgr arbavg tjeneste'!L7=0,0,'2023 Arbavg tjeneste'!L7/'2023 Lønnsgr arbavg tjeneste'!L7)</f>
        <v>0.13695225113258228</v>
      </c>
      <c r="S7" s="46">
        <f>IF('2023 Lønnsgr arbavg tjeneste'!M7=0,0,'2023 Arbavg tjeneste'!M7/'2023 Lønnsgr arbavg tjeneste'!M7)</f>
        <v>0.13941526800216567</v>
      </c>
      <c r="T7" s="46">
        <f>IF('2023 Lønnsgr arbavg tjeneste'!N7=0,0,'2023 Arbavg tjeneste'!N7/'2023 Lønnsgr arbavg tjeneste'!N7)</f>
        <v>0.13559131315404524</v>
      </c>
      <c r="U7" s="46">
        <f>IF('2023 Lønnsgr arbavg tjeneste'!O7=0,0,'2023 Arbavg tjeneste'!O7/'2023 Lønnsgr arbavg tjeneste'!O7)</f>
        <v>0</v>
      </c>
      <c r="V7" s="46">
        <f>IF('2023 Lønnsgr arbavg tjeneste'!P7=0,0,'2023 Arbavg tjeneste'!P7/'2023 Lønnsgr arbavg tjeneste'!P7)</f>
        <v>0</v>
      </c>
      <c r="W7" s="46">
        <f>IF('2023 Lønnsgr arbavg tjeneste'!Q7=0,0,'2023 Arbavg tjeneste'!Q7/'2023 Lønnsgr arbavg tjeneste'!Q7)</f>
        <v>0</v>
      </c>
      <c r="X7" s="46">
        <f>IF('2023 Lønnsgr arbavg tjeneste'!R7=0,0,'2023 Arbavg tjeneste'!R7/'2023 Lønnsgr arbavg tjeneste'!R7)</f>
        <v>0.10354882814863213</v>
      </c>
      <c r="Z7" s="46">
        <f>IF('2023 Lønnsgr pensjon tjeneste'!D7=0,0,'2023 Pensjon tjeneste'!D7/'2023 Lønnsgr pensjon tjeneste'!D7)</f>
        <v>0.17217165190882402</v>
      </c>
      <c r="AA7" s="46">
        <f>IF('2023 Lønnsgr pensjon tjeneste'!E7=0,0,'2023 Pensjon tjeneste'!E7/'2023 Lønnsgr pensjon tjeneste'!E7)</f>
        <v>0.74170758319694485</v>
      </c>
      <c r="AB7" s="46">
        <f>IF('2023 Lønnsgr pensjon tjeneste'!F7=0,0,'2023 Pensjon tjeneste'!F7/'2023 Lønnsgr pensjon tjeneste'!F7)</f>
        <v>0.33312663329937547</v>
      </c>
      <c r="AC7" s="46">
        <f>IF('2023 Lønnsgr pensjon tjeneste'!G7=0,0,'2023 Pensjon tjeneste'!G7/'2023 Lønnsgr pensjon tjeneste'!G7)</f>
        <v>0.28293631502187649</v>
      </c>
      <c r="AD7" s="46">
        <f>IF('2023 Lønnsgr pensjon tjeneste'!H7=0,0,'2023 Pensjon tjeneste'!H7/'2023 Lønnsgr pensjon tjeneste'!H7)</f>
        <v>0.29222146828928702</v>
      </c>
      <c r="AE7" s="46">
        <f>IF('2023 Lønnsgr pensjon tjeneste'!I7=0,0,'2023 Pensjon tjeneste'!I7/'2023 Lønnsgr pensjon tjeneste'!I7)</f>
        <v>0.272842290555036</v>
      </c>
      <c r="AF7" s="46">
        <f>IF('2023 Lønnsgr pensjon tjeneste'!J7=0,0,'2023 Pensjon tjeneste'!J7/'2023 Lønnsgr pensjon tjeneste'!J7)</f>
        <v>0</v>
      </c>
      <c r="AG7" s="46">
        <f>IF('2023 Lønnsgr pensjon tjeneste'!K7=0,0,'2023 Pensjon tjeneste'!K7/'2023 Lønnsgr pensjon tjeneste'!K7)</f>
        <v>0.24769652930336608</v>
      </c>
      <c r="AH7" s="46">
        <f>IF('2023 Lønnsgr pensjon tjeneste'!L7=0,0,'2023 Pensjon tjeneste'!L7/'2023 Lønnsgr pensjon tjeneste'!L7)</f>
        <v>0.36841746015494353</v>
      </c>
      <c r="AI7" s="46">
        <f>IF('2023 Lønnsgr pensjon tjeneste'!M7=0,0,'2023 Pensjon tjeneste'!M7/'2023 Lønnsgr pensjon tjeneste'!M7)</f>
        <v>0.26793437221116223</v>
      </c>
      <c r="AJ7" s="46">
        <f>IF('2023 Lønnsgr pensjon tjeneste'!N7=0,0,'2023 Pensjon tjeneste'!N7/'2023 Lønnsgr pensjon tjeneste'!N7)</f>
        <v>0.30183842378964332</v>
      </c>
      <c r="AK7" s="46">
        <f>IF('2023 Lønnsgr pensjon tjeneste'!O7=0,0,'2023 Pensjon tjeneste'!O7/'2023 Lønnsgr pensjon tjeneste'!O7)</f>
        <v>0</v>
      </c>
      <c r="AL7" s="46">
        <f>IF('2023 Lønnsgr pensjon tjeneste'!P7=0,0,'2023 Pensjon tjeneste'!P7/'2023 Lønnsgr pensjon tjeneste'!P7)</f>
        <v>0</v>
      </c>
      <c r="AM7" s="46">
        <f>IF('2023 Lønnsgr pensjon tjeneste'!Q7=0,0,'2023 Pensjon tjeneste'!Q7/'2023 Lønnsgr pensjon tjeneste'!Q7)</f>
        <v>0</v>
      </c>
    </row>
    <row r="8" spans="1:39" x14ac:dyDescent="0.3">
      <c r="A8" s="43">
        <v>1800</v>
      </c>
      <c r="B8" s="44" t="s">
        <v>143</v>
      </c>
      <c r="C8" s="1">
        <v>103130.96280951001</v>
      </c>
      <c r="D8" s="3">
        <v>1.0853378047755211</v>
      </c>
      <c r="E8" s="3">
        <v>1.9381931214813777</v>
      </c>
      <c r="F8" s="3">
        <v>1.3547771165025086</v>
      </c>
      <c r="G8" s="3">
        <v>5.2548770101082702</v>
      </c>
      <c r="H8" s="3">
        <v>1.1605514881983592</v>
      </c>
      <c r="I8" s="3"/>
      <c r="J8" s="46">
        <f>IF('2023 Lønnsgr arbavg tjeneste'!D8=0,0,'2023 Arbavg tjeneste'!D8/'2023 Lønnsgr arbavg tjeneste'!D8)</f>
        <v>5.8629999201032096E-2</v>
      </c>
      <c r="K8" s="46">
        <f>IF('2023 Lønnsgr arbavg tjeneste'!E8=0,0,'2023 Arbavg tjeneste'!E8/'2023 Lønnsgr arbavg tjeneste'!E8)</f>
        <v>9.7225572979493372E-2</v>
      </c>
      <c r="L8" s="46">
        <f>IF('2023 Lønnsgr arbavg tjeneste'!F8=0,0,'2023 Arbavg tjeneste'!F8/'2023 Lønnsgr arbavg tjeneste'!F8)</f>
        <v>7.3152960606207795E-2</v>
      </c>
      <c r="M8" s="46">
        <f>IF('2023 Lønnsgr arbavg tjeneste'!G8=0,0,'2023 Arbavg tjeneste'!G8/'2023 Lønnsgr arbavg tjeneste'!G8)</f>
        <v>7.3465859982713919E-2</v>
      </c>
      <c r="N8" s="46">
        <f>IF('2023 Lønnsgr arbavg tjeneste'!H8=0,0,'2023 Arbavg tjeneste'!H8/'2023 Lønnsgr arbavg tjeneste'!H8)</f>
        <v>5.5983618094559193E-2</v>
      </c>
      <c r="O8" s="46">
        <f>IF('2023 Lønnsgr arbavg tjeneste'!I8=0,0,'2023 Arbavg tjeneste'!I8/'2023 Lønnsgr arbavg tjeneste'!I8)</f>
        <v>7.0915480151046734E-2</v>
      </c>
      <c r="P8" s="46">
        <f>IF('2023 Lønnsgr arbavg tjeneste'!J8=0,0,'2023 Arbavg tjeneste'!J8/'2023 Lønnsgr arbavg tjeneste'!J8)</f>
        <v>0</v>
      </c>
      <c r="Q8" s="46">
        <f>IF('2023 Lønnsgr arbavg tjeneste'!K8=0,0,'2023 Arbavg tjeneste'!K8/'2023 Lønnsgr arbavg tjeneste'!K8)</f>
        <v>7.2699882359910969E-2</v>
      </c>
      <c r="R8" s="46">
        <f>IF('2023 Lønnsgr arbavg tjeneste'!L8=0,0,'2023 Arbavg tjeneste'!L8/'2023 Lønnsgr arbavg tjeneste'!L8)</f>
        <v>6.9446362004694187E-2</v>
      </c>
      <c r="S8" s="46">
        <f>IF('2023 Lønnsgr arbavg tjeneste'!M8=0,0,'2023 Arbavg tjeneste'!M8/'2023 Lønnsgr arbavg tjeneste'!M8)</f>
        <v>7.4302504102917041E-2</v>
      </c>
      <c r="T8" s="46">
        <f>IF('2023 Lønnsgr arbavg tjeneste'!N8=0,0,'2023 Arbavg tjeneste'!N8/'2023 Lønnsgr arbavg tjeneste'!N8)</f>
        <v>5.9826203208556153E-2</v>
      </c>
      <c r="U8" s="46">
        <f>IF('2023 Lønnsgr arbavg tjeneste'!O8=0,0,'2023 Arbavg tjeneste'!O8/'2023 Lønnsgr arbavg tjeneste'!O8)</f>
        <v>0</v>
      </c>
      <c r="V8" s="46">
        <f>IF('2023 Lønnsgr arbavg tjeneste'!P8=0,0,'2023 Arbavg tjeneste'!P8/'2023 Lønnsgr arbavg tjeneste'!P8)</f>
        <v>0</v>
      </c>
      <c r="W8" s="46">
        <f>IF('2023 Lønnsgr arbavg tjeneste'!Q8=0,0,'2023 Arbavg tjeneste'!Q8/'2023 Lønnsgr arbavg tjeneste'!Q8)</f>
        <v>0</v>
      </c>
      <c r="X8" s="46">
        <f>IF('2023 Lønnsgr arbavg tjeneste'!R8=0,0,'2023 Arbavg tjeneste'!R8/'2023 Lønnsgr arbavg tjeneste'!R8)</f>
        <v>2.9728856830870027E-2</v>
      </c>
      <c r="Z8" s="46">
        <f>IF('2023 Lønnsgr pensjon tjeneste'!D8=0,0,'2023 Pensjon tjeneste'!D8/'2023 Lønnsgr pensjon tjeneste'!D8)</f>
        <v>0.1705806056836035</v>
      </c>
      <c r="AA8" s="46">
        <f>IF('2023 Lønnsgr pensjon tjeneste'!E8=0,0,'2023 Pensjon tjeneste'!E8/'2023 Lønnsgr pensjon tjeneste'!E8)</f>
        <v>0.5704606744077203</v>
      </c>
      <c r="AB8" s="46">
        <f>IF('2023 Lønnsgr pensjon tjeneste'!F8=0,0,'2023 Pensjon tjeneste'!F8/'2023 Lønnsgr pensjon tjeneste'!F8)</f>
        <v>0.34837568771286348</v>
      </c>
      <c r="AC8" s="46">
        <f>IF('2023 Lønnsgr pensjon tjeneste'!G8=0,0,'2023 Pensjon tjeneste'!G8/'2023 Lønnsgr pensjon tjeneste'!G8)</f>
        <v>0.32759609868043604</v>
      </c>
      <c r="AD8" s="46">
        <f>IF('2023 Lønnsgr pensjon tjeneste'!H8=0,0,'2023 Pensjon tjeneste'!H8/'2023 Lønnsgr pensjon tjeneste'!H8)</f>
        <v>0.3228920149441995</v>
      </c>
      <c r="AE8" s="46">
        <f>IF('2023 Lønnsgr pensjon tjeneste'!I8=0,0,'2023 Pensjon tjeneste'!I8/'2023 Lønnsgr pensjon tjeneste'!I8)</f>
        <v>0.31075387171631486</v>
      </c>
      <c r="AF8" s="46">
        <f>IF('2023 Lønnsgr pensjon tjeneste'!J8=0,0,'2023 Pensjon tjeneste'!J8/'2023 Lønnsgr pensjon tjeneste'!J8)</f>
        <v>0</v>
      </c>
      <c r="AG8" s="46">
        <f>IF('2023 Lønnsgr pensjon tjeneste'!K8=0,0,'2023 Pensjon tjeneste'!K8/'2023 Lønnsgr pensjon tjeneste'!K8)</f>
        <v>0.30017517111622927</v>
      </c>
      <c r="AH8" s="46">
        <f>IF('2023 Lønnsgr pensjon tjeneste'!L8=0,0,'2023 Pensjon tjeneste'!L8/'2023 Lønnsgr pensjon tjeneste'!L8)</f>
        <v>0.35709779179810724</v>
      </c>
      <c r="AI8" s="46">
        <f>IF('2023 Lønnsgr pensjon tjeneste'!M8=0,0,'2023 Pensjon tjeneste'!M8/'2023 Lønnsgr pensjon tjeneste'!M8)</f>
        <v>0.30530025568378133</v>
      </c>
      <c r="AJ8" s="46">
        <f>IF('2023 Lønnsgr pensjon tjeneste'!N8=0,0,'2023 Pensjon tjeneste'!N8/'2023 Lønnsgr pensjon tjeneste'!N8)</f>
        <v>0.31951488423373758</v>
      </c>
      <c r="AK8" s="46">
        <f>IF('2023 Lønnsgr pensjon tjeneste'!O8=0,0,'2023 Pensjon tjeneste'!O8/'2023 Lønnsgr pensjon tjeneste'!O8)</f>
        <v>0</v>
      </c>
      <c r="AL8" s="46">
        <f>IF('2023 Lønnsgr pensjon tjeneste'!P8=0,0,'2023 Pensjon tjeneste'!P8/'2023 Lønnsgr pensjon tjeneste'!P8)</f>
        <v>0</v>
      </c>
      <c r="AM8" s="46">
        <f>IF('2023 Lønnsgr pensjon tjeneste'!Q8=0,0,'2023 Pensjon tjeneste'!Q8/'2023 Lønnsgr pensjon tjeneste'!Q8)</f>
        <v>0</v>
      </c>
    </row>
    <row r="9" spans="1:39" x14ac:dyDescent="0.3">
      <c r="A9" s="43">
        <v>3000</v>
      </c>
      <c r="B9" s="44" t="s">
        <v>341</v>
      </c>
      <c r="C9" s="1">
        <v>-188618.90494386002</v>
      </c>
      <c r="D9" s="3">
        <v>1.0109508011160717</v>
      </c>
      <c r="E9" s="3">
        <v>0.60627924197881555</v>
      </c>
      <c r="F9" s="3">
        <v>0.65317532338165341</v>
      </c>
      <c r="G9" s="3">
        <v>2.6179811137927375E-2</v>
      </c>
      <c r="H9" s="3">
        <v>0.96460045526742033</v>
      </c>
      <c r="I9" s="3"/>
      <c r="J9" s="46">
        <f>IF('2023 Lønnsgr arbavg tjeneste'!D9=0,0,'2023 Arbavg tjeneste'!D9/'2023 Lønnsgr arbavg tjeneste'!D9)</f>
        <v>0.14465981779414616</v>
      </c>
      <c r="K9" s="46">
        <f>IF('2023 Lønnsgr arbavg tjeneste'!E9=0,0,'2023 Arbavg tjeneste'!E9/'2023 Lønnsgr arbavg tjeneste'!E9)</f>
        <v>0.25772183982307484</v>
      </c>
      <c r="L9" s="46">
        <f>IF('2023 Lønnsgr arbavg tjeneste'!F9=0,0,'2023 Arbavg tjeneste'!F9/'2023 Lønnsgr arbavg tjeneste'!F9)</f>
        <v>0.13769717578161897</v>
      </c>
      <c r="M9" s="46">
        <f>IF('2023 Lønnsgr arbavg tjeneste'!G9=0,0,'2023 Arbavg tjeneste'!G9/'2023 Lønnsgr arbavg tjeneste'!G9)</f>
        <v>0</v>
      </c>
      <c r="N9" s="46">
        <f>IF('2023 Lønnsgr arbavg tjeneste'!H9=0,0,'2023 Arbavg tjeneste'!H9/'2023 Lønnsgr arbavg tjeneste'!H9)</f>
        <v>0.14300499224442445</v>
      </c>
      <c r="O9" s="46">
        <f>IF('2023 Lønnsgr arbavg tjeneste'!I9=0,0,'2023 Arbavg tjeneste'!I9/'2023 Lønnsgr arbavg tjeneste'!I9)</f>
        <v>7.5997951529341398E-2</v>
      </c>
      <c r="P9" s="46">
        <f>IF('2023 Lønnsgr arbavg tjeneste'!J9=0,0,'2023 Arbavg tjeneste'!J9/'2023 Lønnsgr arbavg tjeneste'!J9)</f>
        <v>0</v>
      </c>
      <c r="Q9" s="46">
        <f>IF('2023 Lønnsgr arbavg tjeneste'!K9=0,0,'2023 Arbavg tjeneste'!K9/'2023 Lønnsgr arbavg tjeneste'!K9)</f>
        <v>5.6818743756861273E-2</v>
      </c>
      <c r="R9" s="46">
        <f>IF('2023 Lønnsgr arbavg tjeneste'!L9=0,0,'2023 Arbavg tjeneste'!L9/'2023 Lønnsgr arbavg tjeneste'!L9)</f>
        <v>0.14460163233579479</v>
      </c>
      <c r="S9" s="46">
        <f>IF('2023 Lønnsgr arbavg tjeneste'!M9=0,0,'2023 Arbavg tjeneste'!M9/'2023 Lønnsgr arbavg tjeneste'!M9)</f>
        <v>0.15088737876888567</v>
      </c>
      <c r="T9" s="46">
        <f>IF('2023 Lønnsgr arbavg tjeneste'!N9=0,0,'2023 Arbavg tjeneste'!N9/'2023 Lønnsgr arbavg tjeneste'!N9)</f>
        <v>0.14460122216685461</v>
      </c>
      <c r="U9" s="46">
        <f>IF('2023 Lønnsgr arbavg tjeneste'!O9=0,0,'2023 Arbavg tjeneste'!O9/'2023 Lønnsgr arbavg tjeneste'!O9)</f>
        <v>0.14521033351689133</v>
      </c>
      <c r="V9" s="46">
        <f>IF('2023 Lønnsgr arbavg tjeneste'!P9=0,0,'2023 Arbavg tjeneste'!P9/'2023 Lønnsgr arbavg tjeneste'!P9)</f>
        <v>0.14236641221374047</v>
      </c>
      <c r="W9" s="46">
        <f>IF('2023 Lønnsgr arbavg tjeneste'!Q9=0,0,'2023 Arbavg tjeneste'!Q9/'2023 Lønnsgr arbavg tjeneste'!Q9)</f>
        <v>0</v>
      </c>
      <c r="X9" s="46">
        <f>IF('2023 Lønnsgr arbavg tjeneste'!R9=0,0,'2023 Arbavg tjeneste'!R9/'2023 Lønnsgr arbavg tjeneste'!R9)</f>
        <v>0.10383677724466582</v>
      </c>
      <c r="Z9" s="46">
        <f>IF('2023 Lønnsgr pensjon tjeneste'!D9=0,0,'2023 Pensjon tjeneste'!D9/'2023 Lønnsgr pensjon tjeneste'!D9)</f>
        <v>0.11806653103212933</v>
      </c>
      <c r="AA9" s="46">
        <f>IF('2023 Lønnsgr pensjon tjeneste'!E9=0,0,'2023 Pensjon tjeneste'!E9/'2023 Lønnsgr pensjon tjeneste'!E9)</f>
        <v>0.20316914567605951</v>
      </c>
      <c r="AB9" s="46">
        <f>IF('2023 Lønnsgr pensjon tjeneste'!F9=0,0,'2023 Pensjon tjeneste'!F9/'2023 Lønnsgr pensjon tjeneste'!F9)</f>
        <v>0.19338548594359403</v>
      </c>
      <c r="AC9" s="46">
        <f>IF('2023 Lønnsgr pensjon tjeneste'!G9=0,0,'2023 Pensjon tjeneste'!G9/'2023 Lønnsgr pensjon tjeneste'!G9)</f>
        <v>0</v>
      </c>
      <c r="AD9" s="46">
        <f>IF('2023 Lønnsgr pensjon tjeneste'!H9=0,0,'2023 Pensjon tjeneste'!H9/'2023 Lønnsgr pensjon tjeneste'!H9)</f>
        <v>0.11468049864876645</v>
      </c>
      <c r="AE9" s="46">
        <f>IF('2023 Lønnsgr pensjon tjeneste'!I9=0,0,'2023 Pensjon tjeneste'!I9/'2023 Lønnsgr pensjon tjeneste'!I9)</f>
        <v>0.75970262594974414</v>
      </c>
      <c r="AF9" s="46">
        <f>IF('2023 Lønnsgr pensjon tjeneste'!J9=0,0,'2023 Pensjon tjeneste'!J9/'2023 Lønnsgr pensjon tjeneste'!J9)</f>
        <v>0</v>
      </c>
      <c r="AG9" s="46">
        <f>IF('2023 Lønnsgr pensjon tjeneste'!K9=0,0,'2023 Pensjon tjeneste'!K9/'2023 Lønnsgr pensjon tjeneste'!K9)</f>
        <v>1.0344523209717422</v>
      </c>
      <c r="AH9" s="46">
        <f>IF('2023 Lønnsgr pensjon tjeneste'!L9=0,0,'2023 Pensjon tjeneste'!L9/'2023 Lønnsgr pensjon tjeneste'!L9)</f>
        <v>0.14736398341803875</v>
      </c>
      <c r="AI9" s="46">
        <f>IF('2023 Lønnsgr pensjon tjeneste'!M9=0,0,'2023 Pensjon tjeneste'!M9/'2023 Lønnsgr pensjon tjeneste'!M9)</f>
        <v>0.11448529411764706</v>
      </c>
      <c r="AJ9" s="46">
        <f>IF('2023 Lønnsgr pensjon tjeneste'!N9=0,0,'2023 Pensjon tjeneste'!N9/'2023 Lønnsgr pensjon tjeneste'!N9)</f>
        <v>0.10741929393996602</v>
      </c>
      <c r="AK9" s="46">
        <f>IF('2023 Lønnsgr pensjon tjeneste'!O9=0,0,'2023 Pensjon tjeneste'!O9/'2023 Lønnsgr pensjon tjeneste'!O9)</f>
        <v>0.11061770415082299</v>
      </c>
      <c r="AL9" s="46">
        <f>IF('2023 Lønnsgr pensjon tjeneste'!P9=0,0,'2023 Pensjon tjeneste'!P9/'2023 Lønnsgr pensjon tjeneste'!P9)</f>
        <v>0.11252653927813164</v>
      </c>
      <c r="AM9" s="46">
        <f>IF('2023 Lønnsgr pensjon tjeneste'!Q9=0,0,'2023 Pensjon tjeneste'!Q9/'2023 Lønnsgr pensjon tjeneste'!Q9)</f>
        <v>0</v>
      </c>
    </row>
    <row r="10" spans="1:39" x14ac:dyDescent="0.3">
      <c r="A10" s="43">
        <v>3400</v>
      </c>
      <c r="B10" s="44" t="s">
        <v>342</v>
      </c>
      <c r="C10" s="1">
        <v>73398.087973260001</v>
      </c>
      <c r="D10" s="3">
        <v>1.0062398373243804</v>
      </c>
      <c r="E10" s="3">
        <v>1.5174599383336682</v>
      </c>
      <c r="F10" s="3">
        <v>0.94309915694030932</v>
      </c>
      <c r="G10" s="3">
        <v>5.9463031673505369E-2</v>
      </c>
      <c r="H10" s="3">
        <v>1.0216409626046192</v>
      </c>
      <c r="I10" s="3"/>
      <c r="J10" s="46">
        <f>IF('2023 Lønnsgr arbavg tjeneste'!D10=0,0,'2023 Arbavg tjeneste'!D10/'2023 Lønnsgr arbavg tjeneste'!D10)</f>
        <v>0.12645689202930449</v>
      </c>
      <c r="K10" s="46">
        <f>IF('2023 Lønnsgr arbavg tjeneste'!E10=0,0,'2023 Arbavg tjeneste'!E10/'2023 Lønnsgr arbavg tjeneste'!E10)</f>
        <v>0.12639965212529702</v>
      </c>
      <c r="L10" s="46">
        <f>IF('2023 Lønnsgr arbavg tjeneste'!F10=0,0,'2023 Arbavg tjeneste'!F10/'2023 Lønnsgr arbavg tjeneste'!F10)</f>
        <v>0.14219125420470927</v>
      </c>
      <c r="M10" s="46">
        <f>IF('2023 Lønnsgr arbavg tjeneste'!G10=0,0,'2023 Arbavg tjeneste'!G10/'2023 Lønnsgr arbavg tjeneste'!G10)</f>
        <v>0.14469846645968576</v>
      </c>
      <c r="N10" s="46">
        <f>IF('2023 Lønnsgr arbavg tjeneste'!H10=0,0,'2023 Arbavg tjeneste'!H10/'2023 Lønnsgr arbavg tjeneste'!H10)</f>
        <v>0.12339661877768113</v>
      </c>
      <c r="O10" s="46">
        <f>IF('2023 Lønnsgr arbavg tjeneste'!I10=0,0,'2023 Arbavg tjeneste'!I10/'2023 Lønnsgr arbavg tjeneste'!I10)</f>
        <v>0.14372107611967402</v>
      </c>
      <c r="P10" s="46">
        <f>IF('2023 Lønnsgr arbavg tjeneste'!J10=0,0,'2023 Arbavg tjeneste'!J10/'2023 Lønnsgr arbavg tjeneste'!J10)</f>
        <v>0</v>
      </c>
      <c r="Q10" s="46">
        <f>IF('2023 Lønnsgr arbavg tjeneste'!K10=0,0,'2023 Arbavg tjeneste'!K10/'2023 Lønnsgr arbavg tjeneste'!K10)</f>
        <v>0.1445926522690445</v>
      </c>
      <c r="R10" s="46">
        <f>IF('2023 Lønnsgr arbavg tjeneste'!L10=0,0,'2023 Arbavg tjeneste'!L10/'2023 Lønnsgr arbavg tjeneste'!L10)</f>
        <v>0.14251819044606137</v>
      </c>
      <c r="S10" s="46">
        <f>IF('2023 Lønnsgr arbavg tjeneste'!M10=0,0,'2023 Arbavg tjeneste'!M10/'2023 Lønnsgr arbavg tjeneste'!M10)</f>
        <v>0.14303512718463401</v>
      </c>
      <c r="T10" s="46">
        <f>IF('2023 Lønnsgr arbavg tjeneste'!N10=0,0,'2023 Arbavg tjeneste'!N10/'2023 Lønnsgr arbavg tjeneste'!N10)</f>
        <v>0.14178240740740741</v>
      </c>
      <c r="U10" s="46">
        <f>IF('2023 Lønnsgr arbavg tjeneste'!O10=0,0,'2023 Arbavg tjeneste'!O10/'2023 Lønnsgr arbavg tjeneste'!O10)</f>
        <v>0</v>
      </c>
      <c r="V10" s="46">
        <f>IF('2023 Lønnsgr arbavg tjeneste'!P10=0,0,'2023 Arbavg tjeneste'!P10/'2023 Lønnsgr arbavg tjeneste'!P10)</f>
        <v>0.14202433870145012</v>
      </c>
      <c r="W10" s="46">
        <f>IF('2023 Lønnsgr arbavg tjeneste'!Q10=0,0,'2023 Arbavg tjeneste'!Q10/'2023 Lønnsgr arbavg tjeneste'!Q10)</f>
        <v>0</v>
      </c>
      <c r="X10" s="46">
        <f>IF('2023 Lønnsgr arbavg tjeneste'!R10=0,0,'2023 Arbavg tjeneste'!R10/'2023 Lønnsgr arbavg tjeneste'!R10)</f>
        <v>0.14099652298874307</v>
      </c>
      <c r="Z10" s="46">
        <f>IF('2023 Lønnsgr pensjon tjeneste'!D10=0,0,'2023 Pensjon tjeneste'!D10/'2023 Lønnsgr pensjon tjeneste'!D10)</f>
        <v>0.16605723001063258</v>
      </c>
      <c r="AA10" s="46">
        <f>IF('2023 Lønnsgr pensjon tjeneste'!E10=0,0,'2023 Pensjon tjeneste'!E10/'2023 Lønnsgr pensjon tjeneste'!E10)</f>
        <v>0.36830361886142926</v>
      </c>
      <c r="AB10" s="46">
        <f>IF('2023 Lønnsgr pensjon tjeneste'!F10=0,0,'2023 Pensjon tjeneste'!F10/'2023 Lønnsgr pensjon tjeneste'!F10)</f>
        <v>0.36736973519942179</v>
      </c>
      <c r="AC10" s="46">
        <f>IF('2023 Lønnsgr pensjon tjeneste'!G10=0,0,'2023 Pensjon tjeneste'!G10/'2023 Lønnsgr pensjon tjeneste'!G10)</f>
        <v>8.8144963144963145E-2</v>
      </c>
      <c r="AD10" s="46">
        <f>IF('2023 Lønnsgr pensjon tjeneste'!H10=0,0,'2023 Pensjon tjeneste'!H10/'2023 Lønnsgr pensjon tjeneste'!H10)</f>
        <v>0.32706659679056405</v>
      </c>
      <c r="AE10" s="46">
        <f>IF('2023 Lønnsgr pensjon tjeneste'!I10=0,0,'2023 Pensjon tjeneste'!I10/'2023 Lønnsgr pensjon tjeneste'!I10)</f>
        <v>0.29285549132947974</v>
      </c>
      <c r="AF10" s="46">
        <f>IF('2023 Lønnsgr pensjon tjeneste'!J10=0,0,'2023 Pensjon tjeneste'!J10/'2023 Lønnsgr pensjon tjeneste'!J10)</f>
        <v>0</v>
      </c>
      <c r="AG10" s="46">
        <f>IF('2023 Lønnsgr pensjon tjeneste'!K10=0,0,'2023 Pensjon tjeneste'!K10/'2023 Lønnsgr pensjon tjeneste'!K10)</f>
        <v>0.2512844685364129</v>
      </c>
      <c r="AH10" s="46">
        <f>IF('2023 Lønnsgr pensjon tjeneste'!L10=0,0,'2023 Pensjon tjeneste'!L10/'2023 Lønnsgr pensjon tjeneste'!L10)</f>
        <v>0.63988642057791878</v>
      </c>
      <c r="AI10" s="46">
        <f>IF('2023 Lønnsgr pensjon tjeneste'!M10=0,0,'2023 Pensjon tjeneste'!M10/'2023 Lønnsgr pensjon tjeneste'!M10)</f>
        <v>0.32728525493798805</v>
      </c>
      <c r="AJ10" s="46">
        <f>IF('2023 Lønnsgr pensjon tjeneste'!N10=0,0,'2023 Pensjon tjeneste'!N10/'2023 Lønnsgr pensjon tjeneste'!N10)</f>
        <v>0.10541732601595906</v>
      </c>
      <c r="AK10" s="46">
        <f>IF('2023 Lønnsgr pensjon tjeneste'!O10=0,0,'2023 Pensjon tjeneste'!O10/'2023 Lønnsgr pensjon tjeneste'!O10)</f>
        <v>0</v>
      </c>
      <c r="AL10" s="46">
        <f>IF('2023 Lønnsgr pensjon tjeneste'!P10=0,0,'2023 Pensjon tjeneste'!P10/'2023 Lønnsgr pensjon tjeneste'!P10)</f>
        <v>0.56227231329690341</v>
      </c>
      <c r="AM10" s="46">
        <f>IF('2023 Lønnsgr pensjon tjeneste'!Q10=0,0,'2023 Pensjon tjeneste'!Q10/'2023 Lønnsgr pensjon tjeneste'!Q10)</f>
        <v>0</v>
      </c>
    </row>
    <row r="11" spans="1:39" x14ac:dyDescent="0.3">
      <c r="A11" s="43">
        <v>3800</v>
      </c>
      <c r="B11" s="44" t="s">
        <v>343</v>
      </c>
      <c r="C11" s="1">
        <v>31419.130703170002</v>
      </c>
      <c r="D11" s="3">
        <v>1.0246976591874704</v>
      </c>
      <c r="E11" s="3">
        <v>0.87778384106275287</v>
      </c>
      <c r="F11" s="3">
        <v>0.66753460722060465</v>
      </c>
      <c r="G11" s="3">
        <v>0.13457432220097482</v>
      </c>
      <c r="H11" s="3">
        <v>0.96530680839609195</v>
      </c>
      <c r="I11" s="3"/>
      <c r="J11" s="46">
        <f>IF('2023 Lønnsgr arbavg tjeneste'!D11=0,0,'2023 Arbavg tjeneste'!D11/'2023 Lønnsgr arbavg tjeneste'!D11)</f>
        <v>0.14053836568966374</v>
      </c>
      <c r="K11" s="46">
        <f>IF('2023 Lønnsgr arbavg tjeneste'!E11=0,0,'2023 Arbavg tjeneste'!E11/'2023 Lønnsgr arbavg tjeneste'!E11)</f>
        <v>0.14504084258087457</v>
      </c>
      <c r="L11" s="46">
        <f>IF('2023 Lønnsgr arbavg tjeneste'!F11=0,0,'2023 Arbavg tjeneste'!F11/'2023 Lønnsgr arbavg tjeneste'!F11)</f>
        <v>0.1430069013715384</v>
      </c>
      <c r="M11" s="46">
        <f>IF('2023 Lønnsgr arbavg tjeneste'!G11=0,0,'2023 Arbavg tjeneste'!G11/'2023 Lønnsgr arbavg tjeneste'!G11)</f>
        <v>0</v>
      </c>
      <c r="N11" s="46">
        <f>IF('2023 Lønnsgr arbavg tjeneste'!H11=0,0,'2023 Arbavg tjeneste'!H11/'2023 Lønnsgr arbavg tjeneste'!H11)</f>
        <v>0.14022701038861102</v>
      </c>
      <c r="O11" s="46">
        <f>IF('2023 Lønnsgr arbavg tjeneste'!I11=0,0,'2023 Arbavg tjeneste'!I11/'2023 Lønnsgr arbavg tjeneste'!I11)</f>
        <v>0.14363787304589037</v>
      </c>
      <c r="P11" s="46">
        <f>IF('2023 Lønnsgr arbavg tjeneste'!J11=0,0,'2023 Arbavg tjeneste'!J11/'2023 Lønnsgr arbavg tjeneste'!J11)</f>
        <v>0</v>
      </c>
      <c r="Q11" s="46">
        <f>IF('2023 Lønnsgr arbavg tjeneste'!K11=0,0,'2023 Arbavg tjeneste'!K11/'2023 Lønnsgr arbavg tjeneste'!K11)</f>
        <v>0.14543343314682924</v>
      </c>
      <c r="R11" s="46">
        <f>IF('2023 Lønnsgr arbavg tjeneste'!L11=0,0,'2023 Arbavg tjeneste'!L11/'2023 Lønnsgr arbavg tjeneste'!L11)</f>
        <v>0.13714000899597611</v>
      </c>
      <c r="S11" s="46">
        <f>IF('2023 Lønnsgr arbavg tjeneste'!M11=0,0,'2023 Arbavg tjeneste'!M11/'2023 Lønnsgr arbavg tjeneste'!M11)</f>
        <v>0.15135904561784044</v>
      </c>
      <c r="T11" s="46">
        <f>IF('2023 Lønnsgr arbavg tjeneste'!N11=0,0,'2023 Arbavg tjeneste'!N11/'2023 Lønnsgr arbavg tjeneste'!N11)</f>
        <v>0.14066843950199445</v>
      </c>
      <c r="U11" s="46">
        <f>IF('2023 Lønnsgr arbavg tjeneste'!O11=0,0,'2023 Arbavg tjeneste'!O11/'2023 Lønnsgr arbavg tjeneste'!O11)</f>
        <v>0.10680272108843537</v>
      </c>
      <c r="V11" s="46">
        <f>IF('2023 Lønnsgr arbavg tjeneste'!P11=0,0,'2023 Arbavg tjeneste'!P11/'2023 Lønnsgr arbavg tjeneste'!P11)</f>
        <v>0.15191256830601094</v>
      </c>
      <c r="W11" s="46">
        <f>IF('2023 Lønnsgr arbavg tjeneste'!Q11=0,0,'2023 Arbavg tjeneste'!Q11/'2023 Lønnsgr arbavg tjeneste'!Q11)</f>
        <v>0</v>
      </c>
      <c r="X11" s="46">
        <f>IF('2023 Lønnsgr arbavg tjeneste'!R11=0,0,'2023 Arbavg tjeneste'!R11/'2023 Lønnsgr arbavg tjeneste'!R11)</f>
        <v>0.13833675518353902</v>
      </c>
      <c r="Z11" s="46">
        <f>IF('2023 Lønnsgr pensjon tjeneste'!D11=0,0,'2023 Pensjon tjeneste'!D11/'2023 Lønnsgr pensjon tjeneste'!D11)</f>
        <v>0.18522739334215979</v>
      </c>
      <c r="AA11" s="46">
        <f>IF('2023 Lønnsgr pensjon tjeneste'!E11=0,0,'2023 Pensjon tjeneste'!E11/'2023 Lønnsgr pensjon tjeneste'!E11)</f>
        <v>0.28931381605118905</v>
      </c>
      <c r="AB11" s="46">
        <f>IF('2023 Lønnsgr pensjon tjeneste'!F11=0,0,'2023 Pensjon tjeneste'!F11/'2023 Lønnsgr pensjon tjeneste'!F11)</f>
        <v>0.2923267978775449</v>
      </c>
      <c r="AC11" s="46">
        <f>IF('2023 Lønnsgr pensjon tjeneste'!G11=0,0,'2023 Pensjon tjeneste'!G11/'2023 Lønnsgr pensjon tjeneste'!G11)</f>
        <v>0</v>
      </c>
      <c r="AD11" s="46">
        <f>IF('2023 Lønnsgr pensjon tjeneste'!H11=0,0,'2023 Pensjon tjeneste'!H11/'2023 Lønnsgr pensjon tjeneste'!H11)</f>
        <v>0.32620648305246908</v>
      </c>
      <c r="AE11" s="46">
        <f>IF('2023 Lønnsgr pensjon tjeneste'!I11=0,0,'2023 Pensjon tjeneste'!I11/'2023 Lønnsgr pensjon tjeneste'!I11)</f>
        <v>0.28849627874960815</v>
      </c>
      <c r="AF11" s="46">
        <f>IF('2023 Lønnsgr pensjon tjeneste'!J11=0,0,'2023 Pensjon tjeneste'!J11/'2023 Lønnsgr pensjon tjeneste'!J11)</f>
        <v>0</v>
      </c>
      <c r="AG11" s="46">
        <f>IF('2023 Lønnsgr pensjon tjeneste'!K11=0,0,'2023 Pensjon tjeneste'!K11/'2023 Lønnsgr pensjon tjeneste'!K11)</f>
        <v>0.27656906815696758</v>
      </c>
      <c r="AH11" s="46">
        <f>IF('2023 Lønnsgr pensjon tjeneste'!L11=0,0,'2023 Pensjon tjeneste'!L11/'2023 Lønnsgr pensjon tjeneste'!L11)</f>
        <v>0.3271436577620026</v>
      </c>
      <c r="AI11" s="46">
        <f>IF('2023 Lønnsgr pensjon tjeneste'!M11=0,0,'2023 Pensjon tjeneste'!M11/'2023 Lønnsgr pensjon tjeneste'!M11)</f>
        <v>0.30056860757261866</v>
      </c>
      <c r="AJ11" s="46">
        <f>IF('2023 Lønnsgr pensjon tjeneste'!N11=0,0,'2023 Pensjon tjeneste'!N11/'2023 Lønnsgr pensjon tjeneste'!N11)</f>
        <v>0.30227067018220455</v>
      </c>
      <c r="AK11" s="46">
        <f>IF('2023 Lønnsgr pensjon tjeneste'!O11=0,0,'2023 Pensjon tjeneste'!O11/'2023 Lønnsgr pensjon tjeneste'!O11)</f>
        <v>0.16666666666666666</v>
      </c>
      <c r="AL11" s="46">
        <f>IF('2023 Lønnsgr pensjon tjeneste'!P11=0,0,'2023 Pensjon tjeneste'!P11/'2023 Lønnsgr pensjon tjeneste'!P11)</f>
        <v>0.17912371134020619</v>
      </c>
      <c r="AM11" s="46">
        <f>IF('2023 Lønnsgr pensjon tjeneste'!Q11=0,0,'2023 Pensjon tjeneste'!Q11/'2023 Lønnsgr pensjon tjeneste'!Q11)</f>
        <v>0</v>
      </c>
    </row>
    <row r="12" spans="1:39" x14ac:dyDescent="0.3">
      <c r="A12" s="43">
        <v>4200</v>
      </c>
      <c r="B12" s="44" t="s">
        <v>344</v>
      </c>
      <c r="C12" s="1">
        <v>29345.239222889999</v>
      </c>
      <c r="D12" s="3">
        <v>1.084268975153569</v>
      </c>
      <c r="E12" s="3">
        <v>1.2211575516772717</v>
      </c>
      <c r="F12" s="3">
        <v>0.78004641987215195</v>
      </c>
      <c r="G12" s="3">
        <v>0.1328769183331836</v>
      </c>
      <c r="H12" s="3">
        <v>1.0388028742608666</v>
      </c>
      <c r="I12" s="3"/>
      <c r="J12" s="46">
        <f>IF('2023 Lønnsgr arbavg tjeneste'!D12=0,0,'2023 Arbavg tjeneste'!D12/'2023 Lønnsgr arbavg tjeneste'!D12)</f>
        <v>0.14124692572818523</v>
      </c>
      <c r="K12" s="46">
        <f>IF('2023 Lønnsgr arbavg tjeneste'!E12=0,0,'2023 Arbavg tjeneste'!E12/'2023 Lønnsgr arbavg tjeneste'!E12)</f>
        <v>0.21609554483502205</v>
      </c>
      <c r="L12" s="46">
        <f>IF('2023 Lønnsgr arbavg tjeneste'!F12=0,0,'2023 Arbavg tjeneste'!F12/'2023 Lønnsgr arbavg tjeneste'!F12)</f>
        <v>0.15758640890451084</v>
      </c>
      <c r="M12" s="46">
        <f>IF('2023 Lønnsgr arbavg tjeneste'!G12=0,0,'2023 Arbavg tjeneste'!G12/'2023 Lønnsgr arbavg tjeneste'!G12)</f>
        <v>0.14041745730550284</v>
      </c>
      <c r="N12" s="46">
        <f>IF('2023 Lønnsgr arbavg tjeneste'!H12=0,0,'2023 Arbavg tjeneste'!H12/'2023 Lønnsgr arbavg tjeneste'!H12)</f>
        <v>0.14053489533669344</v>
      </c>
      <c r="O12" s="46">
        <f>IF('2023 Lønnsgr arbavg tjeneste'!I12=0,0,'2023 Arbavg tjeneste'!I12/'2023 Lønnsgr arbavg tjeneste'!I12)</f>
        <v>0.126653051260219</v>
      </c>
      <c r="P12" s="46">
        <f>IF('2023 Lønnsgr arbavg tjeneste'!J12=0,0,'2023 Arbavg tjeneste'!J12/'2023 Lønnsgr arbavg tjeneste'!J12)</f>
        <v>0</v>
      </c>
      <c r="Q12" s="46">
        <f>IF('2023 Lønnsgr arbavg tjeneste'!K12=0,0,'2023 Arbavg tjeneste'!K12/'2023 Lønnsgr arbavg tjeneste'!K12)</f>
        <v>0.11885359956864314</v>
      </c>
      <c r="R12" s="46">
        <f>IF('2023 Lønnsgr arbavg tjeneste'!L12=0,0,'2023 Arbavg tjeneste'!L12/'2023 Lønnsgr arbavg tjeneste'!L12)</f>
        <v>0.14382770092803362</v>
      </c>
      <c r="S12" s="46">
        <f>IF('2023 Lønnsgr arbavg tjeneste'!M12=0,0,'2023 Arbavg tjeneste'!M12/'2023 Lønnsgr arbavg tjeneste'!M12)</f>
        <v>0.14142480211081795</v>
      </c>
      <c r="T12" s="46">
        <f>IF('2023 Lønnsgr arbavg tjeneste'!N12=0,0,'2023 Arbavg tjeneste'!N12/'2023 Lønnsgr arbavg tjeneste'!N12)</f>
        <v>0.14275101434367679</v>
      </c>
      <c r="U12" s="46">
        <f>IF('2023 Lønnsgr arbavg tjeneste'!O12=0,0,'2023 Arbavg tjeneste'!O12/'2023 Lønnsgr arbavg tjeneste'!O12)</f>
        <v>0</v>
      </c>
      <c r="V12" s="46">
        <f>IF('2023 Lønnsgr arbavg tjeneste'!P12=0,0,'2023 Arbavg tjeneste'!P12/'2023 Lønnsgr arbavg tjeneste'!P12)</f>
        <v>0.14136732329084589</v>
      </c>
      <c r="W12" s="46">
        <f>IF('2023 Lønnsgr arbavg tjeneste'!Q12=0,0,'2023 Arbavg tjeneste'!Q12/'2023 Lønnsgr arbavg tjeneste'!Q12)</f>
        <v>0</v>
      </c>
      <c r="X12" s="46">
        <f>IF('2023 Lønnsgr arbavg tjeneste'!R12=0,0,'2023 Arbavg tjeneste'!R12/'2023 Lønnsgr arbavg tjeneste'!R12)</f>
        <v>0.11268330447001124</v>
      </c>
      <c r="Z12" s="46">
        <f>IF('2023 Lønnsgr pensjon tjeneste'!D12=0,0,'2023 Pensjon tjeneste'!D12/'2023 Lønnsgr pensjon tjeneste'!D12)</f>
        <v>0.15100678858900413</v>
      </c>
      <c r="AA12" s="46">
        <f>IF('2023 Lønnsgr pensjon tjeneste'!E12=0,0,'2023 Pensjon tjeneste'!E12/'2023 Lønnsgr pensjon tjeneste'!E12)</f>
        <v>0.4157142857142857</v>
      </c>
      <c r="AB12" s="46">
        <f>IF('2023 Lønnsgr pensjon tjeneste'!F12=0,0,'2023 Pensjon tjeneste'!F12/'2023 Lønnsgr pensjon tjeneste'!F12)</f>
        <v>0.20042194092827004</v>
      </c>
      <c r="AC12" s="46">
        <f>IF('2023 Lønnsgr pensjon tjeneste'!G12=0,0,'2023 Pensjon tjeneste'!G12/'2023 Lønnsgr pensjon tjeneste'!G12)</f>
        <v>0.16851441241685144</v>
      </c>
      <c r="AD12" s="46">
        <f>IF('2023 Lønnsgr pensjon tjeneste'!H12=0,0,'2023 Pensjon tjeneste'!H12/'2023 Lønnsgr pensjon tjeneste'!H12)</f>
        <v>0.26832418735139496</v>
      </c>
      <c r="AE12" s="46">
        <f>IF('2023 Lønnsgr pensjon tjeneste'!I12=0,0,'2023 Pensjon tjeneste'!I12/'2023 Lønnsgr pensjon tjeneste'!I12)</f>
        <v>0.4168617575473807</v>
      </c>
      <c r="AF12" s="46">
        <f>IF('2023 Lønnsgr pensjon tjeneste'!J12=0,0,'2023 Pensjon tjeneste'!J12/'2023 Lønnsgr pensjon tjeneste'!J12)</f>
        <v>0</v>
      </c>
      <c r="AG12" s="46">
        <f>IF('2023 Lønnsgr pensjon tjeneste'!K12=0,0,'2023 Pensjon tjeneste'!K12/'2023 Lønnsgr pensjon tjeneste'!K12)</f>
        <v>0.47733044267296765</v>
      </c>
      <c r="AH12" s="46">
        <f>IF('2023 Lønnsgr pensjon tjeneste'!L12=0,0,'2023 Pensjon tjeneste'!L12/'2023 Lønnsgr pensjon tjeneste'!L12)</f>
        <v>0.29430004075196231</v>
      </c>
      <c r="AI12" s="46">
        <f>IF('2023 Lønnsgr pensjon tjeneste'!M12=0,0,'2023 Pensjon tjeneste'!M12/'2023 Lønnsgr pensjon tjeneste'!M12)</f>
        <v>0.24180865006553079</v>
      </c>
      <c r="AJ12" s="46">
        <f>IF('2023 Lønnsgr pensjon tjeneste'!N12=0,0,'2023 Pensjon tjeneste'!N12/'2023 Lønnsgr pensjon tjeneste'!N12)</f>
        <v>0.23536886692552064</v>
      </c>
      <c r="AK12" s="46">
        <f>IF('2023 Lønnsgr pensjon tjeneste'!O12=0,0,'2023 Pensjon tjeneste'!O12/'2023 Lønnsgr pensjon tjeneste'!O12)</f>
        <v>0</v>
      </c>
      <c r="AL12" s="46">
        <f>IF('2023 Lønnsgr pensjon tjeneste'!P12=0,0,'2023 Pensjon tjeneste'!P12/'2023 Lønnsgr pensjon tjeneste'!P12)</f>
        <v>0.17896174863387979</v>
      </c>
      <c r="AM12" s="46">
        <f>IF('2023 Lønnsgr pensjon tjeneste'!Q12=0,0,'2023 Pensjon tjeneste'!Q12/'2023 Lønnsgr pensjon tjeneste'!Q12)</f>
        <v>0</v>
      </c>
    </row>
    <row r="13" spans="1:39" x14ac:dyDescent="0.3">
      <c r="A13" s="43">
        <v>4600</v>
      </c>
      <c r="B13" s="44" t="s">
        <v>345</v>
      </c>
      <c r="C13" s="1">
        <v>-107541.58571699999</v>
      </c>
      <c r="D13" s="3">
        <v>1.048859894414335</v>
      </c>
      <c r="E13" s="3">
        <v>1.2994326055707779</v>
      </c>
      <c r="F13" s="3">
        <v>1.0646807692486568</v>
      </c>
      <c r="G13" s="3">
        <v>2.300543280463788</v>
      </c>
      <c r="H13" s="3">
        <v>1.0530401240046849</v>
      </c>
      <c r="I13" s="3"/>
      <c r="J13" s="46">
        <f>IF('2023 Lønnsgr arbavg tjeneste'!D13=0,0,'2023 Arbavg tjeneste'!D13/'2023 Lønnsgr arbavg tjeneste'!D13)</f>
        <v>0.13838718452722118</v>
      </c>
      <c r="K13" s="46">
        <f>IF('2023 Lønnsgr arbavg tjeneste'!E13=0,0,'2023 Arbavg tjeneste'!E13/'2023 Lønnsgr arbavg tjeneste'!E13)</f>
        <v>0.42733218957752522</v>
      </c>
      <c r="L13" s="46">
        <f>IF('2023 Lønnsgr arbavg tjeneste'!F13=0,0,'2023 Arbavg tjeneste'!F13/'2023 Lønnsgr arbavg tjeneste'!F13)</f>
        <v>0.1434801376913456</v>
      </c>
      <c r="M13" s="46">
        <f>IF('2023 Lønnsgr arbavg tjeneste'!G13=0,0,'2023 Arbavg tjeneste'!G13/'2023 Lønnsgr arbavg tjeneste'!G13)</f>
        <v>0</v>
      </c>
      <c r="N13" s="46">
        <f>IF('2023 Lønnsgr arbavg tjeneste'!H13=0,0,'2023 Arbavg tjeneste'!H13/'2023 Lønnsgr arbavg tjeneste'!H13)</f>
        <v>0.13745697223033673</v>
      </c>
      <c r="O13" s="46">
        <f>IF('2023 Lønnsgr arbavg tjeneste'!I13=0,0,'2023 Arbavg tjeneste'!I13/'2023 Lønnsgr arbavg tjeneste'!I13)</f>
        <v>0.13737279374489458</v>
      </c>
      <c r="P13" s="46">
        <f>IF('2023 Lønnsgr arbavg tjeneste'!J13=0,0,'2023 Arbavg tjeneste'!J13/'2023 Lønnsgr arbavg tjeneste'!J13)</f>
        <v>0</v>
      </c>
      <c r="Q13" s="46">
        <f>IF('2023 Lønnsgr arbavg tjeneste'!K13=0,0,'2023 Arbavg tjeneste'!K13/'2023 Lønnsgr arbavg tjeneste'!K13)</f>
        <v>0.1407031823337114</v>
      </c>
      <c r="R13" s="46">
        <f>IF('2023 Lønnsgr arbavg tjeneste'!L13=0,0,'2023 Arbavg tjeneste'!L13/'2023 Lønnsgr arbavg tjeneste'!L13)</f>
        <v>0.13251932711768805</v>
      </c>
      <c r="S13" s="46">
        <f>IF('2023 Lønnsgr arbavg tjeneste'!M13=0,0,'2023 Arbavg tjeneste'!M13/'2023 Lønnsgr arbavg tjeneste'!M13)</f>
        <v>0.13415156538096212</v>
      </c>
      <c r="T13" s="46">
        <f>IF('2023 Lønnsgr arbavg tjeneste'!N13=0,0,'2023 Arbavg tjeneste'!N13/'2023 Lønnsgr arbavg tjeneste'!N13)</f>
        <v>0.12810477481433399</v>
      </c>
      <c r="U13" s="46">
        <f>IF('2023 Lønnsgr arbavg tjeneste'!O13=0,0,'2023 Arbavg tjeneste'!O13/'2023 Lønnsgr arbavg tjeneste'!O13)</f>
        <v>0</v>
      </c>
      <c r="V13" s="46">
        <f>IF('2023 Lønnsgr arbavg tjeneste'!P13=0,0,'2023 Arbavg tjeneste'!P13/'2023 Lønnsgr arbavg tjeneste'!P13)</f>
        <v>0.14163822525597269</v>
      </c>
      <c r="W13" s="46">
        <f>IF('2023 Lønnsgr arbavg tjeneste'!Q13=0,0,'2023 Arbavg tjeneste'!Q13/'2023 Lønnsgr arbavg tjeneste'!Q13)</f>
        <v>0</v>
      </c>
      <c r="X13" s="46">
        <f>IF('2023 Lønnsgr arbavg tjeneste'!R13=0,0,'2023 Arbavg tjeneste'!R13/'2023 Lønnsgr arbavg tjeneste'!R13)</f>
        <v>0.14574877210434226</v>
      </c>
      <c r="Z13" s="46">
        <f>IF('2023 Lønnsgr pensjon tjeneste'!D13=0,0,'2023 Pensjon tjeneste'!D13/'2023 Lønnsgr pensjon tjeneste'!D13)</f>
        <v>0.11700983901577706</v>
      </c>
      <c r="AA13" s="46">
        <f>IF('2023 Lønnsgr pensjon tjeneste'!E13=0,0,'2023 Pensjon tjeneste'!E13/'2023 Lønnsgr pensjon tjeneste'!E13)</f>
        <v>0.92019436666117604</v>
      </c>
      <c r="AB13" s="46">
        <f>IF('2023 Lønnsgr pensjon tjeneste'!F13=0,0,'2023 Pensjon tjeneste'!F13/'2023 Lønnsgr pensjon tjeneste'!F13)</f>
        <v>0.17321576979015169</v>
      </c>
      <c r="AC13" s="46">
        <f>IF('2023 Lønnsgr pensjon tjeneste'!G13=0,0,'2023 Pensjon tjeneste'!G13/'2023 Lønnsgr pensjon tjeneste'!G13)</f>
        <v>0</v>
      </c>
      <c r="AD13" s="46">
        <f>IF('2023 Lønnsgr pensjon tjeneste'!H13=0,0,'2023 Pensjon tjeneste'!H13/'2023 Lønnsgr pensjon tjeneste'!H13)</f>
        <v>0.1888076587091323</v>
      </c>
      <c r="AE13" s="46">
        <f>IF('2023 Lønnsgr pensjon tjeneste'!I13=0,0,'2023 Pensjon tjeneste'!I13/'2023 Lønnsgr pensjon tjeneste'!I13)</f>
        <v>9.8256072625956384E-2</v>
      </c>
      <c r="AF13" s="46">
        <f>IF('2023 Lønnsgr pensjon tjeneste'!J13=0,0,'2023 Pensjon tjeneste'!J13/'2023 Lønnsgr pensjon tjeneste'!J13)</f>
        <v>0</v>
      </c>
      <c r="AG13" s="46">
        <f>IF('2023 Lønnsgr pensjon tjeneste'!K13=0,0,'2023 Pensjon tjeneste'!K13/'2023 Lønnsgr pensjon tjeneste'!K13)</f>
        <v>5.1461004542721393E-2</v>
      </c>
      <c r="AH13" s="46">
        <f>IF('2023 Lønnsgr pensjon tjeneste'!L13=0,0,'2023 Pensjon tjeneste'!L13/'2023 Lønnsgr pensjon tjeneste'!L13)</f>
        <v>0.27460084474133539</v>
      </c>
      <c r="AI13" s="46">
        <f>IF('2023 Lønnsgr pensjon tjeneste'!M13=0,0,'2023 Pensjon tjeneste'!M13/'2023 Lønnsgr pensjon tjeneste'!M13)</f>
        <v>0.17835666944651715</v>
      </c>
      <c r="AJ13" s="46">
        <f>IF('2023 Lønnsgr pensjon tjeneste'!N13=0,0,'2023 Pensjon tjeneste'!N13/'2023 Lønnsgr pensjon tjeneste'!N13)</f>
        <v>0.18611865942028985</v>
      </c>
      <c r="AK13" s="46">
        <f>IF('2023 Lønnsgr pensjon tjeneste'!O13=0,0,'2023 Pensjon tjeneste'!O13/'2023 Lønnsgr pensjon tjeneste'!O13)</f>
        <v>0</v>
      </c>
      <c r="AL13" s="46">
        <f>IF('2023 Lønnsgr pensjon tjeneste'!P13=0,0,'2023 Pensjon tjeneste'!P13/'2023 Lønnsgr pensjon tjeneste'!P13)</f>
        <v>0.19348268839103869</v>
      </c>
      <c r="AM13" s="46">
        <f>IF('2023 Lønnsgr pensjon tjeneste'!Q13=0,0,'2023 Pensjon tjeneste'!Q13/'2023 Lønnsgr pensjon tjeneste'!Q13)</f>
        <v>0</v>
      </c>
    </row>
    <row r="14" spans="1:39" x14ac:dyDescent="0.3">
      <c r="A14" s="43">
        <v>5000</v>
      </c>
      <c r="B14" s="44" t="s">
        <v>340</v>
      </c>
      <c r="C14" s="1">
        <v>24061.020510459999</v>
      </c>
      <c r="D14" s="3">
        <v>1.0195042229505571</v>
      </c>
      <c r="E14" s="3">
        <v>1.2666523308794941</v>
      </c>
      <c r="F14" s="3">
        <v>1.0917317827078288</v>
      </c>
      <c r="G14" s="3">
        <v>1.0558842371923283</v>
      </c>
      <c r="H14" s="3">
        <v>1.0416844885673895</v>
      </c>
      <c r="I14" s="3"/>
      <c r="J14" s="46">
        <f>IF('2023 Lønnsgr arbavg tjeneste'!D14=0,0,'2023 Arbavg tjeneste'!D14/'2023 Lønnsgr arbavg tjeneste'!D14)</f>
        <v>0.12552077248393773</v>
      </c>
      <c r="K14" s="46">
        <f>IF('2023 Lønnsgr arbavg tjeneste'!E14=0,0,'2023 Arbavg tjeneste'!E14/'2023 Lønnsgr arbavg tjeneste'!E14)</f>
        <v>0.29048522956459844</v>
      </c>
      <c r="L14" s="46">
        <f>IF('2023 Lønnsgr arbavg tjeneste'!F14=0,0,'2023 Arbavg tjeneste'!F14/'2023 Lønnsgr arbavg tjeneste'!F14)</f>
        <v>0.14343702431599079</v>
      </c>
      <c r="M14" s="46">
        <f>IF('2023 Lønnsgr arbavg tjeneste'!G14=0,0,'2023 Arbavg tjeneste'!G14/'2023 Lønnsgr arbavg tjeneste'!G14)</f>
        <v>0.12941176470588237</v>
      </c>
      <c r="N14" s="46">
        <f>IF('2023 Lønnsgr arbavg tjeneste'!H14=0,0,'2023 Arbavg tjeneste'!H14/'2023 Lønnsgr arbavg tjeneste'!H14)</f>
        <v>0.12893936970084788</v>
      </c>
      <c r="O14" s="46">
        <f>IF('2023 Lønnsgr arbavg tjeneste'!I14=0,0,'2023 Arbavg tjeneste'!I14/'2023 Lønnsgr arbavg tjeneste'!I14)</f>
        <v>0.16144517865185837</v>
      </c>
      <c r="P14" s="46">
        <f>IF('2023 Lønnsgr arbavg tjeneste'!J14=0,0,'2023 Arbavg tjeneste'!J14/'2023 Lønnsgr arbavg tjeneste'!J14)</f>
        <v>0</v>
      </c>
      <c r="Q14" s="46">
        <f>IF('2023 Lønnsgr arbavg tjeneste'!K14=0,0,'2023 Arbavg tjeneste'!K14/'2023 Lønnsgr arbavg tjeneste'!K14)</f>
        <v>0.17731243417384301</v>
      </c>
      <c r="R14" s="46">
        <f>IF('2023 Lønnsgr arbavg tjeneste'!L14=0,0,'2023 Arbavg tjeneste'!L14/'2023 Lønnsgr arbavg tjeneste'!L14)</f>
        <v>0.13832098028486628</v>
      </c>
      <c r="S14" s="46">
        <f>IF('2023 Lønnsgr arbavg tjeneste'!M14=0,0,'2023 Arbavg tjeneste'!M14/'2023 Lønnsgr arbavg tjeneste'!M14)</f>
        <v>0.13425979097278051</v>
      </c>
      <c r="T14" s="46">
        <f>IF('2023 Lønnsgr arbavg tjeneste'!N14=0,0,'2023 Arbavg tjeneste'!N14/'2023 Lønnsgr arbavg tjeneste'!N14)</f>
        <v>0.13988303072625699</v>
      </c>
      <c r="U14" s="46">
        <f>IF('2023 Lønnsgr arbavg tjeneste'!O14=0,0,'2023 Arbavg tjeneste'!O14/'2023 Lønnsgr arbavg tjeneste'!O14)</f>
        <v>0</v>
      </c>
      <c r="V14" s="46">
        <f>IF('2023 Lønnsgr arbavg tjeneste'!P14=0,0,'2023 Arbavg tjeneste'!P14/'2023 Lønnsgr arbavg tjeneste'!P14)</f>
        <v>0</v>
      </c>
      <c r="W14" s="46">
        <f>IF('2023 Lønnsgr arbavg tjeneste'!Q14=0,0,'2023 Arbavg tjeneste'!Q14/'2023 Lønnsgr arbavg tjeneste'!Q14)</f>
        <v>0</v>
      </c>
      <c r="X14" s="46">
        <f>IF('2023 Lønnsgr arbavg tjeneste'!R14=0,0,'2023 Arbavg tjeneste'!R14/'2023 Lønnsgr arbavg tjeneste'!R14)</f>
        <v>0.14104074279379158</v>
      </c>
      <c r="Z14" s="46">
        <f>IF('2023 Lønnsgr pensjon tjeneste'!D14=0,0,'2023 Pensjon tjeneste'!D14/'2023 Lønnsgr pensjon tjeneste'!D14)</f>
        <v>0.13963547975530091</v>
      </c>
      <c r="AA14" s="46">
        <f>IF('2023 Lønnsgr pensjon tjeneste'!E14=0,0,'2023 Pensjon tjeneste'!E14/'2023 Lønnsgr pensjon tjeneste'!E14)</f>
        <v>0.41447534023594168</v>
      </c>
      <c r="AB14" s="46">
        <f>IF('2023 Lønnsgr pensjon tjeneste'!F14=0,0,'2023 Pensjon tjeneste'!F14/'2023 Lønnsgr pensjon tjeneste'!F14)</f>
        <v>0.1847313419032646</v>
      </c>
      <c r="AC14" s="46">
        <f>IF('2023 Lønnsgr pensjon tjeneste'!G14=0,0,'2023 Pensjon tjeneste'!G14/'2023 Lønnsgr pensjon tjeneste'!G14)</f>
        <v>0.14864864864864866</v>
      </c>
      <c r="AD14" s="46">
        <f>IF('2023 Lønnsgr pensjon tjeneste'!H14=0,0,'2023 Pensjon tjeneste'!H14/'2023 Lønnsgr pensjon tjeneste'!H14)</f>
        <v>0.17474974003031934</v>
      </c>
      <c r="AE14" s="46">
        <f>IF('2023 Lønnsgr pensjon tjeneste'!I14=0,0,'2023 Pensjon tjeneste'!I14/'2023 Lønnsgr pensjon tjeneste'!I14)</f>
        <v>0.19799329276205699</v>
      </c>
      <c r="AF14" s="46">
        <f>IF('2023 Lønnsgr pensjon tjeneste'!J14=0,0,'2023 Pensjon tjeneste'!J14/'2023 Lønnsgr pensjon tjeneste'!J14)</f>
        <v>0</v>
      </c>
      <c r="AG14" s="46">
        <f>IF('2023 Lønnsgr pensjon tjeneste'!K14=0,0,'2023 Pensjon tjeneste'!K14/'2023 Lønnsgr pensjon tjeneste'!K14)</f>
        <v>0.19661228361642916</v>
      </c>
      <c r="AH14" s="46">
        <f>IF('2023 Lønnsgr pensjon tjeneste'!L14=0,0,'2023 Pensjon tjeneste'!L14/'2023 Lønnsgr pensjon tjeneste'!L14)</f>
        <v>0.2760114725086959</v>
      </c>
      <c r="AI14" s="46">
        <f>IF('2023 Lønnsgr pensjon tjeneste'!M14=0,0,'2023 Pensjon tjeneste'!M14/'2023 Lønnsgr pensjon tjeneste'!M14)</f>
        <v>0.16868561457669207</v>
      </c>
      <c r="AJ14" s="46">
        <f>IF('2023 Lønnsgr pensjon tjeneste'!N14=0,0,'2023 Pensjon tjeneste'!N14/'2023 Lønnsgr pensjon tjeneste'!N14)</f>
        <v>0.16198397403387768</v>
      </c>
      <c r="AK14" s="46">
        <f>IF('2023 Lønnsgr pensjon tjeneste'!O14=0,0,'2023 Pensjon tjeneste'!O14/'2023 Lønnsgr pensjon tjeneste'!O14)</f>
        <v>0</v>
      </c>
      <c r="AL14" s="46">
        <f>IF('2023 Lønnsgr pensjon tjeneste'!P14=0,0,'2023 Pensjon tjeneste'!P14/'2023 Lønnsgr pensjon tjeneste'!P14)</f>
        <v>0</v>
      </c>
      <c r="AM14" s="46">
        <f>IF('2023 Lønnsgr pensjon tjeneste'!Q14=0,0,'2023 Pensjon tjeneste'!Q14/'2023 Lønnsgr pensjon tjeneste'!Q14)</f>
        <v>0</v>
      </c>
    </row>
    <row r="15" spans="1:39" x14ac:dyDescent="0.3">
      <c r="A15" s="43">
        <v>5400</v>
      </c>
      <c r="B15" s="44" t="s">
        <v>346</v>
      </c>
      <c r="C15" s="1">
        <v>86204.00254377001</v>
      </c>
      <c r="D15" s="3">
        <v>1.1042840912589909</v>
      </c>
      <c r="E15" s="3">
        <v>2.0698277004132728</v>
      </c>
      <c r="F15" s="3">
        <v>1.6506558229265536</v>
      </c>
      <c r="G15" s="3">
        <v>3.2174219622421876</v>
      </c>
      <c r="H15" s="3">
        <v>1.2198806295668334</v>
      </c>
      <c r="I15" s="3"/>
      <c r="J15" s="46">
        <f>IF('2023 Lønnsgr arbavg tjeneste'!D15=0,0,'2023 Arbavg tjeneste'!D15/'2023 Lønnsgr arbavg tjeneste'!D15)</f>
        <v>4.2566181608219261E-2</v>
      </c>
      <c r="K15" s="46">
        <f>IF('2023 Lønnsgr arbavg tjeneste'!E15=0,0,'2023 Arbavg tjeneste'!E15/'2023 Lønnsgr arbavg tjeneste'!E15)</f>
        <v>4.6413663692413738E-2</v>
      </c>
      <c r="L15" s="46">
        <f>IF('2023 Lønnsgr arbavg tjeneste'!F15=0,0,'2023 Arbavg tjeneste'!F15/'2023 Lønnsgr arbavg tjeneste'!F15)</f>
        <v>5.6065721359441816E-2</v>
      </c>
      <c r="M15" s="46">
        <f>IF('2023 Lønnsgr arbavg tjeneste'!G15=0,0,'2023 Arbavg tjeneste'!G15/'2023 Lønnsgr arbavg tjeneste'!G15)</f>
        <v>5.0161812297734629E-2</v>
      </c>
      <c r="N15" s="46">
        <f>IF('2023 Lønnsgr arbavg tjeneste'!H15=0,0,'2023 Arbavg tjeneste'!H15/'2023 Lønnsgr arbavg tjeneste'!H15)</f>
        <v>3.7948336474534813E-2</v>
      </c>
      <c r="O15" s="46">
        <f>IF('2023 Lønnsgr arbavg tjeneste'!I15=0,0,'2023 Arbavg tjeneste'!I15/'2023 Lønnsgr arbavg tjeneste'!I15)</f>
        <v>5.3716014659507372E-2</v>
      </c>
      <c r="P15" s="46">
        <f>IF('2023 Lønnsgr arbavg tjeneste'!J15=0,0,'2023 Arbavg tjeneste'!J15/'2023 Lønnsgr arbavg tjeneste'!J15)</f>
        <v>0</v>
      </c>
      <c r="Q15" s="46">
        <f>IF('2023 Lønnsgr arbavg tjeneste'!K15=0,0,'2023 Arbavg tjeneste'!K15/'2023 Lønnsgr arbavg tjeneste'!K15)</f>
        <v>5.4204946996466434E-2</v>
      </c>
      <c r="R15" s="46">
        <f>IF('2023 Lønnsgr arbavg tjeneste'!L15=0,0,'2023 Arbavg tjeneste'!L15/'2023 Lønnsgr arbavg tjeneste'!L15)</f>
        <v>5.1906550155268287E-2</v>
      </c>
      <c r="S15" s="46">
        <f>IF('2023 Lønnsgr arbavg tjeneste'!M15=0,0,'2023 Arbavg tjeneste'!M15/'2023 Lønnsgr arbavg tjeneste'!M15)</f>
        <v>4.5777050075044345E-2</v>
      </c>
      <c r="T15" s="46">
        <f>IF('2023 Lønnsgr arbavg tjeneste'!N15=0,0,'2023 Arbavg tjeneste'!N15/'2023 Lønnsgr arbavg tjeneste'!N15)</f>
        <v>3.4380420119483522E-2</v>
      </c>
      <c r="U15" s="46">
        <f>IF('2023 Lønnsgr arbavg tjeneste'!O15=0,0,'2023 Arbavg tjeneste'!O15/'2023 Lønnsgr arbavg tjeneste'!O15)</f>
        <v>0</v>
      </c>
      <c r="V15" s="46">
        <f>IF('2023 Lønnsgr arbavg tjeneste'!P15=0,0,'2023 Arbavg tjeneste'!P15/'2023 Lønnsgr arbavg tjeneste'!P15)</f>
        <v>8.0651578109804611E-2</v>
      </c>
      <c r="W15" s="46">
        <f>IF('2023 Lønnsgr arbavg tjeneste'!Q15=0,0,'2023 Arbavg tjeneste'!Q15/'2023 Lønnsgr arbavg tjeneste'!Q15)</f>
        <v>0</v>
      </c>
      <c r="X15" s="46">
        <f>IF('2023 Lønnsgr arbavg tjeneste'!R15=0,0,'2023 Arbavg tjeneste'!R15/'2023 Lønnsgr arbavg tjeneste'!R15)</f>
        <v>4.2484605045168954E-2</v>
      </c>
      <c r="Z15" s="46">
        <f>IF('2023 Lønnsgr pensjon tjeneste'!D15=0,0,'2023 Pensjon tjeneste'!D15/'2023 Lønnsgr pensjon tjeneste'!D15)</f>
        <v>0.23317769729309654</v>
      </c>
      <c r="AA15" s="46">
        <f>IF('2023 Lønnsgr pensjon tjeneste'!E15=0,0,'2023 Pensjon tjeneste'!E15/'2023 Lønnsgr pensjon tjeneste'!E15)</f>
        <v>0.27233600233876337</v>
      </c>
      <c r="AB15" s="46">
        <f>IF('2023 Lønnsgr pensjon tjeneste'!F15=0,0,'2023 Pensjon tjeneste'!F15/'2023 Lønnsgr pensjon tjeneste'!F15)</f>
        <v>0.21085765677377155</v>
      </c>
      <c r="AC15" s="46">
        <f>IF('2023 Lønnsgr pensjon tjeneste'!G15=0,0,'2023 Pensjon tjeneste'!G15/'2023 Lønnsgr pensjon tjeneste'!G15)</f>
        <v>0.21653543307086615</v>
      </c>
      <c r="AD15" s="46">
        <f>IF('2023 Lønnsgr pensjon tjeneste'!H15=0,0,'2023 Pensjon tjeneste'!H15/'2023 Lønnsgr pensjon tjeneste'!H15)</f>
        <v>0.2234658382375462</v>
      </c>
      <c r="AE15" s="46">
        <f>IF('2023 Lønnsgr pensjon tjeneste'!I15=0,0,'2023 Pensjon tjeneste'!I15/'2023 Lønnsgr pensjon tjeneste'!I15)</f>
        <v>0.21262962069797087</v>
      </c>
      <c r="AF15" s="46">
        <f>IF('2023 Lønnsgr pensjon tjeneste'!J15=0,0,'2023 Pensjon tjeneste'!J15/'2023 Lønnsgr pensjon tjeneste'!J15)</f>
        <v>0</v>
      </c>
      <c r="AG15" s="46">
        <f>IF('2023 Lønnsgr pensjon tjeneste'!K15=0,0,'2023 Pensjon tjeneste'!K15/'2023 Lønnsgr pensjon tjeneste'!K15)</f>
        <v>0.18249403277040971</v>
      </c>
      <c r="AH15" s="46">
        <f>IF('2023 Lønnsgr pensjon tjeneste'!L15=0,0,'2023 Pensjon tjeneste'!L15/'2023 Lønnsgr pensjon tjeneste'!L15)</f>
        <v>0.46160790863539924</v>
      </c>
      <c r="AI15" s="46">
        <f>IF('2023 Lønnsgr pensjon tjeneste'!M15=0,0,'2023 Pensjon tjeneste'!M15/'2023 Lønnsgr pensjon tjeneste'!M15)</f>
        <v>0.22007657732645247</v>
      </c>
      <c r="AJ15" s="46">
        <f>IF('2023 Lønnsgr pensjon tjeneste'!N15=0,0,'2023 Pensjon tjeneste'!N15/'2023 Lønnsgr pensjon tjeneste'!N15)</f>
        <v>0.21653303324424439</v>
      </c>
      <c r="AK15" s="46">
        <f>IF('2023 Lønnsgr pensjon tjeneste'!O15=0,0,'2023 Pensjon tjeneste'!O15/'2023 Lønnsgr pensjon tjeneste'!O15)</f>
        <v>0</v>
      </c>
      <c r="AL15" s="46">
        <f>IF('2023 Lønnsgr pensjon tjeneste'!P15=0,0,'2023 Pensjon tjeneste'!P15/'2023 Lønnsgr pensjon tjeneste'!P15)</f>
        <v>0.23600601010790875</v>
      </c>
      <c r="AM15" s="46">
        <f>IF('2023 Lønnsgr pensjon tjeneste'!Q15=0,0,'2023 Pensjon tjeneste'!Q15/'2023 Lønnsgr pensjon tjeneste'!Q15)</f>
        <v>0</v>
      </c>
    </row>
    <row r="16" spans="1:39" x14ac:dyDescent="0.3">
      <c r="C16" s="4"/>
      <c r="D16" s="4"/>
      <c r="E16" s="4"/>
      <c r="F16" s="4"/>
      <c r="G16" s="4"/>
      <c r="H16" s="4"/>
      <c r="I16" s="4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2:39" x14ac:dyDescent="0.3">
      <c r="B17" s="1" t="s">
        <v>3</v>
      </c>
      <c r="C17" s="1">
        <f>SUM(C5:C15)</f>
        <v>1.9994331523776054E-8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/>
      <c r="J17" s="46">
        <f>IF('2023 Lønnsgr arbavg tjeneste'!D17=0,0,'2023 Arbavg tjeneste'!D17/'2023 Lønnsgr arbavg tjeneste'!D17)</f>
        <v>0.12798421692998074</v>
      </c>
      <c r="K17" s="46">
        <f>IF('2023 Lønnsgr arbavg tjeneste'!E17=0,0,'2023 Arbavg tjeneste'!E17/'2023 Lønnsgr arbavg tjeneste'!E17)</f>
        <v>0.20156309064243527</v>
      </c>
      <c r="L17" s="46">
        <f>IF('2023 Lønnsgr arbavg tjeneste'!F17=0,0,'2023 Arbavg tjeneste'!F17/'2023 Lønnsgr arbavg tjeneste'!F17)</f>
        <v>0.12933453318574087</v>
      </c>
      <c r="M17" s="46">
        <f>IF('2023 Lønnsgr arbavg tjeneste'!G17=0,0,'2023 Arbavg tjeneste'!G17/'2023 Lønnsgr arbavg tjeneste'!G17)</f>
        <v>0.13587566095177056</v>
      </c>
      <c r="N17" s="46">
        <f>IF('2023 Lønnsgr arbavg tjeneste'!H17=0,0,'2023 Arbavg tjeneste'!H17/'2023 Lønnsgr arbavg tjeneste'!H17)</f>
        <v>0.11922223877201524</v>
      </c>
      <c r="O17" s="46">
        <f>IF('2023 Lønnsgr arbavg tjeneste'!I17=0,0,'2023 Arbavg tjeneste'!I17/'2023 Lønnsgr arbavg tjeneste'!I17)</f>
        <v>0.11071971281816806</v>
      </c>
      <c r="P17" s="46">
        <f>IF('2023 Lønnsgr arbavg tjeneste'!J17=0,0,'2023 Arbavg tjeneste'!J17/'2023 Lønnsgr arbavg tjeneste'!J17)</f>
        <v>0</v>
      </c>
      <c r="Q17" s="46">
        <f>IF('2023 Lønnsgr arbavg tjeneste'!K17=0,0,'2023 Arbavg tjeneste'!K17/'2023 Lønnsgr arbavg tjeneste'!K17)</f>
        <v>0.10460609966666257</v>
      </c>
      <c r="R17" s="46">
        <f>IF('2023 Lønnsgr arbavg tjeneste'!L17=0,0,'2023 Arbavg tjeneste'!L17/'2023 Lønnsgr arbavg tjeneste'!L17)</f>
        <v>0.12785345643038293</v>
      </c>
      <c r="S17" s="46">
        <f>IF('2023 Lønnsgr arbavg tjeneste'!M17=0,0,'2023 Arbavg tjeneste'!M17/'2023 Lønnsgr arbavg tjeneste'!M17)</f>
        <v>0.12270953185108366</v>
      </c>
      <c r="T17" s="46">
        <f>IF('2023 Lønnsgr arbavg tjeneste'!N17=0,0,'2023 Arbavg tjeneste'!N17/'2023 Lønnsgr arbavg tjeneste'!N17)</f>
        <v>0.11685147012620786</v>
      </c>
      <c r="U17" s="46">
        <f>IF('2023 Lønnsgr arbavg tjeneste'!O17=0,0,'2023 Arbavg tjeneste'!O17/'2023 Lønnsgr arbavg tjeneste'!O17)</f>
        <v>0.14390452621597244</v>
      </c>
      <c r="V17" s="46">
        <f>IF('2023 Lønnsgr arbavg tjeneste'!P17=0,0,'2023 Arbavg tjeneste'!P17/'2023 Lønnsgr arbavg tjeneste'!P17)</f>
        <v>0.1028162781734873</v>
      </c>
      <c r="W17" s="46">
        <f>IF('2023 Lønnsgr arbavg tjeneste'!Q17=0,0,'2023 Arbavg tjeneste'!Q17/'2023 Lønnsgr arbavg tjeneste'!Q17)</f>
        <v>0</v>
      </c>
      <c r="X17" s="46">
        <f>IF('2023 Lønnsgr arbavg tjeneste'!R17=0,0,'2023 Arbavg tjeneste'!R17/'2023 Lønnsgr arbavg tjeneste'!R17)</f>
        <v>0.11376520959678545</v>
      </c>
      <c r="Z17" s="46">
        <f>IF('2023 Lønnsgr pensjon tjeneste'!D17=0,0,'2023 Pensjon tjeneste'!D17/'2023 Lønnsgr pensjon tjeneste'!D17)</f>
        <v>0.15047651162618864</v>
      </c>
      <c r="AA17" s="46">
        <f>IF('2023 Lønnsgr pensjon tjeneste'!E17=0,0,'2023 Pensjon tjeneste'!E17/'2023 Lønnsgr pensjon tjeneste'!E17)</f>
        <v>0.3773115845539281</v>
      </c>
      <c r="AB17" s="46">
        <f>IF('2023 Lønnsgr pensjon tjeneste'!F17=0,0,'2023 Pensjon tjeneste'!F17/'2023 Lønnsgr pensjon tjeneste'!F17)</f>
        <v>0.24102863129181779</v>
      </c>
      <c r="AC17" s="46">
        <f>IF('2023 Lønnsgr pensjon tjeneste'!G17=0,0,'2023 Pensjon tjeneste'!G17/'2023 Lønnsgr pensjon tjeneste'!G17)</f>
        <v>0.19040579848362024</v>
      </c>
      <c r="AD17" s="46">
        <f>IF('2023 Lønnsgr pensjon tjeneste'!H17=0,0,'2023 Pensjon tjeneste'!H17/'2023 Lønnsgr pensjon tjeneste'!H17)</f>
        <v>0.24147857298268</v>
      </c>
      <c r="AE17" s="46">
        <f>IF('2023 Lønnsgr pensjon tjeneste'!I17=0,0,'2023 Pensjon tjeneste'!I17/'2023 Lønnsgr pensjon tjeneste'!I17)</f>
        <v>0.36833408105948467</v>
      </c>
      <c r="AF17" s="46">
        <f>IF('2023 Lønnsgr pensjon tjeneste'!J17=0,0,'2023 Pensjon tjeneste'!J17/'2023 Lønnsgr pensjon tjeneste'!J17)</f>
        <v>0</v>
      </c>
      <c r="AG17" s="46">
        <f>IF('2023 Lønnsgr pensjon tjeneste'!K17=0,0,'2023 Pensjon tjeneste'!K17/'2023 Lønnsgr pensjon tjeneste'!K17)</f>
        <v>0.42135799182916334</v>
      </c>
      <c r="AH17" s="46">
        <f>IF('2023 Lønnsgr pensjon tjeneste'!L17=0,0,'2023 Pensjon tjeneste'!L17/'2023 Lønnsgr pensjon tjeneste'!L17)</f>
        <v>0.32286927657912723</v>
      </c>
      <c r="AI17" s="46">
        <f>IF('2023 Lønnsgr pensjon tjeneste'!M17=0,0,'2023 Pensjon tjeneste'!M17/'2023 Lønnsgr pensjon tjeneste'!M17)</f>
        <v>0.22828187197417968</v>
      </c>
      <c r="AJ17" s="46">
        <f>IF('2023 Lønnsgr pensjon tjeneste'!N17=0,0,'2023 Pensjon tjeneste'!N17/'2023 Lønnsgr pensjon tjeneste'!N17)</f>
        <v>0.19820955820466127</v>
      </c>
      <c r="AK17" s="46">
        <f>IF('2023 Lønnsgr pensjon tjeneste'!O17=0,0,'2023 Pensjon tjeneste'!O17/'2023 Lønnsgr pensjon tjeneste'!O17)</f>
        <v>0.11243471325288805</v>
      </c>
      <c r="AL17" s="46">
        <f>IF('2023 Lønnsgr pensjon tjeneste'!P17=0,0,'2023 Pensjon tjeneste'!P17/'2023 Lønnsgr pensjon tjeneste'!P17)</f>
        <v>0.28387120420767131</v>
      </c>
      <c r="AM17" s="46">
        <f>IF('2023 Lønnsgr pensjon tjeneste'!Q17=0,0,'2023 Pensjon tjeneste'!Q17/'2023 Lønnsgr pensjon tjeneste'!Q17)</f>
        <v>0</v>
      </c>
    </row>
    <row r="18" spans="2:39" x14ac:dyDescent="0.3"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2:39" x14ac:dyDescent="0.3"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2:39" x14ac:dyDescent="0.3"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2:39" x14ac:dyDescent="0.3"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</sheetData>
  <sheetProtection algorithmName="SHA-512" hashValue="/L+tQUNgtwqBwbbk7jwhSelSeE9cbVTuLOZevrxHghwTW5rkcQXarH1yj0uoCAx5rR2+7HzOqZTrkZeHGLPmeg==" saltValue="eVHujyWEdgHRn9XpZT20xg==" spinCount="100000" sheet="1" selectLockedCells="1" selectUnlockedCells="1"/>
  <mergeCells count="3">
    <mergeCell ref="D1:H1"/>
    <mergeCell ref="J1:X1"/>
    <mergeCell ref="Z1:AM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24">
    <tabColor rgb="FF92D050"/>
  </sheetPr>
  <dimension ref="A1:Y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18" width="13.109375" customWidth="1"/>
    <col min="19" max="19" width="7.109375" customWidth="1"/>
    <col min="20" max="21" width="13.109375" customWidth="1"/>
    <col min="24" max="24" width="14" customWidth="1"/>
    <col min="25" max="25" width="14.109375" customWidth="1"/>
  </cols>
  <sheetData>
    <row r="1" spans="1:25" x14ac:dyDescent="0.3">
      <c r="D1" s="5"/>
      <c r="E1" s="5"/>
      <c r="F1" s="5"/>
      <c r="G1" s="5"/>
      <c r="H1" s="5"/>
      <c r="J1" s="5"/>
      <c r="K1" s="5"/>
      <c r="L1" s="5"/>
      <c r="M1" s="5"/>
    </row>
    <row r="2" spans="1:25" ht="104.25" customHeight="1" x14ac:dyDescent="0.3">
      <c r="A2" s="24" t="s">
        <v>2</v>
      </c>
      <c r="B2" s="24" t="s">
        <v>1</v>
      </c>
      <c r="C2" s="24" t="s">
        <v>108</v>
      </c>
      <c r="D2" s="24" t="s">
        <v>250</v>
      </c>
      <c r="E2" s="24" t="s">
        <v>251</v>
      </c>
      <c r="F2" s="24" t="s">
        <v>402</v>
      </c>
      <c r="G2" s="24" t="s">
        <v>403</v>
      </c>
      <c r="H2" s="24" t="s">
        <v>252</v>
      </c>
      <c r="I2" s="13" t="s">
        <v>253</v>
      </c>
      <c r="J2" s="24" t="s">
        <v>254</v>
      </c>
      <c r="K2" s="24" t="s">
        <v>255</v>
      </c>
      <c r="L2" s="24" t="s">
        <v>256</v>
      </c>
      <c r="M2" s="24" t="s">
        <v>257</v>
      </c>
      <c r="N2" s="24" t="s">
        <v>258</v>
      </c>
      <c r="O2" s="24" t="s">
        <v>259</v>
      </c>
      <c r="P2" s="24" t="s">
        <v>260</v>
      </c>
      <c r="Q2" s="24" t="s">
        <v>261</v>
      </c>
      <c r="R2" s="24" t="s">
        <v>107</v>
      </c>
      <c r="S2" s="24"/>
      <c r="T2" s="24" t="s">
        <v>350</v>
      </c>
      <c r="U2" s="24" t="s">
        <v>349</v>
      </c>
      <c r="V2" s="24"/>
      <c r="W2" s="24"/>
      <c r="X2" s="24"/>
      <c r="Y2" s="24"/>
    </row>
    <row r="3" spans="1:25" x14ac:dyDescent="0.3">
      <c r="A3" s="107">
        <v>1</v>
      </c>
      <c r="B3" s="107">
        <f>+A3+1</f>
        <v>2</v>
      </c>
      <c r="C3" s="107">
        <f t="shared" ref="C3:Y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>H3+1</f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</row>
    <row r="4" spans="1:25" x14ac:dyDescent="0.3">
      <c r="C4" s="5"/>
      <c r="I4" s="21"/>
    </row>
    <row r="5" spans="1:25" x14ac:dyDescent="0.3">
      <c r="A5" s="43">
        <v>300</v>
      </c>
      <c r="B5" s="44" t="s">
        <v>0</v>
      </c>
      <c r="C5" s="1">
        <f t="shared" ref="C5:C15" si="1">SUM(D5:I5)+R5</f>
        <v>9224921.8520716522</v>
      </c>
      <c r="D5" s="1">
        <v>4877635</v>
      </c>
      <c r="E5" s="1">
        <v>-181</v>
      </c>
      <c r="F5" s="114">
        <v>4132197</v>
      </c>
      <c r="G5" s="114">
        <v>0</v>
      </c>
      <c r="H5" s="1">
        <v>353153</v>
      </c>
      <c r="I5" s="11">
        <f t="shared" ref="I5:I15" si="2">SUM(J5:Q5)</f>
        <v>268073</v>
      </c>
      <c r="J5" s="1"/>
      <c r="K5" s="1">
        <v>174557</v>
      </c>
      <c r="L5" s="1">
        <v>0</v>
      </c>
      <c r="M5" s="1">
        <v>47502</v>
      </c>
      <c r="N5" s="1">
        <v>46014</v>
      </c>
      <c r="O5" s="1">
        <v>0</v>
      </c>
      <c r="P5" s="1">
        <v>0</v>
      </c>
      <c r="Q5" s="1"/>
      <c r="R5" s="112">
        <v>-405955.14792834799</v>
      </c>
      <c r="S5" s="1"/>
      <c r="T5" s="1">
        <f>+'2023 Nto driftsutg'!V5</f>
        <v>711918</v>
      </c>
      <c r="U5" s="1">
        <f>+'2023 Nto driftsutg'!W5</f>
        <v>711918</v>
      </c>
      <c r="W5" s="5"/>
      <c r="X5" s="1"/>
      <c r="Y5" s="1"/>
    </row>
    <row r="6" spans="1:25" x14ac:dyDescent="0.3">
      <c r="A6" s="43">
        <v>1100</v>
      </c>
      <c r="B6" s="44" t="s">
        <v>141</v>
      </c>
      <c r="C6" s="1">
        <f t="shared" si="1"/>
        <v>9598673</v>
      </c>
      <c r="D6" s="1">
        <v>4569769</v>
      </c>
      <c r="E6" s="1">
        <v>1297280</v>
      </c>
      <c r="F6" s="1">
        <v>1395124</v>
      </c>
      <c r="G6" s="1">
        <v>321797</v>
      </c>
      <c r="H6" s="1">
        <v>497168</v>
      </c>
      <c r="I6" s="11">
        <f t="shared" si="2"/>
        <v>1790251</v>
      </c>
      <c r="J6" s="1"/>
      <c r="K6" s="1">
        <v>392857</v>
      </c>
      <c r="L6" s="1">
        <v>141999</v>
      </c>
      <c r="M6" s="1">
        <v>279721</v>
      </c>
      <c r="N6" s="1">
        <v>428275</v>
      </c>
      <c r="O6" s="1">
        <v>0</v>
      </c>
      <c r="P6" s="1">
        <v>547399</v>
      </c>
      <c r="Q6" s="1"/>
      <c r="R6" s="1">
        <v>-272716</v>
      </c>
      <c r="S6" s="1"/>
      <c r="T6" s="1">
        <f>+'2023 Nto driftsutg'!V6</f>
        <v>495545</v>
      </c>
      <c r="U6" s="1">
        <f>+'2023 Nto driftsutg'!W6</f>
        <v>495545</v>
      </c>
      <c r="X6" s="1"/>
      <c r="Y6" s="1"/>
    </row>
    <row r="7" spans="1:25" x14ac:dyDescent="0.3">
      <c r="A7" s="43">
        <v>1500</v>
      </c>
      <c r="B7" s="44" t="s">
        <v>142</v>
      </c>
      <c r="C7" s="1">
        <f t="shared" si="1"/>
        <v>7087442</v>
      </c>
      <c r="D7" s="1">
        <v>2445108</v>
      </c>
      <c r="E7" s="1">
        <v>1398791</v>
      </c>
      <c r="F7" s="1">
        <v>1138716</v>
      </c>
      <c r="G7" s="1">
        <v>1103700</v>
      </c>
      <c r="H7" s="1">
        <v>239585</v>
      </c>
      <c r="I7" s="11">
        <f t="shared" si="2"/>
        <v>943952</v>
      </c>
      <c r="J7" s="1"/>
      <c r="K7" s="1">
        <v>318376</v>
      </c>
      <c r="L7" s="1">
        <v>136466</v>
      </c>
      <c r="M7" s="1">
        <v>225081</v>
      </c>
      <c r="N7" s="1">
        <v>261699</v>
      </c>
      <c r="O7" s="1">
        <v>0</v>
      </c>
      <c r="P7" s="1">
        <v>2330</v>
      </c>
      <c r="Q7" s="1"/>
      <c r="R7" s="1">
        <v>-182410</v>
      </c>
      <c r="S7" s="1"/>
      <c r="T7" s="1">
        <f>+'2023 Nto driftsutg'!V7</f>
        <v>269164</v>
      </c>
      <c r="U7" s="1">
        <f>+'2023 Nto driftsutg'!W7</f>
        <v>269164</v>
      </c>
      <c r="X7" s="1"/>
      <c r="Y7" s="1"/>
    </row>
    <row r="8" spans="1:25" x14ac:dyDescent="0.3">
      <c r="A8" s="43">
        <v>1800</v>
      </c>
      <c r="B8" s="44" t="s">
        <v>143</v>
      </c>
      <c r="C8" s="1">
        <f t="shared" si="1"/>
        <v>7677463</v>
      </c>
      <c r="D8" s="1">
        <v>2648586</v>
      </c>
      <c r="E8" s="1">
        <v>1203877</v>
      </c>
      <c r="F8" s="1">
        <v>1358536</v>
      </c>
      <c r="G8" s="1">
        <v>975388</v>
      </c>
      <c r="H8" s="1">
        <v>349407</v>
      </c>
      <c r="I8" s="11">
        <f t="shared" si="2"/>
        <v>1342531</v>
      </c>
      <c r="J8" s="1"/>
      <c r="K8" s="1">
        <v>416853</v>
      </c>
      <c r="L8" s="1">
        <v>169228</v>
      </c>
      <c r="M8" s="1">
        <v>405009</v>
      </c>
      <c r="N8" s="1">
        <v>351065</v>
      </c>
      <c r="O8" s="1">
        <v>7</v>
      </c>
      <c r="P8" s="1">
        <v>369</v>
      </c>
      <c r="Q8" s="1"/>
      <c r="R8" s="1">
        <v>-200862</v>
      </c>
      <c r="S8" s="1"/>
      <c r="T8" s="1">
        <f>+'2023 Nto driftsutg'!V8</f>
        <v>241960</v>
      </c>
      <c r="U8" s="1">
        <f>+'2023 Nto driftsutg'!W8</f>
        <v>241960</v>
      </c>
      <c r="X8" s="1"/>
      <c r="Y8" s="1"/>
    </row>
    <row r="9" spans="1:25" x14ac:dyDescent="0.3">
      <c r="A9" s="43">
        <v>3000</v>
      </c>
      <c r="B9" s="44" t="s">
        <v>341</v>
      </c>
      <c r="C9" s="1">
        <f t="shared" si="1"/>
        <v>20223759</v>
      </c>
      <c r="D9" s="1">
        <v>10647464</v>
      </c>
      <c r="E9" s="1">
        <v>2339394</v>
      </c>
      <c r="F9" s="1">
        <v>4000001</v>
      </c>
      <c r="G9" s="1">
        <v>0</v>
      </c>
      <c r="H9" s="1">
        <v>651488</v>
      </c>
      <c r="I9" s="11">
        <f t="shared" si="2"/>
        <v>3194972</v>
      </c>
      <c r="J9" s="1"/>
      <c r="K9" s="1">
        <v>1659075</v>
      </c>
      <c r="L9" s="1">
        <v>409549</v>
      </c>
      <c r="M9" s="1">
        <v>215370</v>
      </c>
      <c r="N9" s="1">
        <v>825912</v>
      </c>
      <c r="O9" s="1">
        <v>81954</v>
      </c>
      <c r="P9" s="1">
        <v>3112</v>
      </c>
      <c r="Q9" s="1"/>
      <c r="R9" s="1">
        <v>-609560</v>
      </c>
      <c r="S9" s="1"/>
      <c r="T9" s="1">
        <f>+'2023 Nto driftsutg'!V9</f>
        <v>1300096</v>
      </c>
      <c r="U9" s="1">
        <f>+'2023 Nto driftsutg'!W9</f>
        <v>1300096</v>
      </c>
      <c r="X9" s="1"/>
      <c r="Y9" s="1"/>
    </row>
    <row r="10" spans="1:25" x14ac:dyDescent="0.3">
      <c r="A10" s="43">
        <v>3400</v>
      </c>
      <c r="B10" s="44" t="s">
        <v>342</v>
      </c>
      <c r="C10" s="1">
        <f t="shared" si="1"/>
        <v>7662148</v>
      </c>
      <c r="D10" s="1">
        <v>3504878</v>
      </c>
      <c r="E10" s="1">
        <v>1469918</v>
      </c>
      <c r="F10" s="1">
        <v>1276244</v>
      </c>
      <c r="G10" s="1">
        <v>22270</v>
      </c>
      <c r="H10" s="1">
        <v>316331</v>
      </c>
      <c r="I10" s="11">
        <f t="shared" si="2"/>
        <v>1348700</v>
      </c>
      <c r="J10" s="1"/>
      <c r="K10" s="1">
        <v>440626</v>
      </c>
      <c r="L10" s="1">
        <v>292562</v>
      </c>
      <c r="M10" s="1">
        <v>251593</v>
      </c>
      <c r="N10" s="1">
        <v>338658</v>
      </c>
      <c r="O10" s="1">
        <v>0</v>
      </c>
      <c r="P10" s="1">
        <v>25261</v>
      </c>
      <c r="Q10" s="1"/>
      <c r="R10" s="1">
        <v>-276193</v>
      </c>
      <c r="S10" s="1"/>
      <c r="T10" s="1">
        <f>+'2023 Nto driftsutg'!V10</f>
        <v>374624</v>
      </c>
      <c r="U10" s="1">
        <f>+'2023 Nto driftsutg'!W10</f>
        <v>374624</v>
      </c>
      <c r="X10" s="1"/>
      <c r="Y10" s="1"/>
    </row>
    <row r="11" spans="1:25" x14ac:dyDescent="0.3">
      <c r="A11" s="43">
        <v>3800</v>
      </c>
      <c r="B11" s="44" t="s">
        <v>343</v>
      </c>
      <c r="C11" s="1">
        <f t="shared" si="1"/>
        <v>7396453</v>
      </c>
      <c r="D11" s="1">
        <v>3786574</v>
      </c>
      <c r="E11" s="1">
        <v>1059776</v>
      </c>
      <c r="F11" s="1">
        <v>953201</v>
      </c>
      <c r="G11" s="1">
        <v>45498</v>
      </c>
      <c r="H11" s="1">
        <v>335779</v>
      </c>
      <c r="I11" s="11">
        <f t="shared" si="2"/>
        <v>1518254</v>
      </c>
      <c r="J11" s="1"/>
      <c r="K11" s="1">
        <v>476053</v>
      </c>
      <c r="L11" s="1">
        <v>368714</v>
      </c>
      <c r="M11" s="1">
        <v>284944</v>
      </c>
      <c r="N11" s="1">
        <v>382086</v>
      </c>
      <c r="O11" s="1">
        <v>3946</v>
      </c>
      <c r="P11" s="1">
        <v>2511</v>
      </c>
      <c r="Q11" s="1"/>
      <c r="R11" s="1">
        <v>-302629</v>
      </c>
      <c r="S11" s="1"/>
      <c r="T11" s="1">
        <f>+'2023 Nto driftsutg'!V11</f>
        <v>431103</v>
      </c>
      <c r="U11" s="1">
        <f>+'2023 Nto driftsutg'!W11</f>
        <v>431103</v>
      </c>
      <c r="X11" s="1"/>
      <c r="Y11" s="1"/>
    </row>
    <row r="12" spans="1:25" x14ac:dyDescent="0.3">
      <c r="A12" s="43">
        <v>4200</v>
      </c>
      <c r="B12" s="44" t="s">
        <v>344</v>
      </c>
      <c r="C12" s="1">
        <f t="shared" si="1"/>
        <v>6175369</v>
      </c>
      <c r="D12" s="1">
        <v>3166317</v>
      </c>
      <c r="E12" s="1">
        <v>1184243</v>
      </c>
      <c r="F12" s="1">
        <v>653254</v>
      </c>
      <c r="G12" s="1">
        <v>56654</v>
      </c>
      <c r="H12" s="1">
        <v>245891</v>
      </c>
      <c r="I12" s="11">
        <f t="shared" si="2"/>
        <v>1117658</v>
      </c>
      <c r="J12" s="1"/>
      <c r="K12" s="1">
        <v>399834</v>
      </c>
      <c r="L12" s="1">
        <v>283996</v>
      </c>
      <c r="M12" s="1">
        <v>93017</v>
      </c>
      <c r="N12" s="1">
        <v>321615</v>
      </c>
      <c r="O12" s="1">
        <v>0</v>
      </c>
      <c r="P12" s="1">
        <v>19196</v>
      </c>
      <c r="Q12" s="1"/>
      <c r="R12" s="1">
        <v>-248648</v>
      </c>
      <c r="S12" s="1"/>
      <c r="T12" s="1">
        <f>+'2023 Nto driftsutg'!V12</f>
        <v>317444</v>
      </c>
      <c r="U12" s="1">
        <f>+'2023 Nto driftsutg'!W12</f>
        <v>317444</v>
      </c>
      <c r="X12" s="1"/>
      <c r="Y12" s="1"/>
    </row>
    <row r="13" spans="1:25" x14ac:dyDescent="0.3">
      <c r="A13" s="43">
        <v>4600</v>
      </c>
      <c r="B13" s="44" t="s">
        <v>345</v>
      </c>
      <c r="C13" s="1">
        <f t="shared" si="1"/>
        <v>15839173</v>
      </c>
      <c r="D13" s="1">
        <v>5625889</v>
      </c>
      <c r="E13" s="1">
        <v>2420957</v>
      </c>
      <c r="F13" s="1">
        <v>4341724</v>
      </c>
      <c r="G13" s="1">
        <v>1274770</v>
      </c>
      <c r="H13" s="1">
        <v>573037</v>
      </c>
      <c r="I13" s="11">
        <f t="shared" si="2"/>
        <v>1731797</v>
      </c>
      <c r="J13" s="1"/>
      <c r="K13" s="1">
        <v>648871</v>
      </c>
      <c r="L13" s="1">
        <v>290162</v>
      </c>
      <c r="M13" s="1">
        <v>392718</v>
      </c>
      <c r="N13" s="1">
        <v>399031</v>
      </c>
      <c r="O13" s="1">
        <v>0</v>
      </c>
      <c r="P13" s="1">
        <v>1015</v>
      </c>
      <c r="Q13" s="1"/>
      <c r="R13" s="1">
        <v>-129001</v>
      </c>
      <c r="S13" s="1"/>
      <c r="T13" s="1">
        <f>+'2023 Nto driftsutg'!V13</f>
        <v>648436</v>
      </c>
      <c r="U13" s="1">
        <f>+'2023 Nto driftsutg'!W13</f>
        <v>648436</v>
      </c>
      <c r="X13" s="1"/>
      <c r="Y13" s="1"/>
    </row>
    <row r="14" spans="1:25" x14ac:dyDescent="0.3">
      <c r="A14" s="43">
        <v>5000</v>
      </c>
      <c r="B14" s="44" t="s">
        <v>340</v>
      </c>
      <c r="C14" s="1">
        <f t="shared" si="1"/>
        <v>10025865</v>
      </c>
      <c r="D14" s="1">
        <v>4519920</v>
      </c>
      <c r="E14" s="1">
        <v>1696016</v>
      </c>
      <c r="F14" s="1">
        <v>1674775</v>
      </c>
      <c r="G14" s="1">
        <v>325391</v>
      </c>
      <c r="H14" s="1">
        <v>493162</v>
      </c>
      <c r="I14" s="11">
        <f t="shared" si="2"/>
        <v>1448341</v>
      </c>
      <c r="J14" s="1"/>
      <c r="K14" s="1">
        <v>458782</v>
      </c>
      <c r="L14" s="1">
        <v>229755</v>
      </c>
      <c r="M14" s="1">
        <v>253279</v>
      </c>
      <c r="N14" s="1">
        <v>506523</v>
      </c>
      <c r="O14" s="1">
        <v>0</v>
      </c>
      <c r="P14" s="1">
        <v>2</v>
      </c>
      <c r="Q14" s="1"/>
      <c r="R14" s="1">
        <v>-131740</v>
      </c>
      <c r="S14" s="1"/>
      <c r="T14" s="1">
        <f>+'2023 Nto driftsutg'!V14</f>
        <v>480437</v>
      </c>
      <c r="U14" s="1">
        <f>+'2023 Nto driftsutg'!W14</f>
        <v>480437</v>
      </c>
      <c r="X14" s="1"/>
      <c r="Y14" s="1"/>
    </row>
    <row r="15" spans="1:25" x14ac:dyDescent="0.3">
      <c r="A15" s="43">
        <v>5400</v>
      </c>
      <c r="B15" s="44" t="s">
        <v>346</v>
      </c>
      <c r="C15" s="1">
        <f t="shared" si="1"/>
        <v>7949321</v>
      </c>
      <c r="D15" s="1">
        <v>2653625</v>
      </c>
      <c r="E15" s="1">
        <v>1295036</v>
      </c>
      <c r="F15" s="1">
        <v>1638233</v>
      </c>
      <c r="G15" s="1">
        <v>581560</v>
      </c>
      <c r="H15" s="1">
        <v>433581</v>
      </c>
      <c r="I15" s="11">
        <f t="shared" si="2"/>
        <v>1614006</v>
      </c>
      <c r="J15" s="1"/>
      <c r="K15" s="1">
        <v>426837</v>
      </c>
      <c r="L15" s="1">
        <v>266240</v>
      </c>
      <c r="M15" s="1">
        <v>348655</v>
      </c>
      <c r="N15" s="1">
        <v>337861</v>
      </c>
      <c r="O15" s="1">
        <v>0</v>
      </c>
      <c r="P15" s="1">
        <v>234413</v>
      </c>
      <c r="Q15" s="1"/>
      <c r="R15" s="1">
        <v>-266720</v>
      </c>
      <c r="S15" s="1"/>
      <c r="T15" s="1">
        <f>+'2023 Nto driftsutg'!V15</f>
        <v>243329</v>
      </c>
      <c r="U15" s="1">
        <f>+'2023 Nto driftsutg'!W15</f>
        <v>243329</v>
      </c>
      <c r="X15" s="1"/>
      <c r="Y15" s="1"/>
    </row>
    <row r="16" spans="1:25" x14ac:dyDescent="0.3"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X16" s="4"/>
      <c r="Y16" s="4"/>
    </row>
    <row r="17" spans="2:25" x14ac:dyDescent="0.3">
      <c r="B17" s="1" t="s">
        <v>3</v>
      </c>
      <c r="C17" s="1">
        <f t="shared" ref="C17:R17" si="3">SUM(C5:C15)</f>
        <v>108860587.85207164</v>
      </c>
      <c r="D17" s="1">
        <f t="shared" si="3"/>
        <v>48445765</v>
      </c>
      <c r="E17" s="1">
        <f t="shared" si="3"/>
        <v>15365107</v>
      </c>
      <c r="F17" s="1">
        <f t="shared" si="3"/>
        <v>22562005</v>
      </c>
      <c r="G17" s="1">
        <f t="shared" si="3"/>
        <v>4707028</v>
      </c>
      <c r="H17" s="1">
        <f t="shared" si="3"/>
        <v>4488582</v>
      </c>
      <c r="I17" s="11">
        <f t="shared" si="3"/>
        <v>16318535</v>
      </c>
      <c r="J17" s="1">
        <f t="shared" si="3"/>
        <v>0</v>
      </c>
      <c r="K17" s="1">
        <f t="shared" si="3"/>
        <v>5812721</v>
      </c>
      <c r="L17" s="1">
        <f t="shared" si="3"/>
        <v>2588671</v>
      </c>
      <c r="M17" s="1">
        <f t="shared" si="3"/>
        <v>2796889</v>
      </c>
      <c r="N17" s="1">
        <f t="shared" si="3"/>
        <v>4198739</v>
      </c>
      <c r="O17" s="1">
        <f t="shared" si="3"/>
        <v>85907</v>
      </c>
      <c r="P17" s="1">
        <f t="shared" si="3"/>
        <v>835608</v>
      </c>
      <c r="Q17" s="1">
        <f t="shared" si="3"/>
        <v>0</v>
      </c>
      <c r="R17" s="1">
        <f t="shared" si="3"/>
        <v>-3026434.1479283478</v>
      </c>
      <c r="S17" s="1"/>
      <c r="T17" s="1">
        <f>SUM(T5:T15)</f>
        <v>5514056</v>
      </c>
      <c r="U17" s="1">
        <f>SUM(U5:U15)</f>
        <v>5514056</v>
      </c>
      <c r="X17" s="1">
        <f>SUM(X5:X15)</f>
        <v>0</v>
      </c>
      <c r="Y17" s="1">
        <f>SUM(Y5:Y15)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25">
    <tabColor rgb="FFFFC000"/>
  </sheetPr>
  <dimension ref="A1:U18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18" width="13.109375" customWidth="1"/>
    <col min="19" max="19" width="6.44140625" customWidth="1"/>
    <col min="20" max="20" width="13.5546875" customWidth="1"/>
    <col min="21" max="21" width="13.88671875" customWidth="1"/>
  </cols>
  <sheetData>
    <row r="1" spans="1:21" x14ac:dyDescent="0.3">
      <c r="I1" s="5"/>
    </row>
    <row r="2" spans="1:21" ht="104.25" customHeight="1" x14ac:dyDescent="0.3">
      <c r="A2" s="24" t="s">
        <v>2</v>
      </c>
      <c r="B2" s="24" t="s">
        <v>1</v>
      </c>
      <c r="C2" s="24" t="s">
        <v>277</v>
      </c>
      <c r="D2" s="24" t="s">
        <v>262</v>
      </c>
      <c r="E2" s="24" t="s">
        <v>263</v>
      </c>
      <c r="F2" s="24" t="s">
        <v>404</v>
      </c>
      <c r="G2" s="24" t="s">
        <v>405</v>
      </c>
      <c r="H2" s="24" t="s">
        <v>264</v>
      </c>
      <c r="I2" s="13" t="s">
        <v>109</v>
      </c>
      <c r="J2" s="24" t="s">
        <v>110</v>
      </c>
      <c r="K2" s="24" t="s">
        <v>265</v>
      </c>
      <c r="L2" s="24" t="s">
        <v>266</v>
      </c>
      <c r="M2" s="24" t="s">
        <v>111</v>
      </c>
      <c r="N2" s="24" t="s">
        <v>267</v>
      </c>
      <c r="O2" s="24" t="s">
        <v>112</v>
      </c>
      <c r="P2" s="24" t="s">
        <v>113</v>
      </c>
      <c r="Q2" s="24" t="s">
        <v>268</v>
      </c>
      <c r="R2" s="24" t="s">
        <v>114</v>
      </c>
      <c r="S2" s="24"/>
      <c r="T2" s="24"/>
      <c r="U2" s="24"/>
    </row>
    <row r="3" spans="1:21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3">
      <c r="I4" s="21"/>
    </row>
    <row r="5" spans="1:21" x14ac:dyDescent="0.3">
      <c r="A5" s="43">
        <v>300</v>
      </c>
      <c r="B5" s="44" t="s">
        <v>0</v>
      </c>
      <c r="C5" s="1">
        <f t="shared" ref="C5:C15" si="1">SUM(D5:I5)+R5</f>
        <v>8970322.8520716522</v>
      </c>
      <c r="D5" s="1">
        <f>+'2023 Bto driftsutg'!D5-'2023 Avskrivning'!D5</f>
        <v>4632668</v>
      </c>
      <c r="E5" s="1">
        <f>+'2023 Bto driftsutg'!E5-'2023 Avskrivning'!E5</f>
        <v>-181</v>
      </c>
      <c r="F5" s="1">
        <f>+'2023 Bto driftsutg'!F5-'2023 Avskrivning'!F5</f>
        <v>4129749</v>
      </c>
      <c r="G5" s="1">
        <f>+'2023 Bto driftsutg'!G5-'2023 Avskrivning'!G5</f>
        <v>0</v>
      </c>
      <c r="H5" s="1">
        <f>+'2023 Bto driftsutg'!H5-'2023 Avskrivning'!H5</f>
        <v>348393</v>
      </c>
      <c r="I5" s="11">
        <f>+'2023 Bto driftsutg'!I5-'2023 Avskrivning'!I5</f>
        <v>265649</v>
      </c>
      <c r="J5" s="1">
        <f>+'2023 Bto driftsutg'!J5-'2023 Avskrivning'!J5</f>
        <v>0</v>
      </c>
      <c r="K5" s="1">
        <f>+'2023 Bto driftsutg'!K5-'2023 Avskrivning'!K5</f>
        <v>172133</v>
      </c>
      <c r="L5" s="1">
        <f>+'2023 Bto driftsutg'!L5-'2023 Avskrivning'!L5</f>
        <v>0</v>
      </c>
      <c r="M5" s="1">
        <f>+'2023 Bto driftsutg'!M5-'2023 Avskrivning'!M5</f>
        <v>47502</v>
      </c>
      <c r="N5" s="1">
        <f>+'2023 Bto driftsutg'!N5-'2023 Avskrivning'!N5</f>
        <v>46014</v>
      </c>
      <c r="O5" s="1">
        <f>+'2023 Bto driftsutg'!O5-'2023 Avskrivning'!O5</f>
        <v>0</v>
      </c>
      <c r="P5" s="1">
        <f>+'2023 Bto driftsutg'!P5-'2023 Avskrivning'!P5</f>
        <v>0</v>
      </c>
      <c r="Q5" s="1">
        <f>+'2023 Bto driftsutg'!Q5-'2023 Avskrivning'!Q5</f>
        <v>0</v>
      </c>
      <c r="R5" s="1">
        <f>+'2023 Bto driftsutg'!R5-'2023 Avskrivning'!R5</f>
        <v>-405955.14792834799</v>
      </c>
      <c r="S5" s="1"/>
      <c r="T5" s="1"/>
      <c r="U5" s="1"/>
    </row>
    <row r="6" spans="1:21" x14ac:dyDescent="0.3">
      <c r="A6" s="43">
        <v>1100</v>
      </c>
      <c r="B6" s="44" t="s">
        <v>141</v>
      </c>
      <c r="C6" s="1">
        <f t="shared" si="1"/>
        <v>8887960</v>
      </c>
      <c r="D6" s="1">
        <f>+'2023 Bto driftsutg'!D6-'2023 Avskrivning'!D6</f>
        <v>4334005</v>
      </c>
      <c r="E6" s="1">
        <f>+'2023 Bto driftsutg'!E6-'2023 Avskrivning'!E6</f>
        <v>877993</v>
      </c>
      <c r="F6" s="1">
        <f>+'2023 Bto driftsutg'!F6-'2023 Avskrivning'!F6</f>
        <v>1395124</v>
      </c>
      <c r="G6" s="1">
        <f>+'2023 Bto driftsutg'!G6-'2023 Avskrivning'!G6</f>
        <v>321797</v>
      </c>
      <c r="H6" s="1">
        <f>+'2023 Bto driftsutg'!H6-'2023 Avskrivning'!H6</f>
        <v>475598</v>
      </c>
      <c r="I6" s="11">
        <f>+'2023 Bto driftsutg'!I6-'2023 Avskrivning'!I6</f>
        <v>1756159</v>
      </c>
      <c r="J6" s="1">
        <f>+'2023 Bto driftsutg'!J6-'2023 Avskrivning'!J6</f>
        <v>0</v>
      </c>
      <c r="K6" s="1">
        <f>+'2023 Bto driftsutg'!K6-'2023 Avskrivning'!K6</f>
        <v>358803</v>
      </c>
      <c r="L6" s="1">
        <f>+'2023 Bto driftsutg'!L6-'2023 Avskrivning'!L6</f>
        <v>141961</v>
      </c>
      <c r="M6" s="1">
        <f>+'2023 Bto driftsutg'!M6-'2023 Avskrivning'!M6</f>
        <v>279721</v>
      </c>
      <c r="N6" s="1">
        <f>+'2023 Bto driftsutg'!N6-'2023 Avskrivning'!N6</f>
        <v>428275</v>
      </c>
      <c r="O6" s="1">
        <f>+'2023 Bto driftsutg'!O6-'2023 Avskrivning'!O6</f>
        <v>0</v>
      </c>
      <c r="P6" s="1">
        <f>+'2023 Bto driftsutg'!P6-'2023 Avskrivning'!P6</f>
        <v>547399</v>
      </c>
      <c r="Q6" s="1">
        <f>+'2023 Bto driftsutg'!Q6-'2023 Avskrivning'!Q6</f>
        <v>0</v>
      </c>
      <c r="R6" s="1">
        <f>+'2023 Bto driftsutg'!R6-'2023 Avskrivning'!R6</f>
        <v>-272716</v>
      </c>
      <c r="T6" s="1"/>
      <c r="U6" s="1"/>
    </row>
    <row r="7" spans="1:21" x14ac:dyDescent="0.3">
      <c r="A7" s="43">
        <v>1500</v>
      </c>
      <c r="B7" s="44" t="s">
        <v>142</v>
      </c>
      <c r="C7" s="1">
        <f t="shared" si="1"/>
        <v>6519724</v>
      </c>
      <c r="D7" s="1">
        <f>+'2023 Bto driftsutg'!D7-'2023 Avskrivning'!D7</f>
        <v>2317292</v>
      </c>
      <c r="E7" s="1">
        <f>+'2023 Bto driftsutg'!E7-'2023 Avskrivning'!E7</f>
        <v>986148</v>
      </c>
      <c r="F7" s="1">
        <f>+'2023 Bto driftsutg'!F7-'2023 Avskrivning'!F7</f>
        <v>1127397</v>
      </c>
      <c r="G7" s="1">
        <f>+'2023 Bto driftsutg'!G7-'2023 Avskrivning'!G7</f>
        <v>1103073</v>
      </c>
      <c r="H7" s="1">
        <f>+'2023 Bto driftsutg'!H7-'2023 Avskrivning'!H7</f>
        <v>229254</v>
      </c>
      <c r="I7" s="11">
        <f>+'2023 Bto driftsutg'!I7-'2023 Avskrivning'!I7</f>
        <v>938970</v>
      </c>
      <c r="J7" s="1">
        <f>+'2023 Bto driftsutg'!J7-'2023 Avskrivning'!J7</f>
        <v>0</v>
      </c>
      <c r="K7" s="1">
        <f>+'2023 Bto driftsutg'!K7-'2023 Avskrivning'!K7</f>
        <v>314126</v>
      </c>
      <c r="L7" s="1">
        <f>+'2023 Bto driftsutg'!L7-'2023 Avskrivning'!L7</f>
        <v>136404</v>
      </c>
      <c r="M7" s="1">
        <f>+'2023 Bto driftsutg'!M7-'2023 Avskrivning'!M7</f>
        <v>225016</v>
      </c>
      <c r="N7" s="1">
        <f>+'2023 Bto driftsutg'!N7-'2023 Avskrivning'!N7</f>
        <v>261094</v>
      </c>
      <c r="O7" s="1">
        <f>+'2023 Bto driftsutg'!O7-'2023 Avskrivning'!O7</f>
        <v>0</v>
      </c>
      <c r="P7" s="1">
        <f>+'2023 Bto driftsutg'!P7-'2023 Avskrivning'!P7</f>
        <v>2330</v>
      </c>
      <c r="Q7" s="1">
        <f>+'2023 Bto driftsutg'!Q7-'2023 Avskrivning'!Q7</f>
        <v>0</v>
      </c>
      <c r="R7" s="1">
        <f>+'2023 Bto driftsutg'!R7-'2023 Avskrivning'!R7</f>
        <v>-182410</v>
      </c>
      <c r="T7" s="1"/>
      <c r="U7" s="1"/>
    </row>
    <row r="8" spans="1:21" x14ac:dyDescent="0.3">
      <c r="A8" s="43">
        <v>1800</v>
      </c>
      <c r="B8" s="44" t="s">
        <v>143</v>
      </c>
      <c r="C8" s="1">
        <f t="shared" si="1"/>
        <v>7179951</v>
      </c>
      <c r="D8" s="1">
        <f>+'2023 Bto driftsutg'!D8-'2023 Avskrivning'!D8</f>
        <v>2470514</v>
      </c>
      <c r="E8" s="1">
        <f>+'2023 Bto driftsutg'!E8-'2023 Avskrivning'!E8</f>
        <v>924879</v>
      </c>
      <c r="F8" s="1">
        <f>+'2023 Bto driftsutg'!F8-'2023 Avskrivning'!F8</f>
        <v>1351197</v>
      </c>
      <c r="G8" s="1">
        <f>+'2023 Bto driftsutg'!G8-'2023 Avskrivning'!G8</f>
        <v>975089</v>
      </c>
      <c r="H8" s="1">
        <f>+'2023 Bto driftsutg'!H8-'2023 Avskrivning'!H8</f>
        <v>336347</v>
      </c>
      <c r="I8" s="11">
        <f>+'2023 Bto driftsutg'!I8-'2023 Avskrivning'!I8</f>
        <v>1322787</v>
      </c>
      <c r="J8" s="1">
        <f>+'2023 Bto driftsutg'!J8-'2023 Avskrivning'!J8</f>
        <v>0</v>
      </c>
      <c r="K8" s="1">
        <f>+'2023 Bto driftsutg'!K8-'2023 Avskrivning'!K8</f>
        <v>410074</v>
      </c>
      <c r="L8" s="1">
        <f>+'2023 Bto driftsutg'!L8-'2023 Avskrivning'!L8</f>
        <v>169068</v>
      </c>
      <c r="M8" s="1">
        <f>+'2023 Bto driftsutg'!M8-'2023 Avskrivning'!M8</f>
        <v>396576</v>
      </c>
      <c r="N8" s="1">
        <f>+'2023 Bto driftsutg'!N8-'2023 Avskrivning'!N8</f>
        <v>347059</v>
      </c>
      <c r="O8" s="1">
        <f>+'2023 Bto driftsutg'!O8-'2023 Avskrivning'!O8</f>
        <v>7</v>
      </c>
      <c r="P8" s="1">
        <f>+'2023 Bto driftsutg'!P8-'2023 Avskrivning'!P8</f>
        <v>3</v>
      </c>
      <c r="Q8" s="1">
        <f>+'2023 Bto driftsutg'!Q8-'2023 Avskrivning'!Q8</f>
        <v>0</v>
      </c>
      <c r="R8" s="1">
        <f>+'2023 Bto driftsutg'!R8-'2023 Avskrivning'!R8</f>
        <v>-200862</v>
      </c>
      <c r="T8" s="1"/>
      <c r="U8" s="1"/>
    </row>
    <row r="9" spans="1:21" x14ac:dyDescent="0.3">
      <c r="A9" s="43">
        <v>3000</v>
      </c>
      <c r="B9" s="44" t="s">
        <v>341</v>
      </c>
      <c r="C9" s="1">
        <f t="shared" si="1"/>
        <v>19168962</v>
      </c>
      <c r="D9" s="1">
        <f>+'2023 Bto driftsutg'!D9-'2023 Avskrivning'!D9</f>
        <v>10171534</v>
      </c>
      <c r="E9" s="1">
        <f>+'2023 Bto driftsutg'!E9-'2023 Avskrivning'!E9</f>
        <v>1913631</v>
      </c>
      <c r="F9" s="1">
        <f>+'2023 Bto driftsutg'!F9-'2023 Avskrivning'!F9</f>
        <v>3930295</v>
      </c>
      <c r="G9" s="1">
        <f>+'2023 Bto driftsutg'!G9-'2023 Avskrivning'!G9</f>
        <v>0</v>
      </c>
      <c r="H9" s="1">
        <f>+'2023 Bto driftsutg'!H9-'2023 Avskrivning'!H9</f>
        <v>627921</v>
      </c>
      <c r="I9" s="11">
        <f>+'2023 Bto driftsutg'!I9-'2023 Avskrivning'!I9</f>
        <v>3135141</v>
      </c>
      <c r="J9" s="1">
        <f>+'2023 Bto driftsutg'!J9-'2023 Avskrivning'!J9</f>
        <v>0</v>
      </c>
      <c r="K9" s="1">
        <f>+'2023 Bto driftsutg'!K9-'2023 Avskrivning'!K9</f>
        <v>1600749</v>
      </c>
      <c r="L9" s="1">
        <f>+'2023 Bto driftsutg'!L9-'2023 Avskrivning'!L9</f>
        <v>409281</v>
      </c>
      <c r="M9" s="1">
        <f>+'2023 Bto driftsutg'!M9-'2023 Avskrivning'!M9</f>
        <v>215370</v>
      </c>
      <c r="N9" s="1">
        <f>+'2023 Bto driftsutg'!N9-'2023 Avskrivning'!N9</f>
        <v>824675</v>
      </c>
      <c r="O9" s="1">
        <f>+'2023 Bto driftsutg'!O9-'2023 Avskrivning'!O9</f>
        <v>81954</v>
      </c>
      <c r="P9" s="1">
        <f>+'2023 Bto driftsutg'!P9-'2023 Avskrivning'!P9</f>
        <v>3112</v>
      </c>
      <c r="Q9" s="1">
        <f>+'2023 Bto driftsutg'!Q9-'2023 Avskrivning'!Q9</f>
        <v>0</v>
      </c>
      <c r="R9" s="1">
        <f>+'2023 Bto driftsutg'!R9-'2023 Avskrivning'!R9</f>
        <v>-609560</v>
      </c>
      <c r="T9" s="1"/>
      <c r="U9" s="1"/>
    </row>
    <row r="10" spans="1:21" x14ac:dyDescent="0.3">
      <c r="A10" s="43">
        <v>3400</v>
      </c>
      <c r="B10" s="44" t="s">
        <v>342</v>
      </c>
      <c r="C10" s="1">
        <f t="shared" si="1"/>
        <v>7243965</v>
      </c>
      <c r="D10" s="1">
        <f>+'2023 Bto driftsutg'!D10-'2023 Avskrivning'!D10</f>
        <v>3307774</v>
      </c>
      <c r="E10" s="1">
        <f>+'2023 Bto driftsutg'!E10-'2023 Avskrivning'!E10</f>
        <v>1272532</v>
      </c>
      <c r="F10" s="1">
        <f>+'2023 Bto driftsutg'!F10-'2023 Avskrivning'!F10</f>
        <v>1272401</v>
      </c>
      <c r="G10" s="1">
        <f>+'2023 Bto driftsutg'!G10-'2023 Avskrivning'!G10</f>
        <v>17470</v>
      </c>
      <c r="H10" s="1">
        <f>+'2023 Bto driftsutg'!H10-'2023 Avskrivning'!H10</f>
        <v>309205</v>
      </c>
      <c r="I10" s="11">
        <f>+'2023 Bto driftsutg'!I10-'2023 Avskrivning'!I10</f>
        <v>1340776</v>
      </c>
      <c r="J10" s="1">
        <f>+'2023 Bto driftsutg'!J10-'2023 Avskrivning'!J10</f>
        <v>0</v>
      </c>
      <c r="K10" s="1">
        <f>+'2023 Bto driftsutg'!K10-'2023 Avskrivning'!K10</f>
        <v>434135</v>
      </c>
      <c r="L10" s="1">
        <f>+'2023 Bto driftsutg'!L10-'2023 Avskrivning'!L10</f>
        <v>292555</v>
      </c>
      <c r="M10" s="1">
        <f>+'2023 Bto driftsutg'!M10-'2023 Avskrivning'!M10</f>
        <v>250737</v>
      </c>
      <c r="N10" s="1">
        <f>+'2023 Bto driftsutg'!N10-'2023 Avskrivning'!N10</f>
        <v>338088</v>
      </c>
      <c r="O10" s="1">
        <f>+'2023 Bto driftsutg'!O10-'2023 Avskrivning'!O10</f>
        <v>0</v>
      </c>
      <c r="P10" s="1">
        <f>+'2023 Bto driftsutg'!P10-'2023 Avskrivning'!P10</f>
        <v>25261</v>
      </c>
      <c r="Q10" s="1">
        <f>+'2023 Bto driftsutg'!Q10-'2023 Avskrivning'!Q10</f>
        <v>0</v>
      </c>
      <c r="R10" s="1">
        <f>+'2023 Bto driftsutg'!R10-'2023 Avskrivning'!R10</f>
        <v>-276193</v>
      </c>
      <c r="T10" s="1"/>
      <c r="U10" s="1"/>
    </row>
    <row r="11" spans="1:21" x14ac:dyDescent="0.3">
      <c r="A11" s="43">
        <v>3800</v>
      </c>
      <c r="B11" s="44" t="s">
        <v>343</v>
      </c>
      <c r="C11" s="1">
        <f t="shared" si="1"/>
        <v>7018299</v>
      </c>
      <c r="D11" s="1">
        <f>+'2023 Bto driftsutg'!D11-'2023 Avskrivning'!D11</f>
        <v>3606132</v>
      </c>
      <c r="E11" s="1">
        <f>+'2023 Bto driftsutg'!E11-'2023 Avskrivning'!E11</f>
        <v>894303</v>
      </c>
      <c r="F11" s="1">
        <f>+'2023 Bto driftsutg'!F11-'2023 Avskrivning'!F11</f>
        <v>950565</v>
      </c>
      <c r="G11" s="1">
        <f>+'2023 Bto driftsutg'!G11-'2023 Avskrivning'!G11</f>
        <v>45498</v>
      </c>
      <c r="H11" s="1">
        <f>+'2023 Bto driftsutg'!H11-'2023 Avskrivning'!H11</f>
        <v>331424</v>
      </c>
      <c r="I11" s="11">
        <f>+'2023 Bto driftsutg'!I11-'2023 Avskrivning'!I11</f>
        <v>1493006</v>
      </c>
      <c r="J11" s="1">
        <f>+'2023 Bto driftsutg'!J11-'2023 Avskrivning'!J11</f>
        <v>0</v>
      </c>
      <c r="K11" s="1">
        <f>+'2023 Bto driftsutg'!K11-'2023 Avskrivning'!K11</f>
        <v>459562</v>
      </c>
      <c r="L11" s="1">
        <f>+'2023 Bto driftsutg'!L11-'2023 Avskrivning'!L11</f>
        <v>362608</v>
      </c>
      <c r="M11" s="1">
        <f>+'2023 Bto driftsutg'!M11-'2023 Avskrivning'!M11</f>
        <v>284729</v>
      </c>
      <c r="N11" s="1">
        <f>+'2023 Bto driftsutg'!N11-'2023 Avskrivning'!N11</f>
        <v>379650</v>
      </c>
      <c r="O11" s="1">
        <f>+'2023 Bto driftsutg'!O11-'2023 Avskrivning'!O11</f>
        <v>3946</v>
      </c>
      <c r="P11" s="1">
        <f>+'2023 Bto driftsutg'!P11-'2023 Avskrivning'!P11</f>
        <v>2511</v>
      </c>
      <c r="Q11" s="1">
        <f>+'2023 Bto driftsutg'!Q11-'2023 Avskrivning'!Q11</f>
        <v>0</v>
      </c>
      <c r="R11" s="1">
        <f>+'2023 Bto driftsutg'!R11-'2023 Avskrivning'!R11</f>
        <v>-302629</v>
      </c>
      <c r="T11" s="1"/>
      <c r="U11" s="1"/>
    </row>
    <row r="12" spans="1:21" x14ac:dyDescent="0.3">
      <c r="A12" s="43">
        <v>4200</v>
      </c>
      <c r="B12" s="44" t="s">
        <v>344</v>
      </c>
      <c r="C12" s="1">
        <f t="shared" si="1"/>
        <v>5751805</v>
      </c>
      <c r="D12" s="1">
        <f>+'2023 Bto driftsutg'!D12-'2023 Avskrivning'!D12</f>
        <v>2983397</v>
      </c>
      <c r="E12" s="1">
        <f>+'2023 Bto driftsutg'!E12-'2023 Avskrivning'!E12</f>
        <v>980724</v>
      </c>
      <c r="F12" s="1">
        <f>+'2023 Bto driftsutg'!F12-'2023 Avskrivning'!F12</f>
        <v>648155</v>
      </c>
      <c r="G12" s="1">
        <f>+'2023 Bto driftsutg'!G12-'2023 Avskrivning'!G12</f>
        <v>56654</v>
      </c>
      <c r="H12" s="1">
        <f>+'2023 Bto driftsutg'!H12-'2023 Avskrivning'!H12</f>
        <v>235950</v>
      </c>
      <c r="I12" s="11">
        <f>+'2023 Bto driftsutg'!I12-'2023 Avskrivning'!I12</f>
        <v>1095573</v>
      </c>
      <c r="J12" s="1">
        <f>+'2023 Bto driftsutg'!J12-'2023 Avskrivning'!J12</f>
        <v>0</v>
      </c>
      <c r="K12" s="1">
        <f>+'2023 Bto driftsutg'!K12-'2023 Avskrivning'!K12</f>
        <v>385158</v>
      </c>
      <c r="L12" s="1">
        <f>+'2023 Bto driftsutg'!L12-'2023 Avskrivning'!L12</f>
        <v>282051</v>
      </c>
      <c r="M12" s="1">
        <f>+'2023 Bto driftsutg'!M12-'2023 Avskrivning'!M12</f>
        <v>87752</v>
      </c>
      <c r="N12" s="1">
        <f>+'2023 Bto driftsutg'!N12-'2023 Avskrivning'!N12</f>
        <v>321615</v>
      </c>
      <c r="O12" s="1">
        <f>+'2023 Bto driftsutg'!O12-'2023 Avskrivning'!O12</f>
        <v>0</v>
      </c>
      <c r="P12" s="1">
        <f>+'2023 Bto driftsutg'!P12-'2023 Avskrivning'!P12</f>
        <v>18997</v>
      </c>
      <c r="Q12" s="1">
        <f>+'2023 Bto driftsutg'!Q12-'2023 Avskrivning'!Q12</f>
        <v>0</v>
      </c>
      <c r="R12" s="1">
        <f>+'2023 Bto driftsutg'!R12-'2023 Avskrivning'!R12</f>
        <v>-248648</v>
      </c>
      <c r="T12" s="1"/>
      <c r="U12" s="1"/>
    </row>
    <row r="13" spans="1:21" x14ac:dyDescent="0.3">
      <c r="A13" s="43">
        <v>4600</v>
      </c>
      <c r="B13" s="44" t="s">
        <v>345</v>
      </c>
      <c r="C13" s="1">
        <f t="shared" si="1"/>
        <v>14201312</v>
      </c>
      <c r="D13" s="1">
        <f>+'2023 Bto driftsutg'!D13-'2023 Avskrivning'!D13</f>
        <v>5266583</v>
      </c>
      <c r="E13" s="1">
        <f>+'2023 Bto driftsutg'!E13-'2023 Avskrivning'!E13</f>
        <v>1716804</v>
      </c>
      <c r="F13" s="1">
        <f>+'2023 Bto driftsutg'!F13-'2023 Avskrivning'!F13</f>
        <v>3828493</v>
      </c>
      <c r="G13" s="1">
        <f>+'2023 Bto driftsutg'!G13-'2023 Avskrivning'!G13</f>
        <v>1274770</v>
      </c>
      <c r="H13" s="1">
        <f>+'2023 Bto driftsutg'!H13-'2023 Avskrivning'!H13</f>
        <v>556710</v>
      </c>
      <c r="I13" s="11">
        <f>+'2023 Bto driftsutg'!I13-'2023 Avskrivning'!I13</f>
        <v>1686953</v>
      </c>
      <c r="J13" s="1">
        <f>+'2023 Bto driftsutg'!J13-'2023 Avskrivning'!J13</f>
        <v>0</v>
      </c>
      <c r="K13" s="1">
        <f>+'2023 Bto driftsutg'!K13-'2023 Avskrivning'!K13</f>
        <v>607112</v>
      </c>
      <c r="L13" s="1">
        <f>+'2023 Bto driftsutg'!L13-'2023 Avskrivning'!L13</f>
        <v>290106</v>
      </c>
      <c r="M13" s="1">
        <f>+'2023 Bto driftsutg'!M13-'2023 Avskrivning'!M13</f>
        <v>392601</v>
      </c>
      <c r="N13" s="1">
        <f>+'2023 Bto driftsutg'!N13-'2023 Avskrivning'!N13</f>
        <v>396119</v>
      </c>
      <c r="O13" s="1">
        <f>+'2023 Bto driftsutg'!O13-'2023 Avskrivning'!O13</f>
        <v>0</v>
      </c>
      <c r="P13" s="1">
        <f>+'2023 Bto driftsutg'!P13-'2023 Avskrivning'!P13</f>
        <v>1015</v>
      </c>
      <c r="Q13" s="1">
        <f>+'2023 Bto driftsutg'!Q13-'2023 Avskrivning'!Q13</f>
        <v>0</v>
      </c>
      <c r="R13" s="1">
        <f>+'2023 Bto driftsutg'!R13-'2023 Avskrivning'!R13</f>
        <v>-129001</v>
      </c>
      <c r="T13" s="1"/>
      <c r="U13" s="1"/>
    </row>
    <row r="14" spans="1:21" x14ac:dyDescent="0.3">
      <c r="A14" s="43">
        <v>5000</v>
      </c>
      <c r="B14" s="44" t="s">
        <v>340</v>
      </c>
      <c r="C14" s="1">
        <f t="shared" si="1"/>
        <v>9225778</v>
      </c>
      <c r="D14" s="1">
        <f>+'2023 Bto driftsutg'!D14-'2023 Avskrivning'!D14</f>
        <v>4198550</v>
      </c>
      <c r="E14" s="1">
        <f>+'2023 Bto driftsutg'!E14-'2023 Avskrivning'!E14</f>
        <v>1248963</v>
      </c>
      <c r="F14" s="1">
        <f>+'2023 Bto driftsutg'!F14-'2023 Avskrivning'!F14</f>
        <v>1668705</v>
      </c>
      <c r="G14" s="1">
        <f>+'2023 Bto driftsutg'!G14-'2023 Avskrivning'!G14</f>
        <v>320444</v>
      </c>
      <c r="H14" s="1">
        <f>+'2023 Bto driftsutg'!H14-'2023 Avskrivning'!H14</f>
        <v>486062</v>
      </c>
      <c r="I14" s="11">
        <f>+'2023 Bto driftsutg'!I14-'2023 Avskrivning'!I14</f>
        <v>1434794</v>
      </c>
      <c r="J14" s="1">
        <f>+'2023 Bto driftsutg'!J14-'2023 Avskrivning'!J14</f>
        <v>0</v>
      </c>
      <c r="K14" s="1">
        <f>+'2023 Bto driftsutg'!K14-'2023 Avskrivning'!K14</f>
        <v>455509</v>
      </c>
      <c r="L14" s="1">
        <f>+'2023 Bto driftsutg'!L14-'2023 Avskrivning'!L14</f>
        <v>229407</v>
      </c>
      <c r="M14" s="1">
        <f>+'2023 Bto driftsutg'!M14-'2023 Avskrivning'!M14</f>
        <v>243899</v>
      </c>
      <c r="N14" s="1">
        <f>+'2023 Bto driftsutg'!N14-'2023 Avskrivning'!N14</f>
        <v>505977</v>
      </c>
      <c r="O14" s="1">
        <f>+'2023 Bto driftsutg'!O14-'2023 Avskrivning'!O14</f>
        <v>0</v>
      </c>
      <c r="P14" s="1">
        <f>+'2023 Bto driftsutg'!P14-'2023 Avskrivning'!P14</f>
        <v>2</v>
      </c>
      <c r="Q14" s="1">
        <f>+'2023 Bto driftsutg'!Q14-'2023 Avskrivning'!Q14</f>
        <v>0</v>
      </c>
      <c r="R14" s="1">
        <f>+'2023 Bto driftsutg'!R14-'2023 Avskrivning'!R14</f>
        <v>-131740</v>
      </c>
      <c r="T14" s="1"/>
      <c r="U14" s="1"/>
    </row>
    <row r="15" spans="1:21" x14ac:dyDescent="0.3">
      <c r="A15" s="43">
        <v>5400</v>
      </c>
      <c r="B15" s="44" t="s">
        <v>346</v>
      </c>
      <c r="C15" s="1">
        <f t="shared" si="1"/>
        <v>7521386</v>
      </c>
      <c r="D15" s="1">
        <f>+'2023 Bto driftsutg'!D15-'2023 Avskrivning'!D15</f>
        <v>2544934</v>
      </c>
      <c r="E15" s="1">
        <f>+'2023 Bto driftsutg'!E15-'2023 Avskrivning'!E15</f>
        <v>1036137</v>
      </c>
      <c r="F15" s="1">
        <f>+'2023 Bto driftsutg'!F15-'2023 Avskrivning'!F15</f>
        <v>1623016</v>
      </c>
      <c r="G15" s="1">
        <f>+'2023 Bto driftsutg'!G15-'2023 Avskrivning'!G15</f>
        <v>580520</v>
      </c>
      <c r="H15" s="1">
        <f>+'2023 Bto driftsutg'!H15-'2023 Avskrivning'!H15</f>
        <v>417135</v>
      </c>
      <c r="I15" s="11">
        <f>+'2023 Bto driftsutg'!I15-'2023 Avskrivning'!I15</f>
        <v>1586364</v>
      </c>
      <c r="J15" s="1">
        <f>+'2023 Bto driftsutg'!J15-'2023 Avskrivning'!J15</f>
        <v>0</v>
      </c>
      <c r="K15" s="1">
        <f>+'2023 Bto driftsutg'!K15-'2023 Avskrivning'!K15</f>
        <v>406281</v>
      </c>
      <c r="L15" s="1">
        <f>+'2023 Bto driftsutg'!L15-'2023 Avskrivning'!L15</f>
        <v>266145</v>
      </c>
      <c r="M15" s="1">
        <f>+'2023 Bto driftsutg'!M15-'2023 Avskrivning'!M15</f>
        <v>348655</v>
      </c>
      <c r="N15" s="1">
        <f>+'2023 Bto driftsutg'!N15-'2023 Avskrivning'!N15</f>
        <v>336645</v>
      </c>
      <c r="O15" s="1">
        <f>+'2023 Bto driftsutg'!O15-'2023 Avskrivning'!O15</f>
        <v>0</v>
      </c>
      <c r="P15" s="1">
        <f>+'2023 Bto driftsutg'!P15-'2023 Avskrivning'!P15</f>
        <v>228638</v>
      </c>
      <c r="Q15" s="1">
        <f>+'2023 Bto driftsutg'!Q15-'2023 Avskrivning'!Q15</f>
        <v>0</v>
      </c>
      <c r="R15" s="1">
        <f>+'2023 Bto driftsutg'!R15-'2023 Avskrivning'!R15</f>
        <v>-266720</v>
      </c>
      <c r="T15" s="1"/>
      <c r="U15" s="1"/>
    </row>
    <row r="16" spans="1:21" x14ac:dyDescent="0.3">
      <c r="C16" s="1"/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3">
      <c r="B17" s="1" t="s">
        <v>3</v>
      </c>
      <c r="C17" s="1">
        <f>SUM(C5:C16)</f>
        <v>101689464.85207164</v>
      </c>
      <c r="D17" s="1">
        <f t="shared" ref="D17:R17" si="2">SUM(D5:D15)</f>
        <v>45833383</v>
      </c>
      <c r="E17" s="1">
        <f t="shared" si="2"/>
        <v>11851933</v>
      </c>
      <c r="F17" s="1">
        <f t="shared" si="2"/>
        <v>21925097</v>
      </c>
      <c r="G17" s="1">
        <f t="shared" si="2"/>
        <v>4695315</v>
      </c>
      <c r="H17" s="1">
        <f t="shared" si="2"/>
        <v>4353999</v>
      </c>
      <c r="I17" s="11">
        <f t="shared" si="2"/>
        <v>16056172</v>
      </c>
      <c r="J17" s="1">
        <f t="shared" si="2"/>
        <v>0</v>
      </c>
      <c r="K17" s="1">
        <f t="shared" si="2"/>
        <v>5603642</v>
      </c>
      <c r="L17" s="1">
        <f t="shared" si="2"/>
        <v>2579586</v>
      </c>
      <c r="M17" s="1">
        <f t="shared" si="2"/>
        <v>2772558</v>
      </c>
      <c r="N17" s="1">
        <f t="shared" si="2"/>
        <v>4185211</v>
      </c>
      <c r="O17" s="1">
        <f t="shared" si="2"/>
        <v>85907</v>
      </c>
      <c r="P17" s="1">
        <f t="shared" si="2"/>
        <v>829268</v>
      </c>
      <c r="Q17" s="1">
        <f t="shared" si="2"/>
        <v>0</v>
      </c>
      <c r="R17" s="1">
        <f t="shared" si="2"/>
        <v>-3026434.1479283478</v>
      </c>
      <c r="S17" s="1"/>
      <c r="T17" s="1"/>
      <c r="U17" s="1"/>
    </row>
    <row r="18" spans="2:21" x14ac:dyDescent="0.3">
      <c r="C18" s="5"/>
      <c r="I18" s="5">
        <f>SUM(J17:Q17)</f>
        <v>16056172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26"/>
  <dimension ref="A2:R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RowHeight="14.4" x14ac:dyDescent="0.3"/>
  <cols>
    <col min="1" max="1" width="9.88671875" customWidth="1"/>
    <col min="2" max="2" width="18.5546875" customWidth="1"/>
    <col min="3" max="3" width="13.109375" customWidth="1"/>
    <col min="6" max="7" width="12.5546875" customWidth="1"/>
    <col min="9" max="9" width="3.109375" customWidth="1"/>
    <col min="11" max="11" width="5.44140625" customWidth="1"/>
    <col min="14" max="14" width="12.109375" customWidth="1"/>
  </cols>
  <sheetData>
    <row r="2" spans="1:18" ht="42.75" customHeight="1" x14ac:dyDescent="0.35">
      <c r="A2" s="24" t="s">
        <v>2</v>
      </c>
      <c r="B2" s="24" t="s">
        <v>1</v>
      </c>
      <c r="C2" s="24" t="s">
        <v>5</v>
      </c>
      <c r="D2" s="24" t="s">
        <v>174</v>
      </c>
      <c r="E2" s="24" t="s">
        <v>175</v>
      </c>
      <c r="F2" s="24" t="s">
        <v>406</v>
      </c>
      <c r="G2" s="24" t="s">
        <v>359</v>
      </c>
      <c r="H2" s="24" t="s">
        <v>269</v>
      </c>
      <c r="J2" s="6" t="s">
        <v>281</v>
      </c>
      <c r="L2" s="55" t="s">
        <v>406</v>
      </c>
      <c r="M2" s="55" t="s">
        <v>359</v>
      </c>
      <c r="N2" s="55" t="s">
        <v>174</v>
      </c>
      <c r="O2" s="55" t="s">
        <v>269</v>
      </c>
      <c r="P2" s="55" t="s">
        <v>175</v>
      </c>
    </row>
    <row r="3" spans="1:18" ht="15.6" x14ac:dyDescent="0.4">
      <c r="A3" s="107">
        <v>1</v>
      </c>
      <c r="B3" s="107">
        <f t="shared" ref="B3:H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J3" s="107">
        <v>10</v>
      </c>
      <c r="L3" s="56">
        <v>0.19031055218344314</v>
      </c>
      <c r="M3" s="56">
        <v>5.5527118330512548E-2</v>
      </c>
      <c r="N3" s="56">
        <v>0.50534998788366303</v>
      </c>
      <c r="O3" s="56">
        <v>4.5459078823592687E-2</v>
      </c>
      <c r="P3" s="56">
        <v>0.20335326277878876</v>
      </c>
      <c r="Q3" s="103"/>
      <c r="R3" s="103"/>
    </row>
    <row r="5" spans="1:18" x14ac:dyDescent="0.3">
      <c r="A5" s="43">
        <v>300</v>
      </c>
      <c r="B5" s="44" t="s">
        <v>0</v>
      </c>
      <c r="C5" s="3">
        <f>+'2023 Nøkkel revektet'!D5*'2023 Nto driftsutg landet'!$C$5/'2023 Nto driftsutg landet'!$C$10+'2023 Nøkkel revektet'!E5*'2023 Nto driftsutg landet'!$C$6/'2023 Nto driftsutg landet'!$C$10+'2023 Nøkkel revektet'!F5*'2023 Nto driftsutg landet'!$C$7/'2023 Nto driftsutg landet'!$C$10+'2023 Nøkkel revektet'!G5*'2023 Nto driftsutg landet'!$C$8/'2023 Nto driftsutg landet'!$C$10+'2023 Nøkkel revektet'!H5*'2023 Nto driftsutg landet'!$C$9/'2023 Nto driftsutg landet'!$C$10</f>
        <v>0.77534940351743553</v>
      </c>
      <c r="D5" s="3">
        <f>+'2023 Revekting utgiftsbehov'!Z5</f>
        <v>0.71053058348772868</v>
      </c>
      <c r="E5" s="3">
        <f>+'2023 Revekting utgiftsbehov'!AA5</f>
        <v>0.21462039411895761</v>
      </c>
      <c r="F5" s="3">
        <f>+'2023 Revekting utgiftsbehov'!AB5</f>
        <v>1.5114284535122655</v>
      </c>
      <c r="G5" s="3">
        <f>+'2023 Revekting utgiftsbehov'!AC5</f>
        <v>0</v>
      </c>
      <c r="H5" s="3">
        <f>+'2023 Revekting utgiftsbehov'!AD5</f>
        <v>0.80830409059491792</v>
      </c>
      <c r="I5" s="4"/>
      <c r="J5" s="4">
        <f>+C5-'2023 Revekting utgiftsbehov'!I5</f>
        <v>4.8230872884279963E-2</v>
      </c>
      <c r="K5" s="4"/>
      <c r="L5" s="4"/>
      <c r="M5" s="4"/>
      <c r="N5" s="4"/>
      <c r="O5" s="4"/>
    </row>
    <row r="6" spans="1:18" x14ac:dyDescent="0.3">
      <c r="A6" s="43">
        <v>1100</v>
      </c>
      <c r="B6" s="44" t="s">
        <v>141</v>
      </c>
      <c r="C6" s="3">
        <f>+'2023 Nøkkel revektet'!D6*'2023 Nto driftsutg landet'!$C$5/'2023 Nto driftsutg landet'!$C$10+'2023 Nøkkel revektet'!E6*'2023 Nto driftsutg landet'!$C$6/'2023 Nto driftsutg landet'!$C$10+'2023 Nøkkel revektet'!F6*'2023 Nto driftsutg landet'!$C$7/'2023 Nto driftsutg landet'!$C$10+'2023 Nøkkel revektet'!G6*'2023 Nto driftsutg landet'!$C$8/'2023 Nto driftsutg landet'!$C$10+'2023 Nøkkel revektet'!H6*'2023 Nto driftsutg landet'!$C$9/'2023 Nto driftsutg landet'!$C$10</f>
        <v>0.97927344476359857</v>
      </c>
      <c r="D6" s="3">
        <f>+'2023 Revekting utgiftsbehov'!Z6</f>
        <v>1.0774887931615929</v>
      </c>
      <c r="E6" s="3">
        <f>+'2023 Revekting utgiftsbehov'!AA6</f>
        <v>0.79939004925414059</v>
      </c>
      <c r="F6" s="3">
        <f>+'2023 Revekting utgiftsbehov'!AB6</f>
        <v>0.9424851409192746</v>
      </c>
      <c r="G6" s="3">
        <f>+'2023 Revekting utgiftsbehov'!AC6</f>
        <v>0.64870346692722514</v>
      </c>
      <c r="H6" s="3">
        <f>+'2023 Revekting utgiftsbehov'!AD6</f>
        <v>1.0173396804533479</v>
      </c>
      <c r="I6" s="4"/>
      <c r="J6" s="4">
        <f>+C6-'2023 Revekting utgiftsbehov'!I6</f>
        <v>1.0562156426901725E-2</v>
      </c>
      <c r="K6" s="4"/>
    </row>
    <row r="7" spans="1:18" x14ac:dyDescent="0.3">
      <c r="A7" s="43">
        <v>1500</v>
      </c>
      <c r="B7" s="44" t="s">
        <v>142</v>
      </c>
      <c r="C7" s="3">
        <f>+'2023 Nøkkel revektet'!D7*'2023 Nto driftsutg landet'!$C$5/'2023 Nto driftsutg landet'!$C$10+'2023 Nøkkel revektet'!E7*'2023 Nto driftsutg landet'!$C$6/'2023 Nto driftsutg landet'!$C$10+'2023 Nøkkel revektet'!F7*'2023 Nto driftsutg landet'!$C$7/'2023 Nto driftsutg landet'!$C$10+'2023 Nøkkel revektet'!G7*'2023 Nto driftsutg landet'!$C$8/'2023 Nto driftsutg landet'!$C$10+'2023 Nøkkel revektet'!H7*'2023 Nto driftsutg landet'!$C$9/'2023 Nto driftsutg landet'!$C$10</f>
        <v>1.3045927065292799</v>
      </c>
      <c r="D7" s="3">
        <f>+'2023 Revekting utgiftsbehov'!Z7</f>
        <v>1.0989358133062832</v>
      </c>
      <c r="E7" s="3">
        <f>+'2023 Revekting utgiftsbehov'!AA7</f>
        <v>1.5552146008066416</v>
      </c>
      <c r="F7" s="3">
        <f>+'2023 Revekting utgiftsbehov'!AB7</f>
        <v>1.0728168111973642</v>
      </c>
      <c r="G7" s="3">
        <f>+'2023 Revekting utgiftsbehov'!AC7</f>
        <v>3.6508681383265915</v>
      </c>
      <c r="H7" s="3">
        <f>+'2023 Revekting utgiftsbehov'!AD7</f>
        <v>1.0804828658338601</v>
      </c>
      <c r="I7" s="4"/>
      <c r="J7" s="4">
        <f>+C7-'2023 Revekting utgiftsbehov'!I7</f>
        <v>-2.2936617831274653E-2</v>
      </c>
      <c r="K7" s="4"/>
    </row>
    <row r="8" spans="1:18" x14ac:dyDescent="0.3">
      <c r="A8" s="43">
        <v>1800</v>
      </c>
      <c r="B8" s="44" t="s">
        <v>143</v>
      </c>
      <c r="C8" s="3">
        <f>+'2023 Nøkkel revektet'!D8*'2023 Nto driftsutg landet'!$C$5/'2023 Nto driftsutg landet'!$C$10+'2023 Nøkkel revektet'!E8*'2023 Nto driftsutg landet'!$C$6/'2023 Nto driftsutg landet'!$C$10+'2023 Nøkkel revektet'!F8*'2023 Nto driftsutg landet'!$C$7/'2023 Nto driftsutg landet'!$C$10+'2023 Nøkkel revektet'!G8*'2023 Nto driftsutg landet'!$C$8/'2023 Nto driftsutg landet'!$C$10+'2023 Nøkkel revektet'!H8*'2023 Nto driftsutg landet'!$C$9/'2023 Nto driftsutg landet'!$C$10</f>
        <v>1.510528437596222</v>
      </c>
      <c r="D8" s="3">
        <f>+'2023 Revekting utgiftsbehov'!Z8</f>
        <v>1.0853378047755211</v>
      </c>
      <c r="E8" s="3">
        <f>+'2023 Revekting utgiftsbehov'!AA8</f>
        <v>1.9381931214813777</v>
      </c>
      <c r="F8" s="3">
        <f>+'2023 Revekting utgiftsbehov'!AB8</f>
        <v>1.3547771165025086</v>
      </c>
      <c r="G8" s="3">
        <f>+'2023 Revekting utgiftsbehov'!AC8</f>
        <v>5.2548770101082702</v>
      </c>
      <c r="H8" s="3">
        <f>+'2023 Revekting utgiftsbehov'!AD8</f>
        <v>1.1605514881983592</v>
      </c>
      <c r="I8" s="4"/>
      <c r="J8" s="4">
        <f>+C8-'2023 Revekting utgiftsbehov'!I8</f>
        <v>-3.4320330828436996E-2</v>
      </c>
      <c r="K8" s="4"/>
    </row>
    <row r="9" spans="1:18" x14ac:dyDescent="0.3">
      <c r="A9" s="43">
        <v>3000</v>
      </c>
      <c r="B9" s="44" t="s">
        <v>341</v>
      </c>
      <c r="C9" s="3">
        <f>+'2023 Nøkkel revektet'!D9*'2023 Nto driftsutg landet'!$C$5/'2023 Nto driftsutg landet'!$C$10+'2023 Nøkkel revektet'!E9*'2023 Nto driftsutg landet'!$C$6/'2023 Nto driftsutg landet'!$C$10+'2023 Nøkkel revektet'!F9*'2023 Nto driftsutg landet'!$C$7/'2023 Nto driftsutg landet'!$C$10+'2023 Nøkkel revektet'!G9*'2023 Nto driftsutg landet'!$C$8/'2023 Nto driftsutg landet'!$C$10+'2023 Nøkkel revektet'!H9*'2023 Nto driftsutg landet'!$C$9/'2023 Nto driftsutg landet'!$C$10</f>
        <v>0.81442369332390108</v>
      </c>
      <c r="D9" s="3">
        <f>+'2023 Revekting utgiftsbehov'!Z9</f>
        <v>1.0109508011160717</v>
      </c>
      <c r="E9" s="3">
        <f>+'2023 Revekting utgiftsbehov'!AA9</f>
        <v>0.60627924197881555</v>
      </c>
      <c r="F9" s="3">
        <f>+'2023 Revekting utgiftsbehov'!AB9</f>
        <v>0.65317532338165341</v>
      </c>
      <c r="G9" s="3">
        <f>+'2023 Revekting utgiftsbehov'!AC9</f>
        <v>2.6179811137927333E-2</v>
      </c>
      <c r="H9" s="3">
        <f>+'2023 Revekting utgiftsbehov'!AD9</f>
        <v>0.96460045526742033</v>
      </c>
      <c r="I9" s="4"/>
      <c r="J9" s="4">
        <f>+C9-'2023 Revekting utgiftsbehov'!I9</f>
        <v>1.0592254171330695E-2</v>
      </c>
      <c r="K9" s="4"/>
    </row>
    <row r="10" spans="1:18" x14ac:dyDescent="0.3">
      <c r="A10" s="43">
        <v>3400</v>
      </c>
      <c r="B10" s="44" t="s">
        <v>342</v>
      </c>
      <c r="C10" s="3">
        <f>+'2023 Nøkkel revektet'!D10*'2023 Nto driftsutg landet'!$C$5/'2023 Nto driftsutg landet'!$C$10+'2023 Nøkkel revektet'!E10*'2023 Nto driftsutg landet'!$C$6/'2023 Nto driftsutg landet'!$C$10+'2023 Nøkkel revektet'!F10*'2023 Nto driftsutg landet'!$C$7/'2023 Nto driftsutg landet'!$C$10+'2023 Nøkkel revektet'!G10*'2023 Nto driftsutg landet'!$C$8/'2023 Nto driftsutg landet'!$C$10+'2023 Nøkkel revektet'!H10*'2023 Nto driftsutg landet'!$C$9/'2023 Nto driftsutg landet'!$C$10</f>
        <v>1.016778243301659</v>
      </c>
      <c r="D10" s="3">
        <f>+'2023 Revekting utgiftsbehov'!Z10</f>
        <v>1.0062398373243804</v>
      </c>
      <c r="E10" s="3">
        <f>+'2023 Revekting utgiftsbehov'!AA10</f>
        <v>1.5174599383336682</v>
      </c>
      <c r="F10" s="3">
        <f>+'2023 Revekting utgiftsbehov'!AB10</f>
        <v>0.94309915694030932</v>
      </c>
      <c r="G10" s="3">
        <f>+'2023 Revekting utgiftsbehov'!AC10</f>
        <v>5.9463031673505529E-2</v>
      </c>
      <c r="H10" s="3">
        <f>+'2023 Revekting utgiftsbehov'!AD10</f>
        <v>1.0216409626046192</v>
      </c>
      <c r="I10" s="4"/>
      <c r="J10" s="4">
        <f>+C10-'2023 Revekting utgiftsbehov'!I10</f>
        <v>-2.9546123813658509E-2</v>
      </c>
      <c r="K10" s="4"/>
    </row>
    <row r="11" spans="1:18" x14ac:dyDescent="0.3">
      <c r="A11" s="43">
        <v>3800</v>
      </c>
      <c r="B11" s="44" t="s">
        <v>343</v>
      </c>
      <c r="C11" s="3">
        <f>+'2023 Nøkkel revektet'!D11*'2023 Nto driftsutg landet'!$C$5/'2023 Nto driftsutg landet'!$C$10+'2023 Nøkkel revektet'!E11*'2023 Nto driftsutg landet'!$C$6/'2023 Nto driftsutg landet'!$C$10+'2023 Nøkkel revektet'!F11*'2023 Nto driftsutg landet'!$C$7/'2023 Nto driftsutg landet'!$C$10+'2023 Nøkkel revektet'!G11*'2023 Nto driftsutg landet'!$C$8/'2023 Nto driftsutg landet'!$C$10+'2023 Nøkkel revektet'!H11*'2023 Nto driftsutg landet'!$C$9/'2023 Nto driftsutg landet'!$C$10</f>
        <v>0.87178853031563441</v>
      </c>
      <c r="D11" s="3">
        <f>+'2023 Revekting utgiftsbehov'!Z11</f>
        <v>1.0246976591874704</v>
      </c>
      <c r="E11" s="3">
        <f>+'2023 Revekting utgiftsbehov'!AA11</f>
        <v>0.87778384106275287</v>
      </c>
      <c r="F11" s="3">
        <f>+'2023 Revekting utgiftsbehov'!AB11</f>
        <v>0.66753460722060465</v>
      </c>
      <c r="G11" s="3">
        <f>+'2023 Revekting utgiftsbehov'!AC11</f>
        <v>0.13457432220097476</v>
      </c>
      <c r="H11" s="3">
        <f>+'2023 Revekting utgiftsbehov'!AD11</f>
        <v>0.96530680839609195</v>
      </c>
      <c r="I11" s="4"/>
      <c r="J11" s="4">
        <f>+C11-'2023 Revekting utgiftsbehov'!I11</f>
        <v>-2.9666006162155645E-3</v>
      </c>
      <c r="K11" s="4"/>
    </row>
    <row r="12" spans="1:18" x14ac:dyDescent="0.3">
      <c r="A12" s="43">
        <v>4200</v>
      </c>
      <c r="B12" s="44" t="s">
        <v>344</v>
      </c>
      <c r="C12" s="3">
        <f>+'2023 Nøkkel revektet'!D12*'2023 Nto driftsutg landet'!$C$5/'2023 Nto driftsutg landet'!$C$10+'2023 Nøkkel revektet'!E12*'2023 Nto driftsutg landet'!$C$6/'2023 Nto driftsutg landet'!$C$10+'2023 Nøkkel revektet'!F12*'2023 Nto driftsutg landet'!$C$7/'2023 Nto driftsutg landet'!$C$10+'2023 Nøkkel revektet'!G12*'2023 Nto driftsutg landet'!$C$8/'2023 Nto driftsutg landet'!$C$10+'2023 Nøkkel revektet'!H12*'2023 Nto driftsutg landet'!$C$9/'2023 Nto driftsutg landet'!$C$10</f>
        <v>0.98279680103756795</v>
      </c>
      <c r="D12" s="3">
        <f>+'2023 Revekting utgiftsbehov'!Z12</f>
        <v>1.084268975153569</v>
      </c>
      <c r="E12" s="3">
        <f>+'2023 Revekting utgiftsbehov'!AA12</f>
        <v>1.2211575516772717</v>
      </c>
      <c r="F12" s="3">
        <f>+'2023 Revekting utgiftsbehov'!AB12</f>
        <v>0.78004641987215195</v>
      </c>
      <c r="G12" s="3">
        <f>+'2023 Revekting utgiftsbehov'!AC12</f>
        <v>0.1328769183331836</v>
      </c>
      <c r="H12" s="3">
        <f>+'2023 Revekting utgiftsbehov'!AD12</f>
        <v>1.0388028742608666</v>
      </c>
      <c r="I12" s="4"/>
      <c r="J12" s="4">
        <f>+C12-'2023 Revekting utgiftsbehov'!I12</f>
        <v>-1.6547925868683699E-2</v>
      </c>
      <c r="K12" s="4"/>
    </row>
    <row r="13" spans="1:18" x14ac:dyDescent="0.3">
      <c r="A13" s="43">
        <v>4600</v>
      </c>
      <c r="B13" s="44" t="s">
        <v>345</v>
      </c>
      <c r="C13" s="3">
        <f>+'2023 Nøkkel revektet'!D13*'2023 Nto driftsutg landet'!$C$5/'2023 Nto driftsutg landet'!$C$10+'2023 Nøkkel revektet'!E13*'2023 Nto driftsutg landet'!$C$6/'2023 Nto driftsutg landet'!$C$10+'2023 Nøkkel revektet'!F13*'2023 Nto driftsutg landet'!$C$7/'2023 Nto driftsutg landet'!$C$10+'2023 Nøkkel revektet'!G13*'2023 Nto driftsutg landet'!$C$8/'2023 Nto driftsutg landet'!$C$10+'2023 Nøkkel revektet'!H13*'2023 Nto driftsutg landet'!$C$9/'2023 Nto driftsutg landet'!$C$10</f>
        <v>1.160622898698578</v>
      </c>
      <c r="D13" s="3">
        <f>+'2023 Revekting utgiftsbehov'!Z13</f>
        <v>1.048859894414335</v>
      </c>
      <c r="E13" s="3">
        <f>+'2023 Revekting utgiftsbehov'!AA13</f>
        <v>1.2994326055707779</v>
      </c>
      <c r="F13" s="3">
        <f>+'2023 Revekting utgiftsbehov'!AB13</f>
        <v>1.0646807692486568</v>
      </c>
      <c r="G13" s="3">
        <f>+'2023 Revekting utgiftsbehov'!AC13</f>
        <v>2.300543280463788</v>
      </c>
      <c r="H13" s="3">
        <f>+'2023 Revekting utgiftsbehov'!AD13</f>
        <v>1.0530401240046849</v>
      </c>
      <c r="I13" s="4"/>
      <c r="J13" s="4">
        <f>+C13-'2023 Revekting utgiftsbehov'!I13</f>
        <v>-1.1850546285783414E-2</v>
      </c>
      <c r="K13" s="4"/>
    </row>
    <row r="14" spans="1:18" x14ac:dyDescent="0.3">
      <c r="A14" s="43">
        <v>5000</v>
      </c>
      <c r="B14" s="44" t="s">
        <v>340</v>
      </c>
      <c r="C14" s="3">
        <f>+'2023 Nøkkel revektet'!D14*'2023 Nto driftsutg landet'!$C$5/'2023 Nto driftsutg landet'!$C$10+'2023 Nøkkel revektet'!E14*'2023 Nto driftsutg landet'!$C$6/'2023 Nto driftsutg landet'!$C$10+'2023 Nøkkel revektet'!F14*'2023 Nto driftsutg landet'!$C$7/'2023 Nto driftsutg landet'!$C$10+'2023 Nøkkel revektet'!G14*'2023 Nto driftsutg landet'!$C$8/'2023 Nto driftsutg landet'!$C$10+'2023 Nøkkel revektet'!H14*'2023 Nto driftsutg landet'!$C$9/'2023 Nto driftsutg landet'!$C$10</f>
        <v>1.0755171932849834</v>
      </c>
      <c r="D14" s="3">
        <f>+'2023 Revekting utgiftsbehov'!Z14</f>
        <v>1.0195042229505571</v>
      </c>
      <c r="E14" s="3">
        <f>+'2023 Revekting utgiftsbehov'!AA14</f>
        <v>1.2666523308794941</v>
      </c>
      <c r="F14" s="3">
        <f>+'2023 Revekting utgiftsbehov'!AB14</f>
        <v>1.0917317827078288</v>
      </c>
      <c r="G14" s="3">
        <f>+'2023 Revekting utgiftsbehov'!AC14</f>
        <v>1.0558842371923283</v>
      </c>
      <c r="H14" s="3">
        <f>+'2023 Revekting utgiftsbehov'!AD14</f>
        <v>1.0416844885673895</v>
      </c>
      <c r="I14" s="4"/>
      <c r="J14" s="4">
        <f>+C14-'2023 Revekting utgiftsbehov'!I14</f>
        <v>-1.1006325561265795E-2</v>
      </c>
      <c r="K14" s="4"/>
    </row>
    <row r="15" spans="1:18" x14ac:dyDescent="0.3">
      <c r="A15" s="43">
        <v>5400</v>
      </c>
      <c r="B15" s="44" t="s">
        <v>346</v>
      </c>
      <c r="C15" s="3">
        <f>+'2023 Nøkkel revektet'!D15*'2023 Nto driftsutg landet'!$C$5/'2023 Nto driftsutg landet'!$C$10+'2023 Nøkkel revektet'!E15*'2023 Nto driftsutg landet'!$C$6/'2023 Nto driftsutg landet'!$C$10+'2023 Nøkkel revektet'!F15*'2023 Nto driftsutg landet'!$C$7/'2023 Nto driftsutg landet'!$C$10+'2023 Nøkkel revektet'!G15*'2023 Nto driftsutg landet'!$C$8/'2023 Nto driftsutg landet'!$C$10+'2023 Nøkkel revektet'!H15*'2023 Nto driftsutg landet'!$C$9/'2023 Nto driftsutg landet'!$C$10</f>
        <v>1.4930396759202456</v>
      </c>
      <c r="D15" s="3">
        <f>+'2023 Revekting utgiftsbehov'!Z15</f>
        <v>1.1042840912589909</v>
      </c>
      <c r="E15" s="3">
        <f>+'2023 Revekting utgiftsbehov'!AA15</f>
        <v>2.0698277004132728</v>
      </c>
      <c r="F15" s="3">
        <f>+'2023 Revekting utgiftsbehov'!AB15</f>
        <v>1.6506558229265536</v>
      </c>
      <c r="G15" s="3">
        <f>+'2023 Revekting utgiftsbehov'!AC15</f>
        <v>3.2174219622421876</v>
      </c>
      <c r="H15" s="3">
        <f>+'2023 Revekting utgiftsbehov'!AD15</f>
        <v>1.2198806295668334</v>
      </c>
      <c r="I15" s="4"/>
      <c r="J15" s="4">
        <f>+C15-'2023 Revekting utgiftsbehov'!I15</f>
        <v>-3.4072118165197285E-2</v>
      </c>
      <c r="K15" s="4"/>
    </row>
    <row r="16" spans="1:18" x14ac:dyDescent="0.3">
      <c r="C16" s="4"/>
      <c r="D16" s="4"/>
      <c r="E16" s="4"/>
      <c r="F16" s="4"/>
      <c r="G16" s="4"/>
      <c r="H16" s="4"/>
    </row>
    <row r="17" spans="2:8" x14ac:dyDescent="0.3">
      <c r="B17" s="1" t="s">
        <v>3</v>
      </c>
      <c r="C17" s="3"/>
      <c r="D17" s="3">
        <v>1</v>
      </c>
      <c r="E17" s="3">
        <v>1</v>
      </c>
      <c r="F17" s="3">
        <v>1</v>
      </c>
      <c r="G17" s="3">
        <v>1</v>
      </c>
      <c r="H17" s="3">
        <v>1</v>
      </c>
    </row>
  </sheetData>
  <sheetProtection algorithmName="SHA-512" hashValue="EGW6WN5U9Ks/+h6TAjgak40TOaI31L6ECr8dRn50+b1Y6mf0TSmUCKCD5QnANnu5mVJozf4HWyqHMXWnANHRQQ==" saltValue="SJDGhzRMUqGWJtfgWANsUw==" spinCount="100000" sheet="1" selectLockedCells="1" selectUnlockedCells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8FB9-B7CE-42F0-B704-D4811297D7A6}">
  <sheetPr codeName="Ark27"/>
  <dimension ref="A2:B15"/>
  <sheetViews>
    <sheetView workbookViewId="0">
      <selection activeCell="B16" sqref="B16"/>
    </sheetView>
  </sheetViews>
  <sheetFormatPr baseColWidth="10" defaultRowHeight="14.4" x14ac:dyDescent="0.3"/>
  <cols>
    <col min="2" max="2" width="21.6640625" bestFit="1" customWidth="1"/>
  </cols>
  <sheetData>
    <row r="2" spans="1:2" x14ac:dyDescent="0.3">
      <c r="A2" s="24" t="s">
        <v>2</v>
      </c>
      <c r="B2" s="24" t="s">
        <v>1</v>
      </c>
    </row>
    <row r="3" spans="1:2" x14ac:dyDescent="0.3">
      <c r="A3" s="107">
        <v>1</v>
      </c>
      <c r="B3" s="107">
        <f>+A3+1</f>
        <v>2</v>
      </c>
    </row>
    <row r="5" spans="1:2" x14ac:dyDescent="0.3">
      <c r="A5" s="43">
        <v>300</v>
      </c>
      <c r="B5" s="44" t="s">
        <v>0</v>
      </c>
    </row>
    <row r="6" spans="1:2" x14ac:dyDescent="0.3">
      <c r="A6" s="43">
        <v>1100</v>
      </c>
      <c r="B6" s="44" t="s">
        <v>141</v>
      </c>
    </row>
    <row r="7" spans="1:2" x14ac:dyDescent="0.3">
      <c r="A7" s="43">
        <v>1500</v>
      </c>
      <c r="B7" s="44" t="s">
        <v>142</v>
      </c>
    </row>
    <row r="8" spans="1:2" x14ac:dyDescent="0.3">
      <c r="A8" s="43">
        <v>1800</v>
      </c>
      <c r="B8" s="44" t="s">
        <v>143</v>
      </c>
    </row>
    <row r="9" spans="1:2" x14ac:dyDescent="0.3">
      <c r="A9" s="43">
        <v>3000</v>
      </c>
      <c r="B9" s="44" t="s">
        <v>341</v>
      </c>
    </row>
    <row r="10" spans="1:2" x14ac:dyDescent="0.3">
      <c r="A10" s="43">
        <v>3400</v>
      </c>
      <c r="B10" s="44" t="s">
        <v>342</v>
      </c>
    </row>
    <row r="11" spans="1:2" x14ac:dyDescent="0.3">
      <c r="A11" s="43">
        <v>3800</v>
      </c>
      <c r="B11" s="44" t="s">
        <v>347</v>
      </c>
    </row>
    <row r="12" spans="1:2" x14ac:dyDescent="0.3">
      <c r="A12" s="43">
        <v>4200</v>
      </c>
      <c r="B12" s="44" t="s">
        <v>344</v>
      </c>
    </row>
    <row r="13" spans="1:2" x14ac:dyDescent="0.3">
      <c r="A13" s="43">
        <v>4600</v>
      </c>
      <c r="B13" s="44" t="s">
        <v>345</v>
      </c>
    </row>
    <row r="14" spans="1:2" x14ac:dyDescent="0.3">
      <c r="A14" s="43">
        <v>5000</v>
      </c>
      <c r="B14" s="44" t="s">
        <v>340</v>
      </c>
    </row>
    <row r="15" spans="1:2" x14ac:dyDescent="0.3">
      <c r="A15" s="43">
        <v>5400</v>
      </c>
      <c r="B15" s="44" t="s">
        <v>346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6"/>
  <dimension ref="B1:K78"/>
  <sheetViews>
    <sheetView showGridLines="0" topLeftCell="A45" workbookViewId="0">
      <selection activeCell="B72" sqref="B72:B73"/>
    </sheetView>
  </sheetViews>
  <sheetFormatPr baseColWidth="10" defaultRowHeight="14.4" x14ac:dyDescent="0.3"/>
  <cols>
    <col min="2" max="2" width="39.5546875" customWidth="1"/>
    <col min="3" max="3" width="17.44140625" customWidth="1"/>
    <col min="4" max="4" width="24" customWidth="1"/>
    <col min="5" max="5" width="24.5546875" customWidth="1"/>
    <col min="6" max="6" width="22.88671875" customWidth="1"/>
    <col min="7" max="7" width="8.88671875" customWidth="1"/>
    <col min="8" max="8" width="30.5546875" customWidth="1"/>
    <col min="9" max="9" width="11.44140625" customWidth="1"/>
    <col min="10" max="10" width="9.5546875" customWidth="1"/>
  </cols>
  <sheetData>
    <row r="1" spans="2:8" ht="36" customHeight="1" x14ac:dyDescent="0.5">
      <c r="B1" s="79" t="str">
        <f>+Inngang!C9</f>
        <v/>
      </c>
      <c r="C1" s="106"/>
    </row>
    <row r="3" spans="2:8" x14ac:dyDescent="0.3">
      <c r="B3" s="7" t="s">
        <v>52</v>
      </c>
    </row>
    <row r="4" spans="2:8" x14ac:dyDescent="0.3">
      <c r="B4" s="7"/>
    </row>
    <row r="5" spans="2:8" ht="43.2" x14ac:dyDescent="0.3">
      <c r="B5" s="38"/>
      <c r="C5" s="18" t="s">
        <v>278</v>
      </c>
      <c r="D5" s="18" t="s">
        <v>131</v>
      </c>
    </row>
    <row r="6" spans="2:8" x14ac:dyDescent="0.3">
      <c r="B6" s="39"/>
      <c r="C6" s="37" t="s">
        <v>40</v>
      </c>
      <c r="D6" s="37" t="s">
        <v>40</v>
      </c>
    </row>
    <row r="7" spans="2:8" x14ac:dyDescent="0.3">
      <c r="B7" s="62" t="s">
        <v>139</v>
      </c>
      <c r="C7" s="64" t="e">
        <f>VLOOKUP(Inngang!$B$9,'2023 Inntektsnivå'!A5:D15,4)</f>
        <v>#N/A</v>
      </c>
      <c r="D7" s="101"/>
    </row>
    <row r="8" spans="2:8" x14ac:dyDescent="0.3">
      <c r="B8" s="62" t="s">
        <v>273</v>
      </c>
      <c r="C8" s="65" t="e">
        <f>+E31+E32+E33+E34+E35</f>
        <v>#N/A</v>
      </c>
      <c r="D8" s="74" t="e">
        <f>H31+H32+H33+H34+H35</f>
        <v>#N/A</v>
      </c>
    </row>
    <row r="9" spans="2:8" x14ac:dyDescent="0.3">
      <c r="B9" s="62" t="s">
        <v>272</v>
      </c>
      <c r="C9" s="65" t="e">
        <f>+E36</f>
        <v>#N/A</v>
      </c>
      <c r="D9" s="74" t="e">
        <f t="shared" ref="D9:D12" si="0">+H36</f>
        <v>#N/A</v>
      </c>
    </row>
    <row r="10" spans="2:8" x14ac:dyDescent="0.3">
      <c r="B10" s="62" t="s">
        <v>27</v>
      </c>
      <c r="C10" s="65" t="e">
        <f>+E37</f>
        <v>#N/A</v>
      </c>
      <c r="D10" s="74" t="e">
        <f t="shared" si="0"/>
        <v>#N/A</v>
      </c>
    </row>
    <row r="11" spans="2:8" x14ac:dyDescent="0.3">
      <c r="B11" s="62" t="s">
        <v>24</v>
      </c>
      <c r="C11" s="65" t="e">
        <f t="shared" ref="C11:C12" si="1">+E38</f>
        <v>#N/A</v>
      </c>
      <c r="D11" s="74" t="e">
        <f t="shared" si="0"/>
        <v>#N/A</v>
      </c>
    </row>
    <row r="12" spans="2:8" x14ac:dyDescent="0.3">
      <c r="B12" s="63" t="s">
        <v>25</v>
      </c>
      <c r="C12" s="66" t="e">
        <f t="shared" si="1"/>
        <v>#N/A</v>
      </c>
      <c r="D12" s="75" t="e">
        <f t="shared" si="0"/>
        <v>#N/A</v>
      </c>
    </row>
    <row r="13" spans="2:8" x14ac:dyDescent="0.3">
      <c r="B13" s="7"/>
      <c r="C13" s="5"/>
      <c r="D13" s="5"/>
    </row>
    <row r="14" spans="2:8" x14ac:dyDescent="0.3">
      <c r="B14" s="7"/>
    </row>
    <row r="16" spans="2:8" ht="43.2" x14ac:dyDescent="0.3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11" x14ac:dyDescent="0.3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11" x14ac:dyDescent="0.3">
      <c r="B18" s="62" t="s">
        <v>174</v>
      </c>
      <c r="C18" s="14" t="e">
        <f>VLOOKUP(Inngang!$B$9,'2023 Nto driftsutg eks avskriv'!$A$5:$T$15,4)*1000/VLOOKUP(Inngang!$B$9,'2023 Nto driftsutg'!$A$5:$W$15,23)*100/'2023 Nto driftsutg landet'!C5-100</f>
        <v>#N/A</v>
      </c>
      <c r="D18" s="5" t="e">
        <f>('2023 Nto driftsutg landet'!$C$5+VLOOKUP(Inngang!$B$9,'2023 Korreksjoner'!$A$5:$AS$15,3)+VLOOKUP(Inngang!$B$9,'2023 Korreksjoner'!$A$5:$AS$15,5)+VLOOKUP(Inngang!$B$9,'2023 Korreksjoner'!$A$5:$AS$15,12)+VLOOKUP(Inngang!$B$9,'2023 Korreksjoner'!$A$5:$AS$15,28))*100/'2023 Nto driftsutg landet'!C5-100</f>
        <v>#N/A</v>
      </c>
      <c r="E18" s="16" t="e">
        <f>+C18-D18</f>
        <v>#N/A</v>
      </c>
      <c r="F18" s="5" t="e">
        <f>('2023 Nto driftsutg landet'!$C$5*VLOOKUP(Inngang!$B$9,'2023 Inntektsnivå'!$A$5:$C$15,3)+VLOOKUP(Inngang!$B$9,'2023 Korreksjoner'!$A$5:$AS$15,5)+VLOOKUP(Inngang!$B$9,'2023 Korreksjoner'!$A$5:$AS$15,3)+VLOOKUP(Inngang!$B$9,'2023 Korreksjoner'!$A$5:$AS$15,12)+VLOOKUP(Inngang!$B$9,'2023 Korreksjoner'!$A$5:$AS$15,28))*100/'2023 Nto driftsutg landet'!C5-100</f>
        <v>#N/A</v>
      </c>
      <c r="G18" s="5"/>
      <c r="H18" s="16" t="e">
        <f>+C18-F18</f>
        <v>#N/A</v>
      </c>
    </row>
    <row r="19" spans="2:11" x14ac:dyDescent="0.3">
      <c r="B19" s="62" t="s">
        <v>175</v>
      </c>
      <c r="C19" s="14" t="e">
        <f>VLOOKUP(Inngang!$B$9,'2023 Nto driftsutg eks avskriv'!$A$5:$T$15,5)*1000/VLOOKUP(Inngang!$B$9,'2023 Nto driftsutg'!$A$5:$W$15,23)*100/'2023 Nto driftsutg landet'!C6-100</f>
        <v>#N/A</v>
      </c>
      <c r="D19" s="5" t="e">
        <f>('2023 Nto driftsutg landet'!$C$6+VLOOKUP(Inngang!$B$9,'2023 Korreksjoner'!$A$5:$AS$15,6)+VLOOKUP(Inngang!$B$9,'2023 Korreksjoner'!$A$5:$AS$15,13)+VLOOKUP(Inngang!$B$9,'2023 Korreksjoner'!$A$5:$AS$15,29))*100/'2023 Nto driftsutg landet'!C6-100</f>
        <v>#N/A</v>
      </c>
      <c r="E19" s="16" t="e">
        <f>+C19-D19</f>
        <v>#N/A</v>
      </c>
      <c r="F19" s="5" t="e">
        <f>('2023 Nto driftsutg landet'!$C$6*VLOOKUP(Inngang!$B$9,'2023 Inntektsnivå'!$A$5:$C$15,3)+VLOOKUP(Inngang!$B$9,'2023 Korreksjoner'!$A$5:$AS$15,6)+VLOOKUP(Inngang!$B$9,'2023 Korreksjoner'!$A$5:$AS$15,13)+VLOOKUP(Inngang!$B$9,'2023 Korreksjoner'!$A$5:$AS$15,29))*100/'2023 Nto driftsutg landet'!C6-100</f>
        <v>#N/A</v>
      </c>
      <c r="G19" s="5"/>
      <c r="H19" s="16" t="e">
        <f>+C19-F19</f>
        <v>#N/A</v>
      </c>
    </row>
    <row r="20" spans="2:11" x14ac:dyDescent="0.3">
      <c r="B20" s="62" t="s">
        <v>398</v>
      </c>
      <c r="C20" s="14" t="e">
        <f>VLOOKUP(Inngang!$B$9,'2023 Nto driftsutg eks avskriv'!$A$5:$T$15,6)*1000/VLOOKUP(Inngang!$B$9,'2023 Nto driftsutg'!$A$5:$W$15,23)*100/'2023 Nto driftsutg landet'!C7-100</f>
        <v>#N/A</v>
      </c>
      <c r="D20" s="5" t="e">
        <f>('2023 Nto driftsutg landet'!$C$7+VLOOKUP(Inngang!$B$9,'2023 Korreksjoner'!$A$5:$AS$15,7)+VLOOKUP(Inngang!$B$9,'2023 Korreksjoner'!$A$5:$AS$15,14)+VLOOKUP(Inngang!$B$9,'2023 Korreksjoner'!$A$5:$AS$15,30))*100/'2023 Nto driftsutg landet'!C7-100</f>
        <v>#N/A</v>
      </c>
      <c r="E20" s="16" t="e">
        <f>+C20-D20</f>
        <v>#N/A</v>
      </c>
      <c r="F20" s="5" t="e">
        <f>('2023 Nto driftsutg landet'!$C$7*VLOOKUP(Inngang!$B$9,'2023 Inntektsnivå'!$A$5:$C$15,3)+VLOOKUP(Inngang!$B$9,'2023 Korreksjoner'!$A$5:$AS$15,7)+VLOOKUP(Inngang!$B$9,'2023 Korreksjoner'!$A$5:$AS$15,14)+VLOOKUP(Inngang!$B$9,'2023 Korreksjoner'!$A$5:$AS$15,30))*100/'2023 Nto driftsutg landet'!C7-100</f>
        <v>#N/A</v>
      </c>
      <c r="G20" s="5"/>
      <c r="H20" s="16" t="e">
        <f>+C20-F20</f>
        <v>#N/A</v>
      </c>
    </row>
    <row r="21" spans="2:11" x14ac:dyDescent="0.3">
      <c r="B21" s="62" t="s">
        <v>359</v>
      </c>
      <c r="C21" s="14" t="e">
        <f>VLOOKUP(Inngang!$B$9,'2023 Nto driftsutg eks avskriv'!$A$5:$T$15,7)*1000/VLOOKUP(Inngang!$B$9,'2023 Nto driftsutg'!$A$5:$W$15,23)*100/'2023 Nto driftsutg landet'!C9-100</f>
        <v>#N/A</v>
      </c>
      <c r="D21" s="5" t="e">
        <f>('2023 Nto driftsutg landet'!$C$8+VLOOKUP(Inngang!$B$9,'2023 Korreksjoner'!$A$5:$AS$15,8)+VLOOKUP(Inngang!$B$9,'2023 Korreksjoner'!$A$5:$AS$15,15)+VLOOKUP(Inngang!$B$9,'2023 Korreksjoner'!$A$5:$AS$15,31))*100/'2023 Nto driftsutg landet'!C8-100</f>
        <v>#N/A</v>
      </c>
      <c r="E21" s="16" t="e">
        <f>+C21-D21</f>
        <v>#N/A</v>
      </c>
      <c r="F21" s="5" t="e">
        <f>('2023 Nto driftsutg landet'!$C$8*VLOOKUP(Inngang!$B$9,'2023 Inntektsnivå'!$A$5:$C$15,3)+VLOOKUP(Inngang!$B$9,'2023 Korreksjoner'!$A$5:$AS$15,8)+VLOOKUP(Inngang!$B$9,'2023 Korreksjoner'!$A$5:$AS$15,15)+VLOOKUP(Inngang!$B$9,'2023 Korreksjoner'!$A$5:$AS$15,31))*100/'2023 Nto driftsutg landet'!C8-100</f>
        <v>#N/A</v>
      </c>
      <c r="G21" s="5"/>
      <c r="H21" s="16" t="e">
        <f>+C21-F21</f>
        <v>#N/A</v>
      </c>
    </row>
    <row r="22" spans="2:11" x14ac:dyDescent="0.3">
      <c r="B22" s="63" t="s">
        <v>176</v>
      </c>
      <c r="C22" s="26" t="e">
        <f>VLOOKUP(Inngang!$B$9,'2023 Nto driftsutg eks avskriv'!$A$5:$T$15,8)*1000/VLOOKUP(Inngang!$B$9,'2023 Nto driftsutg'!$A$5:$W$15,23)*100/'2023 Nto driftsutg landet'!C9-100</f>
        <v>#N/A</v>
      </c>
      <c r="D22" s="22" t="e">
        <f>('2023 Nto driftsutg landet'!$C$9+VLOOKUP(Inngang!$B$9,'2023 Korreksjoner'!$A$5:$AS$15,9)+VLOOKUP(Inngang!$B$9,'2023 Korreksjoner'!$A$5:$AS$15,16)+VLOOKUP(Inngang!$B$9,'2023 Korreksjoner'!$A$5:$AS$15,32))*100/'2023 Nto driftsutg landet'!C9-100</f>
        <v>#N/A</v>
      </c>
      <c r="E22" s="27" t="e">
        <f t="shared" ref="E22" si="2">+C22-D22</f>
        <v>#N/A</v>
      </c>
      <c r="F22" s="22" t="e">
        <f>('2023 Nto driftsutg landet'!$C$9*VLOOKUP(Inngang!$B$9,'2023 Inntektsnivå'!$A$5:$C$15,3)+VLOOKUP(Inngang!$B$9,'2023 Korreksjoner'!$A$5:$AS$15,9)+VLOOKUP(Inngang!$B$9,'2023 Korreksjoner'!$A$5:$AS$15,16)+VLOOKUP(Inngang!$B$9,'2023 Korreksjoner'!$A$5:$AS$15,32))*100/'2023 Nto driftsutg landet'!C9-100</f>
        <v>#N/A</v>
      </c>
      <c r="G22" s="22"/>
      <c r="H22" s="27" t="e">
        <f t="shared" ref="H22" si="3">+C22-F22</f>
        <v>#N/A</v>
      </c>
    </row>
    <row r="26" spans="2:11" x14ac:dyDescent="0.3">
      <c r="B26" s="7" t="s">
        <v>35</v>
      </c>
    </row>
    <row r="27" spans="2:11" x14ac:dyDescent="0.3">
      <c r="K27" s="5"/>
    </row>
    <row r="28" spans="2:11" ht="43.2" x14ac:dyDescent="0.3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  <c r="I28" s="117" t="s">
        <v>134</v>
      </c>
      <c r="J28" s="117"/>
    </row>
    <row r="29" spans="2:11" x14ac:dyDescent="0.3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11" x14ac:dyDescent="0.3">
      <c r="B30" s="83" t="s">
        <v>140</v>
      </c>
      <c r="C30" s="84" t="e">
        <f>SUM(C31:C35)</f>
        <v>#N/A</v>
      </c>
      <c r="D30" s="84" t="e">
        <f>SUM(D31:D35)</f>
        <v>#N/A</v>
      </c>
      <c r="E30" s="85" t="e">
        <f>SUM(E31:E35)</f>
        <v>#N/A</v>
      </c>
      <c r="F30" s="87" t="e">
        <f>SUM(F31:F35)</f>
        <v>#N/A</v>
      </c>
      <c r="G30" s="84"/>
      <c r="H30" s="86" t="e">
        <f>SUM(H31:H35)</f>
        <v>#N/A</v>
      </c>
      <c r="I30">
        <v>-300</v>
      </c>
      <c r="J30">
        <v>300</v>
      </c>
    </row>
    <row r="31" spans="2:11" x14ac:dyDescent="0.3">
      <c r="B31" s="32" t="s">
        <v>174</v>
      </c>
      <c r="C31" s="5" t="e">
        <f>VLOOKUP(Inngang!$B$9,'2023 Nto driftsutg eks avskriv'!$A$5:$T$15,4)*1000/VLOOKUP(Inngang!$B$9,'2023 Nto driftsutg'!$A$5:$W$15,23)</f>
        <v>#N/A</v>
      </c>
      <c r="D31" s="5" t="e">
        <f>+'2023 Nto driftsutg landet'!$C$5+VLOOKUP(Inngang!$B$9,'2023 Korreksjoner'!$A$5:$AS$15,5)+VLOOKUP(Inngang!$B$9,'2023 Korreksjoner'!$A$5:$I$15,3)+VLOOKUP(Inngang!$B$9,'2023 Korreksjoner'!$A$5:$AS$15,12)+VLOOKUP(Inngang!$B$9,'2023 Korreksjoner'!$A$5:$AS$15,28)</f>
        <v>#N/A</v>
      </c>
      <c r="E31" s="17" t="e">
        <f>+C31-D31</f>
        <v>#N/A</v>
      </c>
      <c r="F31" s="14" t="e">
        <f>+'2023 Nto driftsutg landet'!$C$5*VLOOKUP(Inngang!$B$9,'2023 Inntektsnivå'!$A$5:$C$15,3)+VLOOKUP(Inngang!$B$9,'2023 Korreksjoner'!$A$5:$AS$15,5)+VLOOKUP(Inngang!$B$9,'2023 Korreksjoner'!$A$5:$I$15,3)+VLOOKUP(Inngang!$B$9,'2023 Korreksjoner'!$A$5:$AS$15,12)+VLOOKUP(Inngang!$B$9,'2023 Korreksjoner'!$A$5:$AS$15,28)</f>
        <v>#N/A</v>
      </c>
      <c r="G31" s="5"/>
      <c r="H31" s="16" t="e">
        <f>IF(F34=G34,C31-F31,(C31-F31)-(G34-F34)*C31/C30)</f>
        <v>#N/A</v>
      </c>
      <c r="I31">
        <v>-300</v>
      </c>
      <c r="J31">
        <v>300</v>
      </c>
    </row>
    <row r="32" spans="2:11" x14ac:dyDescent="0.3">
      <c r="B32" s="32" t="s">
        <v>175</v>
      </c>
      <c r="C32" s="5" t="e">
        <f>VLOOKUP(Inngang!$B$9,'2023 Nto driftsutg eks avskriv'!$A$5:$T$15,5)*1000/VLOOKUP(Inngang!$B$9,'2023 Nto driftsutg'!$A$5:$W$15,23)</f>
        <v>#N/A</v>
      </c>
      <c r="D32" s="5" t="e">
        <f>+'2023 Nto driftsutg landet'!$C$6+VLOOKUP(Inngang!$B$9,'2023 Korreksjoner'!$A$5:$AS$15,6)+VLOOKUP(Inngang!$B$9,'2023 Korreksjoner'!$A$5:$AS$15,13)+VLOOKUP(Inngang!$B$9,'2023 Korreksjoner'!$A$5:$AS$15,29)</f>
        <v>#N/A</v>
      </c>
      <c r="E32" s="17" t="e">
        <f>+C32-D32</f>
        <v>#N/A</v>
      </c>
      <c r="F32" s="14" t="e">
        <f>+'2023 Nto driftsutg landet'!$C$6*VLOOKUP(Inngang!$B$9,'2023 Inntektsnivå'!$A$5:$C$15,3)+VLOOKUP(Inngang!$B$9,'2023 Korreksjoner'!$A$5:$AS$15,6)+VLOOKUP(Inngang!$B$9,'2023 Korreksjoner'!$A$5:$AS$15,13)+VLOOKUP(Inngang!$B$9,'2023 Korreksjoner'!$A$5:$AS$15,29)</f>
        <v>#N/A</v>
      </c>
      <c r="G32" s="5"/>
      <c r="H32" s="16" t="e">
        <f>IF(F34=G34,C32-F32,(C32-F32)-(G34-F34)*C32/C30)</f>
        <v>#N/A</v>
      </c>
      <c r="I32">
        <v>-300</v>
      </c>
      <c r="J32">
        <v>300</v>
      </c>
    </row>
    <row r="33" spans="2:10" x14ac:dyDescent="0.3">
      <c r="B33" s="32" t="s">
        <v>398</v>
      </c>
      <c r="C33" s="5" t="e">
        <f>VLOOKUP(Inngang!$B$9,'2023 Nto driftsutg eks avskriv'!$A$5:$T$15,6)*1000/VLOOKUP(Inngang!$B$9,'2023 Nto driftsutg'!$A$5:$W$15,23)</f>
        <v>#N/A</v>
      </c>
      <c r="D33" s="5" t="e">
        <f>+'2023 Nto driftsutg landet'!$C$7+VLOOKUP(Inngang!$B$9,'2023 Korreksjoner'!$A$5:$AS$15,7)+VLOOKUP(Inngang!$B$9,'2023 Korreksjoner'!$A$5:$AS$15,14)+VLOOKUP(Inngang!$B$9,'2023 Korreksjoner'!$A$5:$AS$15,30)</f>
        <v>#N/A</v>
      </c>
      <c r="E33" s="17" t="e">
        <f>+C33-D33</f>
        <v>#N/A</v>
      </c>
      <c r="F33" s="14" t="e">
        <f>+'2023 Nto driftsutg landet'!$C$7*VLOOKUP(Inngang!$B$9,'2023 Inntektsnivå'!$A$5:$C$15,3)+VLOOKUP(Inngang!$B$9,'2023 Korreksjoner'!$A$5:$AS$15,7)+VLOOKUP(Inngang!$B$9,'2023 Korreksjoner'!$A$5:$AS$15,14)+VLOOKUP(Inngang!$B$9,'2023 Korreksjoner'!$A$5:$AS$15,30)</f>
        <v>#N/A</v>
      </c>
      <c r="G33" s="5"/>
      <c r="H33" s="16" t="e">
        <f>IF(F34=G34,C33-F33,(C33-F33)-(G34-F34)*(C33+C34)/C30)</f>
        <v>#N/A</v>
      </c>
      <c r="I33">
        <v>-300</v>
      </c>
      <c r="J33">
        <v>300</v>
      </c>
    </row>
    <row r="34" spans="2:10" x14ac:dyDescent="0.3">
      <c r="B34" s="32" t="s">
        <v>359</v>
      </c>
      <c r="C34" s="5" t="e">
        <f>VLOOKUP(Inngang!$B$9,'2023 Nto driftsutg eks avskriv'!$A$5:$T$15,7)*1000/VLOOKUP(Inngang!$B$9,'2023 Nto driftsutg'!$A$5:$W$15,23)</f>
        <v>#N/A</v>
      </c>
      <c r="D34" s="5" t="e">
        <f>+'2023 Nto driftsutg landet'!$C$8+VLOOKUP(Inngang!$B$9,'2023 Korreksjoner'!$A$5:$AS$15,8)+VLOOKUP(Inngang!$B$9,'2023 Korreksjoner'!$A$5:$AS$15,15)+VLOOKUP(Inngang!$B$9,'2023 Korreksjoner'!$A$5:$AS$15,31)</f>
        <v>#N/A</v>
      </c>
      <c r="E34" s="17" t="e">
        <f>+C34-D34</f>
        <v>#N/A</v>
      </c>
      <c r="F34" s="14" t="e">
        <f>IF(AND(C34&gt;=0.5,D34&gt;0),IF(G34&lt;5,C34,G34),0)</f>
        <v>#N/A</v>
      </c>
      <c r="G34" s="5" t="e">
        <f>+'2023 Nto driftsutg landet'!$C$8*VLOOKUP(Inngang!$B$9,'2023 Inntektsnivå'!$A$5:$C$15,3)+VLOOKUP(Inngang!$B$9,'2023 Korreksjoner'!$A$5:$AS$15,8)+VLOOKUP(Inngang!$B$9,'2023 Korreksjoner'!$A$5:$AS$15,15)+VLOOKUP(Inngang!$B$9,'2023 Korreksjoner'!$A$5:$AS$15,31)</f>
        <v>#N/A</v>
      </c>
      <c r="H34" s="16" t="e">
        <f>+C34-F34</f>
        <v>#N/A</v>
      </c>
      <c r="I34">
        <v>-300</v>
      </c>
      <c r="J34">
        <v>300</v>
      </c>
    </row>
    <row r="35" spans="2:10" x14ac:dyDescent="0.3">
      <c r="B35" s="33" t="s">
        <v>176</v>
      </c>
      <c r="C35" s="22" t="e">
        <f>VLOOKUP(Inngang!$B$9,'2023 Nto driftsutg eks avskriv'!$A$5:$T$15,8)*1000/VLOOKUP(Inngang!$B$9,'2023 Nto driftsutg'!$A$5:$W$15,23)</f>
        <v>#N/A</v>
      </c>
      <c r="D35" s="22" t="e">
        <f>+'2023 Nto driftsutg landet'!$C$9+VLOOKUP(Inngang!$B$9,'2023 Korreksjoner'!$A$5:$AS$15,9)+VLOOKUP(Inngang!$B$9,'2023 Korreksjoner'!$A$5:$AS$15,16)+VLOOKUP(Inngang!$B$9,'2023 Korreksjoner'!$A$5:$AS$15,32)</f>
        <v>#N/A</v>
      </c>
      <c r="E35" s="40" t="e">
        <f t="shared" ref="E35:E39" si="4">+C35-D35</f>
        <v>#N/A</v>
      </c>
      <c r="F35" s="26" t="e">
        <f>+'2023 Nto driftsutg landet'!$C$9*VLOOKUP(Inngang!$B$9,'2023 Inntektsnivå'!$A$5:$C$15,3)+VLOOKUP(Inngang!$B$9,'2023 Korreksjoner'!$A$5:$AS$15,9)+VLOOKUP(Inngang!$B$9,'2023 Korreksjoner'!$A$5:$AS$15,16)+VLOOKUP(Inngang!$B$9,'2023 Korreksjoner'!$A$5:$AS$15,32)</f>
        <v>#N/A</v>
      </c>
      <c r="G35" s="22"/>
      <c r="H35" s="27" t="e">
        <f>IF(F34=G34,C35-F35,(C35-F35)-(G34-F34)*C35/C30)</f>
        <v>#N/A</v>
      </c>
      <c r="I35">
        <v>-300</v>
      </c>
      <c r="J35">
        <v>300</v>
      </c>
    </row>
    <row r="36" spans="2:10" x14ac:dyDescent="0.3">
      <c r="B36" s="32" t="s">
        <v>272</v>
      </c>
      <c r="C36" s="5" t="e">
        <f>VLOOKUP(Inngang!$B$9,'2023 Nto driftsutg eks avskriv'!$A$5:$T$15,9)*1000/VLOOKUP(Inngang!$B$9,'2023 Nto driftsutg'!$A$5:$W$15,23)</f>
        <v>#N/A</v>
      </c>
      <c r="D36" s="5" t="e">
        <f>'2023 Nto driftsutg landet'!$C$13+VLOOKUP(Inngang!$B$9,'2023 Korreksjoner'!$A$5:$AS$15,17)+VLOOKUP(Inngang!$B$9,'2023 Korreksjoner'!$A$5:$AS$15,33)+VLOOKUP(Inngang!$B$9,'2023 Korreksjoner'!$A$5:$AW$15,46)</f>
        <v>#N/A</v>
      </c>
      <c r="E36" s="17" t="e">
        <f t="shared" si="4"/>
        <v>#N/A</v>
      </c>
      <c r="F36" s="14" t="e">
        <f>+'2023 Nto driftsutg landet'!$C$13*VLOOKUP(Inngang!$B$9,'2023 Inntektsnivå'!$A$5:$C$15,3)+VLOOKUP(Inngang!$B$9,'2023 Korreksjoner'!$A$5:$AS$15,17)+VLOOKUP(Inngang!$B$9,'2023 Korreksjoner'!$A$5:$AS$15,33)+VLOOKUP(Inngang!$B$9,'2023 Korreksjoner'!$A$5:$AV$15,46)</f>
        <v>#N/A</v>
      </c>
      <c r="G36" s="5"/>
      <c r="H36" s="16" t="e">
        <f>+C36-F36</f>
        <v>#N/A</v>
      </c>
      <c r="I36">
        <v>-300</v>
      </c>
      <c r="J36">
        <v>300</v>
      </c>
    </row>
    <row r="37" spans="2:10" x14ac:dyDescent="0.3">
      <c r="B37" s="32" t="s">
        <v>27</v>
      </c>
      <c r="C37" s="5" t="e">
        <f>VLOOKUP(Inngang!$B$9,'2023 Nto driftsutg eks avskriv'!$A$5:$T$15,18)*1000/VLOOKUP(Inngang!$B$9,'2023 Nto driftsutg'!$A$5:$W$15,23)</f>
        <v>#N/A</v>
      </c>
      <c r="D37" s="5" t="e">
        <f>'2023 Nto driftsutg landet'!$C$14+VLOOKUP(Inngang!$B$9,'2023 Korreksjoner'!$A$5:$AX$15,44)</f>
        <v>#N/A</v>
      </c>
      <c r="E37" s="17" t="e">
        <f t="shared" si="4"/>
        <v>#N/A</v>
      </c>
      <c r="F37" s="14" t="e">
        <f>+'2023 Nto driftsutg landet'!$C$14*VLOOKUP(Inngang!$B$9,'2023 Inntektsnivå'!$A$5:$C$15,3)+VLOOKUP(Inngang!$B$9,'2023 Korreksjoner'!$A$5:$AX$15,44)</f>
        <v>#N/A</v>
      </c>
      <c r="G37" s="5"/>
      <c r="H37" s="16" t="e">
        <f>+C37-F37</f>
        <v>#N/A</v>
      </c>
      <c r="I37">
        <v>-300</v>
      </c>
      <c r="J37">
        <v>300</v>
      </c>
    </row>
    <row r="38" spans="2:10" x14ac:dyDescent="0.3">
      <c r="B38" s="32" t="s">
        <v>24</v>
      </c>
      <c r="C38" s="5" t="e">
        <f>VLOOKUP(Inngang!$B$9,'2023 Nto driftsutg eks avskriv'!$A$5:$T$15,19)*1000/VLOOKUP(Inngang!$B$9,'2023 Nto driftsutg'!$A$5:$W$15,23)</f>
        <v>#N/A</v>
      </c>
      <c r="D38" s="93">
        <f>'2023 Nto driftsutg landet'!$C$15</f>
        <v>859.80483865657436</v>
      </c>
      <c r="E38" s="94" t="e">
        <f t="shared" si="4"/>
        <v>#N/A</v>
      </c>
      <c r="F38" s="95" t="e">
        <f>+'2023 Nto driftsutg landet'!$C$15*VLOOKUP(Inngang!$B$9,'2023 Inntektsnivå'!$A$5:$C$15,3)</f>
        <v>#N/A</v>
      </c>
      <c r="G38" s="93"/>
      <c r="H38" s="96" t="e">
        <f>+C38-F38</f>
        <v>#N/A</v>
      </c>
      <c r="I38">
        <v>-300</v>
      </c>
      <c r="J38">
        <v>300</v>
      </c>
    </row>
    <row r="39" spans="2:10" x14ac:dyDescent="0.3">
      <c r="B39" s="33" t="s">
        <v>25</v>
      </c>
      <c r="C39" s="22" t="e">
        <f>VLOOKUP(Inngang!$B$9,'2023 Nto driftsutg eks avskriv'!$A$5:$T$15,20)*1000/VLOOKUP(Inngang!$B$9,'2023 Nto driftsutg'!$A$5:$W$15,23)</f>
        <v>#N/A</v>
      </c>
      <c r="D39" s="97">
        <f>'2023 Nto driftsutg landet'!$C$16</f>
        <v>800.62190589015938</v>
      </c>
      <c r="E39" s="98" t="e">
        <f t="shared" si="4"/>
        <v>#N/A</v>
      </c>
      <c r="F39" s="99" t="e">
        <f>+'2023 Nto driftsutg landet'!$C$16*VLOOKUP(Inngang!$B$9,'2023 Inntektsnivå'!$A$5:$C$15,3)</f>
        <v>#N/A</v>
      </c>
      <c r="G39" s="93"/>
      <c r="H39" s="96" t="e">
        <f>+C39-F39</f>
        <v>#N/A</v>
      </c>
      <c r="I39">
        <v>-300</v>
      </c>
      <c r="J39">
        <v>300</v>
      </c>
    </row>
    <row r="40" spans="2:10" x14ac:dyDescent="0.3">
      <c r="B40" s="28" t="s">
        <v>18</v>
      </c>
      <c r="C40" s="29" t="e">
        <f>SUM(C31:C39)</f>
        <v>#N/A</v>
      </c>
      <c r="D40" s="30" t="e">
        <f>SUM(D31:D39)</f>
        <v>#N/A</v>
      </c>
      <c r="E40" s="31" t="e">
        <f>SUM(E31:E39)</f>
        <v>#N/A</v>
      </c>
      <c r="F40" s="29" t="e">
        <f>SUM(F31:F39)</f>
        <v>#N/A</v>
      </c>
      <c r="G40" s="30"/>
      <c r="H40" s="34" t="e">
        <f>SUM(H31:H39)</f>
        <v>#N/A</v>
      </c>
    </row>
    <row r="41" spans="2:10" x14ac:dyDescent="0.3">
      <c r="C41" s="5"/>
      <c r="D41" s="5"/>
    </row>
    <row r="43" spans="2:10" x14ac:dyDescent="0.3">
      <c r="B43" s="7" t="s">
        <v>36</v>
      </c>
    </row>
    <row r="45" spans="2:10" ht="43.2" x14ac:dyDescent="0.3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  <c r="I45" s="117" t="s">
        <v>134</v>
      </c>
      <c r="J45" s="117"/>
    </row>
    <row r="46" spans="2:10" x14ac:dyDescent="0.3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10" x14ac:dyDescent="0.3">
      <c r="B47" s="83" t="s">
        <v>137</v>
      </c>
      <c r="C47" s="84" t="e">
        <f>SUM(C48:C53)</f>
        <v>#N/A</v>
      </c>
      <c r="D47" s="84" t="e">
        <f>SUM(D48:D53)</f>
        <v>#N/A</v>
      </c>
      <c r="E47" s="88" t="e">
        <f>SUM(E48:E53)</f>
        <v>#N/A</v>
      </c>
      <c r="F47" s="89" t="e">
        <f>SUM(F48:F53)</f>
        <v>#N/A</v>
      </c>
      <c r="G47" s="84"/>
      <c r="H47" s="90" t="e">
        <f>SUM(H48:H53)</f>
        <v>#N/A</v>
      </c>
      <c r="I47">
        <v>-300</v>
      </c>
      <c r="J47">
        <v>300</v>
      </c>
    </row>
    <row r="48" spans="2:10" x14ac:dyDescent="0.3">
      <c r="B48" s="32" t="s">
        <v>4</v>
      </c>
      <c r="C48" s="5" t="e">
        <f>VLOOKUP(Inngang!$B$9,'2023 Nto driftsutg eks avskriv'!$A$5:$T$15,11)*1000/VLOOKUP(Inngang!$B$9,'2023 Nto driftsutg'!$A$5:$W$15,23)</f>
        <v>#N/A</v>
      </c>
      <c r="D48" s="5" t="e">
        <f>'2023 Nto driftsutg eks avskriv'!K$17*1000/'2023 Nto driftsutg'!$W$17+VLOOKUP(Inngang!$B$9,'2023 Korreksjoner'!$A$5:$AS$15,19)+VLOOKUP(Inngang!$B$9,'2023 Korreksjoner'!$A$5:$AS$15,35)</f>
        <v>#N/A</v>
      </c>
      <c r="E48" s="17" t="e">
        <f t="shared" ref="E48:E53" si="5">+C48-D48</f>
        <v>#N/A</v>
      </c>
      <c r="F48" s="14" t="e">
        <f>+'2023 Nto driftsutg landet'!$C$23*VLOOKUP(Inngang!$B$9,'2023 Inntektsnivå'!$A$5:$C$15,3)+VLOOKUP(Inngang!$B$9,'2023 Korreksjoner'!$A$5:$AS$15,19)+VLOOKUP(Inngang!$B$9,'2023 Korreksjoner'!$A$5:$AS$15,35)</f>
        <v>#N/A</v>
      </c>
      <c r="G48" s="5"/>
      <c r="H48" s="16" t="e">
        <f t="shared" ref="H48:H53" si="6">+C48-F48</f>
        <v>#N/A</v>
      </c>
      <c r="I48">
        <v>-300</v>
      </c>
      <c r="J48">
        <v>300</v>
      </c>
    </row>
    <row r="49" spans="2:10" x14ac:dyDescent="0.3">
      <c r="B49" s="32" t="s">
        <v>271</v>
      </c>
      <c r="C49" s="5" t="e">
        <f>VLOOKUP(Inngang!$B$9,'2023 Nto driftsutg eks avskriv'!$A$5:$T$15,12)*1000/VLOOKUP(Inngang!$B$9,'2023 Nto driftsutg'!$A$5:$W$15,23)</f>
        <v>#N/A</v>
      </c>
      <c r="D49" s="5" t="e">
        <f>'2023 Nto driftsutg eks avskriv'!L$17*1000/'2023 Nto driftsutg'!$W$17+VLOOKUP(Inngang!$B$9,'2023 Korreksjoner'!$A$5:$AS$15,20)+VLOOKUP(Inngang!$B$9,'2023 Korreksjoner'!$A$5:$AS$15,36)</f>
        <v>#N/A</v>
      </c>
      <c r="E49" s="17" t="e">
        <f t="shared" si="5"/>
        <v>#N/A</v>
      </c>
      <c r="F49" s="14" t="e">
        <f>+'2023 Nto driftsutg landet'!$C$24*VLOOKUP(Inngang!$B$9,'2023 Inntektsnivå'!$A$5:$C$15,3)+VLOOKUP(Inngang!$B$9,'2023 Korreksjoner'!$A$5:$AS$15,20)+VLOOKUP(Inngang!$B$9,'2023 Korreksjoner'!$A$5:$AS$15,36)</f>
        <v>#N/A</v>
      </c>
      <c r="G49" s="5"/>
      <c r="H49" s="16" t="e">
        <f t="shared" si="6"/>
        <v>#N/A</v>
      </c>
      <c r="I49">
        <v>-300</v>
      </c>
      <c r="J49">
        <v>300</v>
      </c>
    </row>
    <row r="50" spans="2:10" x14ac:dyDescent="0.3">
      <c r="B50" s="32" t="s">
        <v>37</v>
      </c>
      <c r="C50" s="5" t="e">
        <f>VLOOKUP(Inngang!$B$9,'2023 Nto driftsutg eks avskriv'!$A$5:$T$15,13)*1000/VLOOKUP(Inngang!$B$9,'2023 Nto driftsutg'!$A$5:$W$15,23)</f>
        <v>#N/A</v>
      </c>
      <c r="D50" s="5" t="e">
        <f>'2023 Nto driftsutg eks avskriv'!M$17*1000/'2023 Nto driftsutg'!$W$17+VLOOKUP(Inngang!$B$9,'2023 Korreksjoner'!$A$5:$AS$15,21)+VLOOKUP(Inngang!$B$9,'2023 Korreksjoner'!$A$5:$AS$15,37)</f>
        <v>#N/A</v>
      </c>
      <c r="E50" s="17" t="e">
        <f t="shared" si="5"/>
        <v>#N/A</v>
      </c>
      <c r="F50" s="14" t="e">
        <f>+'2023 Nto driftsutg landet'!$C$25*VLOOKUP(Inngang!$B$9,'2023 Inntektsnivå'!$A$5:$C$15,3)+VLOOKUP(Inngang!$B$9,'2023 Korreksjoner'!$A$5:$AS$15,21)+VLOOKUP(Inngang!$B$9,'2023 Korreksjoner'!$A$5:$AS$15,37)</f>
        <v>#N/A</v>
      </c>
      <c r="G50" s="5"/>
      <c r="H50" s="16" t="e">
        <f t="shared" si="6"/>
        <v>#N/A</v>
      </c>
      <c r="I50">
        <v>-300</v>
      </c>
      <c r="J50">
        <v>300</v>
      </c>
    </row>
    <row r="51" spans="2:10" x14ac:dyDescent="0.3">
      <c r="B51" s="32" t="s">
        <v>178</v>
      </c>
      <c r="C51" s="5" t="e">
        <f>VLOOKUP(Inngang!$B$9,'2023 Nto driftsutg eks avskriv'!$A$5:$T$15,14)*1000/VLOOKUP(Inngang!$B$9,'2023 Nto driftsutg'!$A$5:$W$15,23)</f>
        <v>#N/A</v>
      </c>
      <c r="D51" s="5" t="e">
        <f>'2023 Nto driftsutg eks avskriv'!N$17*1000/'2023 Nto driftsutg'!$W$17+VLOOKUP(Inngang!$B$9,'2023 Korreksjoner'!$A$5:$AS$15,22)+VLOOKUP(Inngang!$B$9,'2023 Korreksjoner'!$A$5:$AS$15,38)</f>
        <v>#N/A</v>
      </c>
      <c r="E51" s="17" t="e">
        <f t="shared" si="5"/>
        <v>#N/A</v>
      </c>
      <c r="F51" s="14" t="e">
        <f>+'2023 Nto driftsutg landet'!$C$26*VLOOKUP(Inngang!$B$9,'2023 Inntektsnivå'!$A$5:$C$15,3)+VLOOKUP(Inngang!$B$9,'2023 Korreksjoner'!$A$5:$AS$15,22)+VLOOKUP(Inngang!$B$9,'2023 Korreksjoner'!$A$5:$AS$15,38)</f>
        <v>#N/A</v>
      </c>
      <c r="G51" s="5"/>
      <c r="H51" s="16" t="e">
        <f t="shared" si="6"/>
        <v>#N/A</v>
      </c>
      <c r="I51">
        <v>-300</v>
      </c>
      <c r="J51">
        <v>300</v>
      </c>
    </row>
    <row r="52" spans="2:10" x14ac:dyDescent="0.3">
      <c r="B52" s="32" t="s">
        <v>138</v>
      </c>
      <c r="C52" s="5" t="e">
        <f>VLOOKUP(Inngang!$B$9,'2023 Nto driftsutg eks avskriv'!$A$5:$T$15,15)*1000/VLOOKUP(Inngang!$B$9,'2023 Nto driftsutg'!$A$5:$W$15,23)</f>
        <v>#N/A</v>
      </c>
      <c r="D52" s="5" t="e">
        <f>'2023 Nto driftsutg eks avskriv'!O17*1000/'2023 Nto driftsutg'!$W$17+VLOOKUP(Inngang!$B$9,'2023 Korreksjoner'!$A$5:$AS$15,23)+VLOOKUP(Inngang!$B$9,'2023 Korreksjoner'!$A$5:$AS$15,39)</f>
        <v>#N/A</v>
      </c>
      <c r="E52" s="17" t="e">
        <f t="shared" si="5"/>
        <v>#N/A</v>
      </c>
      <c r="F52" s="14" t="e">
        <f>'2023 Nto driftsutg landet'!$C$27*VLOOKUP(Inngang!$B$9,'2023 Inntektsnivå'!$A$5:$C$15,3)+VLOOKUP(Inngang!$B$9,'2023 Korreksjoner'!$A$5:$AS$15,23)+VLOOKUP(Inngang!$B$9,'2023 Korreksjoner'!$A$5:$AS$15,39)</f>
        <v>#N/A</v>
      </c>
      <c r="G52" s="5"/>
      <c r="H52" s="16" t="e">
        <f t="shared" si="6"/>
        <v>#N/A</v>
      </c>
      <c r="I52">
        <v>-300</v>
      </c>
      <c r="J52">
        <v>300</v>
      </c>
    </row>
    <row r="53" spans="2:10" x14ac:dyDescent="0.3">
      <c r="B53" s="61" t="s">
        <v>129</v>
      </c>
      <c r="C53" s="22" t="e">
        <f>VLOOKUP(Inngang!$B$9,'2023 Nto driftsutg eks avskriv'!$A$5:$T$15,16)*1000/VLOOKUP(Inngang!$B$9,'2023 Nto driftsutg'!$A$5:$W$15,23)</f>
        <v>#N/A</v>
      </c>
      <c r="D53" s="22" t="e">
        <f>'2023 Nto driftsutg eks avskriv'!P17*1000/'2023 Nto driftsutg'!$W$17+VLOOKUP(Inngang!$B$9,'2023 Korreksjoner'!$A$5:$AS$15,24)+VLOOKUP(Inngang!$B$9,'2023 Korreksjoner'!$A$5:$AS$15,40)</f>
        <v>#N/A</v>
      </c>
      <c r="E53" s="40" t="e">
        <f t="shared" si="5"/>
        <v>#N/A</v>
      </c>
      <c r="F53" s="26" t="e">
        <f>'2023 Nto driftsutg landet'!$C$28*VLOOKUP(Inngang!$B$9,'2023 Inntektsnivå'!$A$5:$C$15,3)+VLOOKUP(Inngang!$B$9,'2023 Korreksjoner'!$A$5:$AS$15,24)+VLOOKUP(Inngang!$B$9,'2023 Korreksjoner'!$A$5:$AS$15,40)</f>
        <v>#N/A</v>
      </c>
      <c r="G53" s="22"/>
      <c r="H53" s="27" t="e">
        <f t="shared" si="6"/>
        <v>#N/A</v>
      </c>
      <c r="I53">
        <v>-300</v>
      </c>
      <c r="J53">
        <v>300</v>
      </c>
    </row>
    <row r="54" spans="2:10" x14ac:dyDescent="0.3">
      <c r="B54" s="28" t="s">
        <v>137</v>
      </c>
      <c r="C54" s="30" t="e">
        <f>SUM(C48:C53)</f>
        <v>#N/A</v>
      </c>
      <c r="D54" s="30" t="e">
        <f>SUM(D48:D53)</f>
        <v>#N/A</v>
      </c>
      <c r="E54" s="31" t="e">
        <f>SUM(E48:E53)</f>
        <v>#N/A</v>
      </c>
      <c r="F54" s="29" t="e">
        <f>SUM(F48:F53)</f>
        <v>#N/A</v>
      </c>
      <c r="G54" s="30"/>
      <c r="H54" s="34" t="e">
        <f>SUM(H48:H53)</f>
        <v>#N/A</v>
      </c>
    </row>
    <row r="58" spans="2:10" x14ac:dyDescent="0.3">
      <c r="B58" s="38" t="s">
        <v>128</v>
      </c>
      <c r="C58" s="20" t="s">
        <v>274</v>
      </c>
      <c r="D58" s="67" t="s">
        <v>3</v>
      </c>
    </row>
    <row r="59" spans="2:10" x14ac:dyDescent="0.3">
      <c r="B59" s="62" t="s">
        <v>174</v>
      </c>
      <c r="C59" s="70" t="e">
        <f>VLOOKUP(Inngang!$B$9,'2023 Revekting utgiftsbehov'!$A$5:$I$15,4)</f>
        <v>#N/A</v>
      </c>
      <c r="D59" s="68">
        <v>1</v>
      </c>
    </row>
    <row r="60" spans="2:10" x14ac:dyDescent="0.3">
      <c r="B60" s="62" t="s">
        <v>175</v>
      </c>
      <c r="C60" s="70" t="e">
        <f>VLOOKUP(Inngang!$B$9,'2023 Revekting utgiftsbehov'!$A$5:$I$15,5)</f>
        <v>#N/A</v>
      </c>
      <c r="D60" s="68">
        <v>1</v>
      </c>
    </row>
    <row r="61" spans="2:10" x14ac:dyDescent="0.3">
      <c r="B61" s="62" t="s">
        <v>398</v>
      </c>
      <c r="C61" s="70" t="e">
        <f>VLOOKUP(Inngang!$B$9,'2023 Revekting utgiftsbehov'!$A$5:$I$15,6)</f>
        <v>#N/A</v>
      </c>
      <c r="D61" s="68">
        <v>1</v>
      </c>
    </row>
    <row r="62" spans="2:10" x14ac:dyDescent="0.3">
      <c r="B62" s="62" t="s">
        <v>359</v>
      </c>
      <c r="C62" s="70" t="e">
        <f>VLOOKUP(Inngang!$B$9,'2023 Revekting utgiftsbehov'!$A$5:$I$15,7)</f>
        <v>#N/A</v>
      </c>
      <c r="D62" s="68">
        <v>1</v>
      </c>
    </row>
    <row r="63" spans="2:10" x14ac:dyDescent="0.3">
      <c r="B63" s="63" t="s">
        <v>176</v>
      </c>
      <c r="C63" s="71" t="e">
        <f>VLOOKUP(Inngang!$B$9,'2023 Revekting utgiftsbehov'!$A$5:$I$15,8)</f>
        <v>#N/A</v>
      </c>
      <c r="D63" s="69">
        <v>1</v>
      </c>
    </row>
    <row r="64" spans="2:10" x14ac:dyDescent="0.3">
      <c r="B64" s="80" t="s">
        <v>133</v>
      </c>
      <c r="C64" s="81" t="e">
        <f>+VLOOKUP(Inngang!$B$9,'2023 Revekting utgiftsbehov'!$A$5:$I$15,9)</f>
        <v>#N/A</v>
      </c>
      <c r="D64" s="82">
        <v>1</v>
      </c>
    </row>
    <row r="68" spans="2:4" ht="28.8" x14ac:dyDescent="0.3">
      <c r="B68" s="73" t="s">
        <v>130</v>
      </c>
      <c r="C68" s="76" t="s">
        <v>275</v>
      </c>
      <c r="D68" s="76" t="s">
        <v>276</v>
      </c>
    </row>
    <row r="69" spans="2:4" x14ac:dyDescent="0.3">
      <c r="B69" s="32" t="s">
        <v>139</v>
      </c>
      <c r="C69" s="74" t="e">
        <f>SUM(C70:C78)</f>
        <v>#N/A</v>
      </c>
    </row>
    <row r="70" spans="2:4" x14ac:dyDescent="0.3">
      <c r="B70" s="32" t="s">
        <v>174</v>
      </c>
      <c r="C70" s="74" t="e">
        <f>+C31-'2023 Nto driftsutg landet'!$C5</f>
        <v>#N/A</v>
      </c>
    </row>
    <row r="71" spans="2:4" x14ac:dyDescent="0.3">
      <c r="B71" s="32" t="s">
        <v>175</v>
      </c>
      <c r="C71" s="74" t="e">
        <f>+C32-'2023 Nto driftsutg landet'!$C6</f>
        <v>#N/A</v>
      </c>
    </row>
    <row r="72" spans="2:4" x14ac:dyDescent="0.3">
      <c r="B72" s="32" t="s">
        <v>398</v>
      </c>
      <c r="C72" s="74" t="e">
        <f>+C33-'2023 Nto driftsutg landet'!$C7</f>
        <v>#N/A</v>
      </c>
    </row>
    <row r="73" spans="2:4" x14ac:dyDescent="0.3">
      <c r="B73" s="32" t="s">
        <v>359</v>
      </c>
      <c r="C73" s="74" t="e">
        <f>+C34-'2023 Nto driftsutg landet'!$C8</f>
        <v>#N/A</v>
      </c>
    </row>
    <row r="74" spans="2:4" x14ac:dyDescent="0.3">
      <c r="B74" s="32" t="s">
        <v>176</v>
      </c>
      <c r="C74" s="74" t="e">
        <f>+C35-'2023 Nto driftsutg landet'!$C9</f>
        <v>#N/A</v>
      </c>
    </row>
    <row r="75" spans="2:4" x14ac:dyDescent="0.3">
      <c r="B75" s="32" t="s">
        <v>127</v>
      </c>
      <c r="C75" s="74" t="e">
        <f>+C36-'2023 Nto driftsutg landet'!$C13</f>
        <v>#N/A</v>
      </c>
    </row>
    <row r="76" spans="2:4" x14ac:dyDescent="0.3">
      <c r="B76" s="32" t="s">
        <v>27</v>
      </c>
      <c r="C76" s="74" t="e">
        <f>+C37-'2023 Nto driftsutg landet'!$C14</f>
        <v>#N/A</v>
      </c>
    </row>
    <row r="77" spans="2:4" x14ac:dyDescent="0.3">
      <c r="B77" s="32" t="s">
        <v>24</v>
      </c>
      <c r="C77" s="74" t="e">
        <f>+C38-'2023 Nto driftsutg landet'!$C15</f>
        <v>#N/A</v>
      </c>
    </row>
    <row r="78" spans="2:4" x14ac:dyDescent="0.3">
      <c r="B78" s="33" t="s">
        <v>25</v>
      </c>
      <c r="C78" s="75" t="e">
        <f>+C39-'2023 Nto driftsutg landet'!$C16</f>
        <v>#N/A</v>
      </c>
    </row>
  </sheetData>
  <sheetProtection algorithmName="SHA-512" hashValue="meSxeLeMRIgeDgA/MsIkFlXy/nMZHjP7WbzPTJf2VRHRU10cB+apSRqBDKcd+wUBCihTHh5Ez3VG6cS3mh/XoQ==" saltValue="wmgXulAMnuhQsdmowS0p0A==" spinCount="100000" sheet="1" selectLockedCells="1" selectUnlockedCells="1"/>
  <mergeCells count="2">
    <mergeCell ref="I28:J28"/>
    <mergeCell ref="I45:J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B1:I80"/>
  <sheetViews>
    <sheetView showGridLines="0" topLeftCell="A53" workbookViewId="0">
      <selection activeCell="B72" sqref="B72:B73"/>
    </sheetView>
  </sheetViews>
  <sheetFormatPr baseColWidth="10" defaultRowHeight="14.4" x14ac:dyDescent="0.3"/>
  <cols>
    <col min="2" max="2" width="39.5546875" customWidth="1"/>
    <col min="3" max="3" width="17.44140625" customWidth="1"/>
    <col min="4" max="4" width="24" customWidth="1"/>
    <col min="5" max="5" width="24.5546875" customWidth="1"/>
    <col min="6" max="6" width="22.88671875" customWidth="1"/>
    <col min="7" max="7" width="8.88671875" customWidth="1"/>
    <col min="8" max="8" width="30.5546875" customWidth="1"/>
    <col min="9" max="9" width="16.5546875" bestFit="1" customWidth="1"/>
  </cols>
  <sheetData>
    <row r="1" spans="2:8" ht="33" customHeight="1" x14ac:dyDescent="0.5">
      <c r="B1" s="79" t="str">
        <f>+Inngang!C11</f>
        <v/>
      </c>
      <c r="C1" s="106"/>
    </row>
    <row r="3" spans="2:8" x14ac:dyDescent="0.3">
      <c r="B3" s="7" t="s">
        <v>52</v>
      </c>
    </row>
    <row r="4" spans="2:8" x14ac:dyDescent="0.3">
      <c r="B4" s="7"/>
    </row>
    <row r="5" spans="2:8" ht="43.2" x14ac:dyDescent="0.3">
      <c r="B5" s="38"/>
      <c r="C5" s="18" t="s">
        <v>278</v>
      </c>
      <c r="D5" s="18" t="s">
        <v>131</v>
      </c>
    </row>
    <row r="6" spans="2:8" x14ac:dyDescent="0.3">
      <c r="B6" s="39"/>
      <c r="C6" s="37" t="s">
        <v>40</v>
      </c>
      <c r="D6" s="37" t="s">
        <v>40</v>
      </c>
    </row>
    <row r="7" spans="2:8" x14ac:dyDescent="0.3">
      <c r="B7" s="62" t="s">
        <v>139</v>
      </c>
      <c r="C7" s="64" t="e">
        <f>VLOOKUP(Inngang!$B$11,'2023 Inntektsnivå'!A5:D15,4)</f>
        <v>#N/A</v>
      </c>
      <c r="D7" s="101"/>
    </row>
    <row r="8" spans="2:8" x14ac:dyDescent="0.3">
      <c r="B8" s="62" t="s">
        <v>273</v>
      </c>
      <c r="C8" s="65" t="e">
        <f>+E31+E32+E33+E34+E35</f>
        <v>#N/A</v>
      </c>
      <c r="D8" s="74" t="e">
        <f>H31+H32+H33+H34+H35</f>
        <v>#N/A</v>
      </c>
    </row>
    <row r="9" spans="2:8" x14ac:dyDescent="0.3">
      <c r="B9" s="62" t="s">
        <v>272</v>
      </c>
      <c r="C9" s="65" t="e">
        <f>+E36</f>
        <v>#N/A</v>
      </c>
      <c r="D9" s="74" t="e">
        <f t="shared" ref="D9:D12" si="0">+H36</f>
        <v>#N/A</v>
      </c>
    </row>
    <row r="10" spans="2:8" x14ac:dyDescent="0.3">
      <c r="B10" s="62" t="s">
        <v>27</v>
      </c>
      <c r="C10" s="65" t="e">
        <f>+E37</f>
        <v>#N/A</v>
      </c>
      <c r="D10" s="74" t="e">
        <f t="shared" si="0"/>
        <v>#N/A</v>
      </c>
    </row>
    <row r="11" spans="2:8" x14ac:dyDescent="0.3">
      <c r="B11" s="62" t="s">
        <v>24</v>
      </c>
      <c r="C11" s="65" t="e">
        <f t="shared" ref="C11:C12" si="1">+E38</f>
        <v>#N/A</v>
      </c>
      <c r="D11" s="74" t="e">
        <f t="shared" si="0"/>
        <v>#N/A</v>
      </c>
    </row>
    <row r="12" spans="2:8" x14ac:dyDescent="0.3">
      <c r="B12" s="63" t="s">
        <v>25</v>
      </c>
      <c r="C12" s="66" t="e">
        <f t="shared" si="1"/>
        <v>#N/A</v>
      </c>
      <c r="D12" s="75" t="e">
        <f t="shared" si="0"/>
        <v>#N/A</v>
      </c>
    </row>
    <row r="13" spans="2:8" x14ac:dyDescent="0.3">
      <c r="B13" s="7"/>
      <c r="C13" s="5"/>
      <c r="D13" s="5"/>
    </row>
    <row r="14" spans="2:8" x14ac:dyDescent="0.3">
      <c r="B14" s="7"/>
    </row>
    <row r="16" spans="2:8" ht="43.2" x14ac:dyDescent="0.3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9" x14ac:dyDescent="0.3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9" x14ac:dyDescent="0.3">
      <c r="B18" s="62" t="s">
        <v>174</v>
      </c>
      <c r="C18" s="14" t="e">
        <f>VLOOKUP(Inngang!$B$11,'2023 Nto driftsutg eks avskriv'!$A$5:$T$15,4)*1000/VLOOKUP(Inngang!$B$11,'2023 Nto driftsutg'!$A$5:$W$15,23)*100/'2023 Nto driftsutg landet'!C5-100</f>
        <v>#N/A</v>
      </c>
      <c r="D18" s="5" t="e">
        <f>('2023 Nto driftsutg landet'!$C$5+VLOOKUP(Inngang!$B$11,'2023 Korreksjoner'!$A$5:$AS$15,3)+VLOOKUP(Inngang!$B$11,'2023 Korreksjoner'!$A$5:$AS$15,5)+VLOOKUP(Inngang!$B$11,'2023 Korreksjoner'!$A$5:$AS$15,12)+VLOOKUP(Inngang!$B$11,'2023 Korreksjoner'!$A$5:$AS$15,28))*100/'2023 Nto driftsutg landet'!C5-100</f>
        <v>#N/A</v>
      </c>
      <c r="E18" s="16" t="e">
        <f>+C18-D18</f>
        <v>#N/A</v>
      </c>
      <c r="F18" s="5" t="e">
        <f>('2023 Nto driftsutg landet'!$C$5*VLOOKUP(Inngang!$B$11,'2023 Inntektsnivå'!$A$5:$C$15,3)+VLOOKUP(Inngang!$B$11,'2023 Korreksjoner'!$A$5:$AS$15,5)+VLOOKUP(Inngang!$B$11,'2023 Korreksjoner'!$A$5:$AS$15,3)+VLOOKUP(Inngang!$B$11,'2023 Korreksjoner'!$A$5:$AS$15,12)+VLOOKUP(Inngang!$B$11,'2023 Korreksjoner'!$A$5:$AS$15,28))*100/'2023 Nto driftsutg landet'!C5-100</f>
        <v>#N/A</v>
      </c>
      <c r="G18" s="5"/>
      <c r="H18" s="16" t="e">
        <f>+C18-F18</f>
        <v>#N/A</v>
      </c>
    </row>
    <row r="19" spans="2:9" x14ac:dyDescent="0.3">
      <c r="B19" s="62" t="s">
        <v>175</v>
      </c>
      <c r="C19" s="14" t="e">
        <f>VLOOKUP(Inngang!$B$11,'2023 Nto driftsutg eks avskriv'!$A$5:$T$15,5)*1000/VLOOKUP(Inngang!$B$11,'2023 Nto driftsutg'!$A$5:$W$15,23)*100/'2023 Nto driftsutg landet'!C6-100</f>
        <v>#N/A</v>
      </c>
      <c r="D19" s="5" t="e">
        <f>('2023 Nto driftsutg landet'!$C$6+VLOOKUP(Inngang!$B$11,'2023 Korreksjoner'!$A$5:$AS$15,6)+VLOOKUP(Inngang!$B$11,'2023 Korreksjoner'!$A$5:$AS$15,13)+VLOOKUP(Inngang!$B$11,'2023 Korreksjoner'!$A$5:$AS$15,29))*100/'2023 Nto driftsutg landet'!C6-100</f>
        <v>#N/A</v>
      </c>
      <c r="E19" s="16" t="e">
        <f>+C19-D19</f>
        <v>#N/A</v>
      </c>
      <c r="F19" s="5" t="e">
        <f>('2023 Nto driftsutg landet'!$C$6*VLOOKUP(Inngang!$B$11,'2023 Inntektsnivå'!$A$5:$C$15,3)+VLOOKUP(Inngang!$B$11,'2023 Korreksjoner'!$A$5:$AS$15,6)+VLOOKUP(Inngang!$B$11,'2023 Korreksjoner'!$A$5:$AS$15,13)+VLOOKUP(Inngang!$B$11,'2023 Korreksjoner'!$A$5:$AS$15,29))*100/'2023 Nto driftsutg landet'!C6-100</f>
        <v>#N/A</v>
      </c>
      <c r="G19" s="5"/>
      <c r="H19" s="16" t="e">
        <f>+C19-F19</f>
        <v>#N/A</v>
      </c>
    </row>
    <row r="20" spans="2:9" x14ac:dyDescent="0.3">
      <c r="B20" s="32" t="s">
        <v>398</v>
      </c>
      <c r="C20" s="14" t="e">
        <f>VLOOKUP(Inngang!$B$11,'2023 Nto driftsutg eks avskriv'!$A$5:$T$15,6)*1000/VLOOKUP(Inngang!$B$11,'2023 Nto driftsutg'!$A$5:$W$15,23)*100/'2023 Nto driftsutg landet'!C7-100</f>
        <v>#N/A</v>
      </c>
      <c r="D20" s="5" t="e">
        <f>('2023 Nto driftsutg landet'!$C$7+VLOOKUP(Inngang!$B$11,'2023 Korreksjoner'!$A$5:$AS$15,7)+VLOOKUP(Inngang!$B$11,'2023 Korreksjoner'!$A$5:$AS$15,14)+VLOOKUP(Inngang!$B$11,'2023 Korreksjoner'!$A$5:$AS$15,30))*100/'2023 Nto driftsutg landet'!C7-100</f>
        <v>#N/A</v>
      </c>
      <c r="E20" s="16" t="e">
        <f>+C20-D20</f>
        <v>#N/A</v>
      </c>
      <c r="F20" s="5" t="e">
        <f>('2023 Nto driftsutg landet'!$C$7*VLOOKUP(Inngang!$B$11,'2023 Inntektsnivå'!$A$5:$C$15,3)+VLOOKUP(Inngang!$B$11,'2023 Korreksjoner'!$A$5:$AS$15,7)+VLOOKUP(Inngang!$B$11,'2023 Korreksjoner'!$A$5:$AS$15,14)+VLOOKUP(Inngang!$B$11,'2023 Korreksjoner'!$A$5:$AS$15,30))*100/'2023 Nto driftsutg landet'!C7-100</f>
        <v>#N/A</v>
      </c>
      <c r="G20" s="5"/>
      <c r="H20" s="16" t="e">
        <f>+C20-F20</f>
        <v>#N/A</v>
      </c>
    </row>
    <row r="21" spans="2:9" x14ac:dyDescent="0.3">
      <c r="B21" s="32" t="s">
        <v>359</v>
      </c>
      <c r="C21" s="14" t="e">
        <f>VLOOKUP(Inngang!$B$11,'2023 Nto driftsutg eks avskriv'!$A$5:$T$15,7)*1000/VLOOKUP(Inngang!$B$11,'2023 Nto driftsutg'!$A$5:$W$15,23)*100/'2023 Nto driftsutg landet'!C9-100</f>
        <v>#N/A</v>
      </c>
      <c r="D21" s="5" t="e">
        <f>('2023 Nto driftsutg landet'!$C$8+VLOOKUP(Inngang!$B$11,'2023 Korreksjoner'!$A$5:$AS$15,8)+VLOOKUP(Inngang!$B$11,'2023 Korreksjoner'!$A$5:$AS$15,15)+VLOOKUP(Inngang!$B$11,'2023 Korreksjoner'!$A$5:$AS$15,31))*100/'2023 Nto driftsutg landet'!C8-100</f>
        <v>#N/A</v>
      </c>
      <c r="E21" s="16" t="e">
        <f>+C21-D21</f>
        <v>#N/A</v>
      </c>
      <c r="F21" s="5" t="e">
        <f>('2023 Nto driftsutg landet'!$C$8*VLOOKUP(Inngang!$B$11,'2023 Inntektsnivå'!$A$5:$C$15,3)+VLOOKUP(Inngang!$B$11,'2023 Korreksjoner'!$A$5:$AS$15,8)+VLOOKUP(Inngang!$B$11,'2023 Korreksjoner'!$A$5:$AS$15,15)+VLOOKUP(Inngang!$B$11,'2023 Korreksjoner'!$A$5:$AS$15,31))*100/'2023 Nto driftsutg landet'!C8-100</f>
        <v>#N/A</v>
      </c>
      <c r="G21" s="5"/>
      <c r="H21" s="16" t="e">
        <f>+C21-F21</f>
        <v>#N/A</v>
      </c>
    </row>
    <row r="22" spans="2:9" x14ac:dyDescent="0.3">
      <c r="B22" s="63" t="s">
        <v>176</v>
      </c>
      <c r="C22" s="26" t="e">
        <f>VLOOKUP(Inngang!$B$11,'2023 Nto driftsutg eks avskriv'!$A$5:$T$15,8)*1000/VLOOKUP(Inngang!$B$11,'2023 Nto driftsutg'!$A$5:$W$15,23)*100/'2023 Nto driftsutg landet'!C9-100</f>
        <v>#N/A</v>
      </c>
      <c r="D22" s="22" t="e">
        <f>('2023 Nto driftsutg landet'!$C$9+VLOOKUP(Inngang!$B$11,'2023 Korreksjoner'!$A$5:$AS$15,9)+VLOOKUP(Inngang!$B$11,'2023 Korreksjoner'!$A$5:$AS$15,16)+VLOOKUP(Inngang!$B$11,'2023 Korreksjoner'!$A$5:$AS$15,32))*100/'2023 Nto driftsutg landet'!C9-100</f>
        <v>#N/A</v>
      </c>
      <c r="E22" s="27" t="e">
        <f t="shared" ref="E22" si="2">+C22-D22</f>
        <v>#N/A</v>
      </c>
      <c r="F22" s="22" t="e">
        <f>('2023 Nto driftsutg landet'!$C$9*VLOOKUP(Inngang!$B$11,'2023 Inntektsnivå'!$A$5:$C$15,3)+VLOOKUP(Inngang!$B$11,'2023 Korreksjoner'!$A$5:$AS$15,9)+VLOOKUP(Inngang!$B$11,'2023 Korreksjoner'!$A$5:$AS$15,16)+VLOOKUP(Inngang!$B$11,'2023 Korreksjoner'!$A$5:$AS$15,32))*100/'2023 Nto driftsutg landet'!C9-100</f>
        <v>#N/A</v>
      </c>
      <c r="G22" s="22"/>
      <c r="H22" s="27" t="e">
        <f t="shared" ref="H22" si="3">+C22-F22</f>
        <v>#N/A</v>
      </c>
    </row>
    <row r="26" spans="2:9" x14ac:dyDescent="0.3">
      <c r="B26" s="7" t="s">
        <v>35</v>
      </c>
    </row>
    <row r="28" spans="2:9" ht="43.2" x14ac:dyDescent="0.3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</row>
    <row r="29" spans="2:9" x14ac:dyDescent="0.3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9" x14ac:dyDescent="0.3">
      <c r="B30" s="83" t="s">
        <v>140</v>
      </c>
      <c r="C30" s="84" t="e">
        <f>SUM(C31:C35)</f>
        <v>#N/A</v>
      </c>
      <c r="D30" s="84" t="e">
        <f>SUM(D31:D35)</f>
        <v>#N/A</v>
      </c>
      <c r="E30" s="85" t="e">
        <f>SUM(E31:E35)</f>
        <v>#N/A</v>
      </c>
      <c r="F30" s="87" t="e">
        <f>SUM(F31:F35)</f>
        <v>#N/A</v>
      </c>
      <c r="G30" s="84"/>
      <c r="H30" s="86" t="e">
        <f>SUM(H31:H35)</f>
        <v>#N/A</v>
      </c>
    </row>
    <row r="31" spans="2:9" x14ac:dyDescent="0.3">
      <c r="B31" s="32" t="s">
        <v>174</v>
      </c>
      <c r="C31" s="5" t="e">
        <f>VLOOKUP(Inngang!$B$11,'2023 Nto driftsutg eks avskriv'!$A$5:$T$15,4)*1000/VLOOKUP(Inngang!$B$11,'2023 Nto driftsutg'!$A$5:$W$15,23)</f>
        <v>#N/A</v>
      </c>
      <c r="D31" s="5" t="e">
        <f>+'2023 Nto driftsutg landet'!$C$5+VLOOKUP(Inngang!$B$11,'2023 Korreksjoner'!$A$5:$AS$15,5)+VLOOKUP(Inngang!$B$11,'2023 Korreksjoner'!$A$5:$I$15,3)+VLOOKUP(Inngang!$B$11,'2023 Korreksjoner'!$A$5:$AS$15,12)+VLOOKUP(Inngang!$B$11,'2023 Korreksjoner'!$A$5:$AS$15,28)</f>
        <v>#N/A</v>
      </c>
      <c r="E31" s="17" t="e">
        <f>+C31-D31</f>
        <v>#N/A</v>
      </c>
      <c r="F31" s="14" t="e">
        <f>+'2023 Nto driftsutg landet'!$C$5*VLOOKUP(Inngang!$B$11,'2023 Inntektsnivå'!$A$5:$C$15,3)+VLOOKUP(Inngang!$B$11,'2023 Korreksjoner'!$A$5:$AS$15,5)+VLOOKUP(Inngang!$B$11,'2023 Korreksjoner'!$A$5:$AS$15,3)+VLOOKUP(Inngang!$B$11,'2023 Korreksjoner'!$A$5:$AS$15,12)+VLOOKUP(Inngang!$B$11,'2023 Korreksjoner'!$A$5:$AS$15,28)</f>
        <v>#N/A</v>
      </c>
      <c r="G31" s="5"/>
      <c r="H31" s="16" t="e">
        <f>IF(F34=G34,C31-F31,(C31-F31)-(G34-F34)*C31/C30)</f>
        <v>#N/A</v>
      </c>
      <c r="I31" s="105"/>
    </row>
    <row r="32" spans="2:9" x14ac:dyDescent="0.3">
      <c r="B32" s="32" t="s">
        <v>175</v>
      </c>
      <c r="C32" s="5" t="e">
        <f>VLOOKUP(Inngang!$B$11,'2023 Nto driftsutg eks avskriv'!$A$5:$T$15,5)*1000/VLOOKUP(Inngang!$B$11,'2023 Nto driftsutg'!$A$5:$W$15,23)</f>
        <v>#N/A</v>
      </c>
      <c r="D32" s="5" t="e">
        <f>+'2023 Nto driftsutg landet'!$C$6+VLOOKUP(Inngang!$B$11,'2023 Korreksjoner'!$A$5:$AS$15,6)+VLOOKUP(Inngang!$B$11,'2023 Korreksjoner'!$A$5:$AS$15,13)+VLOOKUP(Inngang!$B$11,'2023 Korreksjoner'!$A$5:$AS$15,29)</f>
        <v>#N/A</v>
      </c>
      <c r="E32" s="17" t="e">
        <f>+C32-D32</f>
        <v>#N/A</v>
      </c>
      <c r="F32" s="14" t="e">
        <f>+'2023 Nto driftsutg landet'!$C$6*VLOOKUP(Inngang!$B$11,'2023 Inntektsnivå'!$A$5:$C$15,3)+VLOOKUP(Inngang!$B$11,'2023 Korreksjoner'!$A$5:$AS$15,6)+VLOOKUP(Inngang!$B$11,'2023 Korreksjoner'!$A$5:$AS$15,13)+VLOOKUP(Inngang!$B$11,'2023 Korreksjoner'!$A$5:$AS$15,29)</f>
        <v>#N/A</v>
      </c>
      <c r="G32" s="5"/>
      <c r="H32" s="16" t="e">
        <f>IF(F34=G34,C32-F32,(C32-F32)-(G34-F34)*C32/C30)</f>
        <v>#N/A</v>
      </c>
      <c r="I32" s="105"/>
    </row>
    <row r="33" spans="2:9" x14ac:dyDescent="0.3">
      <c r="B33" s="32" t="s">
        <v>398</v>
      </c>
      <c r="C33" s="5" t="e">
        <f>VLOOKUP(Inngang!$B$11,'2023 Nto driftsutg eks avskriv'!$A$5:$T$15,6)*1000/VLOOKUP(Inngang!$B$11,'2023 Nto driftsutg'!$A$5:$W$15,23)</f>
        <v>#N/A</v>
      </c>
      <c r="D33" s="5" t="e">
        <f>+'2023 Nto driftsutg landet'!$C$7+VLOOKUP(Inngang!$B$11,'2023 Korreksjoner'!$A$5:$AS$15,7)+VLOOKUP(Inngang!$B$11,'2023 Korreksjoner'!$A$5:$AS$15,14)+VLOOKUP(Inngang!$B$11,'2023 Korreksjoner'!$A$5:$AS$15,30)</f>
        <v>#N/A</v>
      </c>
      <c r="E33" s="17" t="e">
        <f>+C33-D33</f>
        <v>#N/A</v>
      </c>
      <c r="F33" s="14" t="e">
        <f>+'2023 Nto driftsutg landet'!$C$7*VLOOKUP(Inngang!$B$11,'2023 Inntektsnivå'!$A$5:$C$15,3)+VLOOKUP(Inngang!$B$11,'2023 Korreksjoner'!$A$5:$AS$15,7)+VLOOKUP(Inngang!$B$11,'2023 Korreksjoner'!$A$5:$AS$15,14)+VLOOKUP(Inngang!$B$11,'2023 Korreksjoner'!$A$5:$AS$15,30)</f>
        <v>#N/A</v>
      </c>
      <c r="G33" s="5"/>
      <c r="H33" s="16" t="e">
        <f>IF(F34=G34,C33-F33,(C33-F33)-(G34-F34)*(C33+C34)/C30)</f>
        <v>#N/A</v>
      </c>
      <c r="I33" s="105"/>
    </row>
    <row r="34" spans="2:9" x14ac:dyDescent="0.3">
      <c r="B34" s="32" t="s">
        <v>359</v>
      </c>
      <c r="C34" s="5" t="e">
        <f>VLOOKUP(Inngang!$B$11,'2023 Nto driftsutg eks avskriv'!$A$5:$T$15,7)*1000/VLOOKUP(Inngang!$B$11,'2023 Nto driftsutg'!$A$5:$W$15,23)</f>
        <v>#N/A</v>
      </c>
      <c r="D34" s="5" t="e">
        <f>+'2023 Nto driftsutg landet'!$C$8+VLOOKUP(Inngang!$B$11,'2023 Korreksjoner'!$A$5:$AS$15,8)+VLOOKUP(Inngang!$B$11,'2023 Korreksjoner'!$A$5:$AS$15,15)+VLOOKUP(Inngang!$B$11,'2023 Korreksjoner'!$A$5:$AS$15,31)</f>
        <v>#N/A</v>
      </c>
      <c r="E34" s="17" t="e">
        <f>+C34-D34</f>
        <v>#N/A</v>
      </c>
      <c r="F34" s="14" t="e">
        <f>IF(AND(C34&gt;=0.5,D34&gt;0),IF(G34&lt;10,C34,G34),0)</f>
        <v>#N/A</v>
      </c>
      <c r="G34" s="5" t="e">
        <f>+'2023 Nto driftsutg landet'!$C$8*VLOOKUP(Inngang!$B$11,'2023 Inntektsnivå'!$A$5:$C$15,3)+VLOOKUP(Inngang!$B$11,'2023 Korreksjoner'!$A$5:$AS$15,8)+VLOOKUP(Inngang!$B$11,'2023 Korreksjoner'!$A$5:$AS$15,15)+VLOOKUP(Inngang!$B$11,'2023 Korreksjoner'!$A$5:$AS$15,31)</f>
        <v>#N/A</v>
      </c>
      <c r="H34" s="16" t="e">
        <f>+C34-F34</f>
        <v>#N/A</v>
      </c>
      <c r="I34" s="105"/>
    </row>
    <row r="35" spans="2:9" x14ac:dyDescent="0.3">
      <c r="B35" s="33" t="s">
        <v>176</v>
      </c>
      <c r="C35" s="22" t="e">
        <f>VLOOKUP(Inngang!$B$11,'2023 Nto driftsutg eks avskriv'!$A$5:$T$15,8)*1000/VLOOKUP(Inngang!$B$11,'2023 Nto driftsutg'!$A$5:$W$15,23)</f>
        <v>#N/A</v>
      </c>
      <c r="D35" s="22" t="e">
        <f>+'2023 Nto driftsutg landet'!$C$9+VLOOKUP(Inngang!$B$11,'2023 Korreksjoner'!$A$5:$AS$15,9)+VLOOKUP(Inngang!$B$11,'2023 Korreksjoner'!$A$5:$AS$15,16)+VLOOKUP(Inngang!$B$11,'2023 Korreksjoner'!$A$5:$AS$15,32)</f>
        <v>#N/A</v>
      </c>
      <c r="E35" s="40" t="e">
        <f t="shared" ref="E35:E39" si="4">+C35-D35</f>
        <v>#N/A</v>
      </c>
      <c r="F35" s="26" t="e">
        <f>+'2023 Nto driftsutg landet'!$C$9*VLOOKUP(Inngang!$B$11,'2023 Inntektsnivå'!$A$5:$C$15,3)+VLOOKUP(Inngang!$B$11,'2023 Korreksjoner'!$A$5:$AS$15,9)+VLOOKUP(Inngang!$B$11,'2023 Korreksjoner'!$A$5:$AS$15,16)+VLOOKUP(Inngang!$B$11,'2023 Korreksjoner'!$A$5:$AS$15,32)</f>
        <v>#N/A</v>
      </c>
      <c r="G35" s="22"/>
      <c r="H35" s="27" t="e">
        <f>IF(F34=G34,C35-F35,(C35-F35)-(G34-F34)*C35/C30)</f>
        <v>#N/A</v>
      </c>
      <c r="I35" s="105"/>
    </row>
    <row r="36" spans="2:9" x14ac:dyDescent="0.3">
      <c r="B36" s="32" t="s">
        <v>272</v>
      </c>
      <c r="C36" s="5" t="e">
        <f>VLOOKUP(Inngang!$B$11,'2023 Nto driftsutg eks avskriv'!$A$5:$T$15,9)*1000/VLOOKUP(Inngang!$B$11,'2023 Nto driftsutg'!$A$5:$W$15,23)</f>
        <v>#N/A</v>
      </c>
      <c r="D36" s="5" t="e">
        <f>'2023 Nto driftsutg landet'!$C$13+VLOOKUP(Inngang!$B$11,'2023 Korreksjoner'!$A$5:$AS$15,17)+VLOOKUP(Inngang!$B$11,'2023 Korreksjoner'!$A$5:$AS$15,33)+VLOOKUP(Inngang!$B$11,'2023 Korreksjoner'!$A$5:$AW$15,46)</f>
        <v>#N/A</v>
      </c>
      <c r="E36" s="17" t="e">
        <f t="shared" si="4"/>
        <v>#N/A</v>
      </c>
      <c r="F36" s="14" t="e">
        <f>+'2023 Nto driftsutg landet'!$C$13*VLOOKUP(Inngang!$B$11,'2023 Inntektsnivå'!$A$5:$C$15,3)+VLOOKUP(Inngang!$B$11,'2023 Korreksjoner'!$A$5:$AS$15,17)+VLOOKUP(Inngang!$B$11,'2023 Korreksjoner'!$A$5:$AS$15,33)+VLOOKUP(Inngang!$B$11,'2023 Korreksjoner'!$A$5:$AV$15,46)</f>
        <v>#N/A</v>
      </c>
      <c r="G36" s="5"/>
      <c r="H36" s="16" t="e">
        <f t="shared" ref="H36:H39" si="5">+C36-F36</f>
        <v>#N/A</v>
      </c>
    </row>
    <row r="37" spans="2:9" x14ac:dyDescent="0.3">
      <c r="B37" s="32" t="s">
        <v>27</v>
      </c>
      <c r="C37" s="5" t="e">
        <f>VLOOKUP(Inngang!$B$11,'2023 Nto driftsutg eks avskriv'!$A$5:$T$15,18)*1000/VLOOKUP(Inngang!$B$11,'2023 Nto driftsutg'!$A$5:$W$15,23)</f>
        <v>#N/A</v>
      </c>
      <c r="D37" s="5" t="e">
        <f>'2023 Nto driftsutg landet'!$C$14+VLOOKUP(Inngang!$B$11,'2023 Korreksjoner'!$A$5:$AX$15,44)</f>
        <v>#N/A</v>
      </c>
      <c r="E37" s="17" t="e">
        <f t="shared" si="4"/>
        <v>#N/A</v>
      </c>
      <c r="F37" s="14" t="e">
        <f>+'2023 Nto driftsutg landet'!$C$14*VLOOKUP(Inngang!$B$11,'2023 Inntektsnivå'!$A$5:$C$15,3)+VLOOKUP(Inngang!$B$11,'2023 Korreksjoner'!$A$5:$AX$15,44)</f>
        <v>#N/A</v>
      </c>
      <c r="G37" s="5"/>
      <c r="H37" s="16" t="e">
        <f t="shared" si="5"/>
        <v>#N/A</v>
      </c>
    </row>
    <row r="38" spans="2:9" x14ac:dyDescent="0.3">
      <c r="B38" s="32" t="s">
        <v>24</v>
      </c>
      <c r="C38" s="5" t="e">
        <f>VLOOKUP(Inngang!$B$11,'2023 Nto driftsutg eks avskriv'!$A$5:$T$15,19)*1000/VLOOKUP(Inngang!$B$11,'2023 Nto driftsutg'!$A$5:$W$15,23)</f>
        <v>#N/A</v>
      </c>
      <c r="D38" s="93">
        <f>'2023 Nto driftsutg landet'!$C$15</f>
        <v>859.80483865657436</v>
      </c>
      <c r="E38" s="94" t="e">
        <f t="shared" si="4"/>
        <v>#N/A</v>
      </c>
      <c r="F38" s="95" t="e">
        <f>+'2023 Nto driftsutg landet'!$C$15*VLOOKUP(Inngang!$B$11,'2023 Inntektsnivå'!$A$5:$C$15,3)</f>
        <v>#N/A</v>
      </c>
      <c r="G38" s="93"/>
      <c r="H38" s="96" t="e">
        <f t="shared" si="5"/>
        <v>#N/A</v>
      </c>
      <c r="I38" s="5"/>
    </row>
    <row r="39" spans="2:9" x14ac:dyDescent="0.3">
      <c r="B39" s="33" t="s">
        <v>25</v>
      </c>
      <c r="C39" s="22" t="e">
        <f>VLOOKUP(Inngang!$B$11,'2023 Nto driftsutg eks avskriv'!$A$5:$T$15,20)*1000/VLOOKUP(Inngang!$B$11,'2023 Nto driftsutg'!$A$5:$W$15,23)</f>
        <v>#N/A</v>
      </c>
      <c r="D39" s="97">
        <f>'2023 Nto driftsutg landet'!$C$16</f>
        <v>800.62190589015938</v>
      </c>
      <c r="E39" s="98" t="e">
        <f t="shared" si="4"/>
        <v>#N/A</v>
      </c>
      <c r="F39" s="99" t="e">
        <f>+'2023 Nto driftsutg landet'!$C$16*VLOOKUP(Inngang!$B$11,'2023 Inntektsnivå'!$A$5:$C$15,3)</f>
        <v>#N/A</v>
      </c>
      <c r="G39" s="93"/>
      <c r="H39" s="96" t="e">
        <f t="shared" si="5"/>
        <v>#N/A</v>
      </c>
    </row>
    <row r="40" spans="2:9" x14ac:dyDescent="0.3">
      <c r="B40" s="28" t="s">
        <v>18</v>
      </c>
      <c r="C40" s="29" t="e">
        <f>SUM(C31:C39)</f>
        <v>#N/A</v>
      </c>
      <c r="D40" s="30" t="e">
        <f>SUM(D31:D39)</f>
        <v>#N/A</v>
      </c>
      <c r="E40" s="31" t="e">
        <f>SUM(E31:E39)</f>
        <v>#N/A</v>
      </c>
      <c r="F40" s="29" t="e">
        <f>SUM(F31:F39)</f>
        <v>#N/A</v>
      </c>
      <c r="G40" s="30"/>
      <c r="H40" s="34" t="e">
        <f>SUM(H31:H39)</f>
        <v>#N/A</v>
      </c>
    </row>
    <row r="41" spans="2:9" x14ac:dyDescent="0.3">
      <c r="C41" s="5"/>
    </row>
    <row r="42" spans="2:9" x14ac:dyDescent="0.3">
      <c r="I42" s="5"/>
    </row>
    <row r="43" spans="2:9" x14ac:dyDescent="0.3">
      <c r="B43" s="7" t="s">
        <v>36</v>
      </c>
      <c r="I43" s="5"/>
    </row>
    <row r="45" spans="2:9" ht="43.2" x14ac:dyDescent="0.3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</row>
    <row r="46" spans="2:9" x14ac:dyDescent="0.3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9" x14ac:dyDescent="0.3">
      <c r="B47" s="83" t="s">
        <v>137</v>
      </c>
      <c r="C47" s="84" t="e">
        <f>SUM(C48:C53)</f>
        <v>#N/A</v>
      </c>
      <c r="D47" s="84" t="e">
        <f>SUM(D48:D53)</f>
        <v>#N/A</v>
      </c>
      <c r="E47" s="88" t="e">
        <f>SUM(E48:E53)</f>
        <v>#N/A</v>
      </c>
      <c r="F47" s="89" t="e">
        <f>SUM(F48:F53)</f>
        <v>#N/A</v>
      </c>
      <c r="G47" s="84"/>
      <c r="H47" s="90" t="e">
        <f>SUM(H48:H53)</f>
        <v>#N/A</v>
      </c>
    </row>
    <row r="48" spans="2:9" x14ac:dyDescent="0.3">
      <c r="B48" s="32" t="s">
        <v>4</v>
      </c>
      <c r="C48" s="5" t="e">
        <f>VLOOKUP(Inngang!$B$11,'2023 Nto driftsutg eks avskriv'!$A$5:$T$15,11)*1000/VLOOKUP(Inngang!$B$11,'2023 Nto driftsutg'!$A$5:$W$15,23)</f>
        <v>#N/A</v>
      </c>
      <c r="D48" s="5" t="e">
        <f>'2023 Nto driftsutg eks avskriv'!K$17*1000/'2023 Nto driftsutg'!$W$17+VLOOKUP(Inngang!$B$11,'2023 Korreksjoner'!$A$5:$AS$15,19)+VLOOKUP(Inngang!$B$11,'2023 Korreksjoner'!$A$5:$AS$15,35)</f>
        <v>#N/A</v>
      </c>
      <c r="E48" s="17" t="e">
        <f t="shared" ref="E48:E53" si="6">+C48-D48</f>
        <v>#N/A</v>
      </c>
      <c r="F48" s="14" t="e">
        <f>+'2023 Nto driftsutg landet'!$C$23*VLOOKUP(Inngang!$B$11,'2023 Inntektsnivå'!$A$5:$C$15,3)+VLOOKUP(Inngang!$B$11,'2023 Korreksjoner'!$A$5:$AS$15,19)+VLOOKUP(Inngang!$B$11,'2023 Korreksjoner'!$A$5:$AS$15,35)</f>
        <v>#N/A</v>
      </c>
      <c r="G48" s="5"/>
      <c r="H48" s="16" t="e">
        <f>+C48-F48</f>
        <v>#N/A</v>
      </c>
    </row>
    <row r="49" spans="2:9" x14ac:dyDescent="0.3">
      <c r="B49" s="32" t="s">
        <v>271</v>
      </c>
      <c r="C49" s="5" t="e">
        <f>VLOOKUP(Inngang!$B$11,'2023 Nto driftsutg eks avskriv'!$A$5:$T$15,12)*1000/VLOOKUP(Inngang!$B$11,'2023 Nto driftsutg'!$A$5:$W$15,23)</f>
        <v>#N/A</v>
      </c>
      <c r="D49" s="5" t="e">
        <f>'2023 Nto driftsutg eks avskriv'!L$17*1000/'2023 Nto driftsutg'!$W$17+VLOOKUP(Inngang!$B$11,'2023 Korreksjoner'!$A$5:$AS$15,20)+VLOOKUP(Inngang!$B$11,'2023 Korreksjoner'!$A$5:$AS$15,36)</f>
        <v>#N/A</v>
      </c>
      <c r="E49" s="17" t="e">
        <f t="shared" si="6"/>
        <v>#N/A</v>
      </c>
      <c r="F49" s="14" t="e">
        <f>+'2023 Nto driftsutg landet'!$C$24*VLOOKUP(Inngang!$B$11,'2023 Inntektsnivå'!$A$5:$C$15,3)+VLOOKUP(Inngang!$B$11,'2023 Korreksjoner'!$A$5:$AS$15,20)+VLOOKUP(Inngang!$B$11,'2023 Korreksjoner'!$A$5:$AS$15,36)</f>
        <v>#N/A</v>
      </c>
      <c r="G49" s="5"/>
      <c r="H49" s="16" t="e">
        <f t="shared" ref="H49:H53" si="7">+C49-F49</f>
        <v>#N/A</v>
      </c>
    </row>
    <row r="50" spans="2:9" x14ac:dyDescent="0.3">
      <c r="B50" s="32" t="s">
        <v>37</v>
      </c>
      <c r="C50" s="5" t="e">
        <f>VLOOKUP(Inngang!$B$11,'2023 Nto driftsutg eks avskriv'!$A$5:$T$15,13)*1000/VLOOKUP(Inngang!$B$11,'2023 Nto driftsutg'!$A$5:$W$15,23)</f>
        <v>#N/A</v>
      </c>
      <c r="D50" s="5" t="e">
        <f>'2023 Nto driftsutg eks avskriv'!M$17*1000/'2023 Nto driftsutg'!$W$17+VLOOKUP(Inngang!$B$11,'2023 Korreksjoner'!$A$5:$AS$15,21)+VLOOKUP(Inngang!$B$11,'2023 Korreksjoner'!$A$5:$AS$15,37)</f>
        <v>#N/A</v>
      </c>
      <c r="E50" s="17" t="e">
        <f t="shared" si="6"/>
        <v>#N/A</v>
      </c>
      <c r="F50" s="14" t="e">
        <f>+'2023 Nto driftsutg landet'!$C$25*VLOOKUP(Inngang!$B$11,'2023 Inntektsnivå'!$A$5:$C$15,3)+VLOOKUP(Inngang!$B$11,'2023 Korreksjoner'!$A$5:$AS$15,21)+VLOOKUP(Inngang!$B$11,'2023 Korreksjoner'!$A$5:$AS$15,37)</f>
        <v>#N/A</v>
      </c>
      <c r="G50" s="5"/>
      <c r="H50" s="16" t="e">
        <f t="shared" si="7"/>
        <v>#N/A</v>
      </c>
    </row>
    <row r="51" spans="2:9" x14ac:dyDescent="0.3">
      <c r="B51" s="32" t="s">
        <v>178</v>
      </c>
      <c r="C51" s="5" t="e">
        <f>VLOOKUP(Inngang!$B$11,'2023 Nto driftsutg eks avskriv'!$A$5:$T$15,14)*1000/VLOOKUP(Inngang!$B$11,'2023 Nto driftsutg'!$A$5:$W$15,23)</f>
        <v>#N/A</v>
      </c>
      <c r="D51" s="5" t="e">
        <f>'2023 Nto driftsutg eks avskriv'!N$17*1000/'2023 Nto driftsutg'!$W$17+VLOOKUP(Inngang!$B$11,'2023 Korreksjoner'!$A$5:$AS$15,22)+VLOOKUP(Inngang!$B$11,'2023 Korreksjoner'!$A$5:$AS$15,38)</f>
        <v>#N/A</v>
      </c>
      <c r="E51" s="17" t="e">
        <f t="shared" si="6"/>
        <v>#N/A</v>
      </c>
      <c r="F51" s="14" t="e">
        <f>+'2023 Nto driftsutg landet'!$C$26*VLOOKUP(Inngang!$B$11,'2023 Inntektsnivå'!$A$5:$C$15,3)+VLOOKUP(Inngang!$B$11,'2023 Korreksjoner'!$A$5:$AS$15,22)+VLOOKUP(Inngang!$B$11,'2023 Korreksjoner'!$A$5:$AS$15,38)</f>
        <v>#N/A</v>
      </c>
      <c r="G51" s="5"/>
      <c r="H51" s="16" t="e">
        <f t="shared" si="7"/>
        <v>#N/A</v>
      </c>
    </row>
    <row r="52" spans="2:9" x14ac:dyDescent="0.3">
      <c r="B52" s="32" t="s">
        <v>138</v>
      </c>
      <c r="C52" s="5" t="e">
        <f>VLOOKUP(Inngang!$B$11,'2023 Nto driftsutg eks avskriv'!$A$5:$T$15,15)*1000/VLOOKUP(Inngang!$B$11,'2023 Nto driftsutg'!$A$5:$W$15,23)</f>
        <v>#N/A</v>
      </c>
      <c r="D52" s="5" t="e">
        <f>'2023 Nto driftsutg eks avskriv'!O17*1000/'2023 Nto driftsutg'!$W$17+VLOOKUP(Inngang!$B$11,'2023 Korreksjoner'!$A$5:$AS$15,23)+VLOOKUP(Inngang!$B$11,'2023 Korreksjoner'!$A$5:$AS$15,39)</f>
        <v>#N/A</v>
      </c>
      <c r="E52" s="17" t="e">
        <f t="shared" si="6"/>
        <v>#N/A</v>
      </c>
      <c r="F52" s="14" t="e">
        <f>'2023 Nto driftsutg landet'!$C$27*VLOOKUP(Inngang!$B$11,'2023 Inntektsnivå'!$A$5:$C$15,3)+VLOOKUP(Inngang!$B$11,'2023 Korreksjoner'!$A$5:$AS$15,23)+VLOOKUP(Inngang!$B$11,'2023 Korreksjoner'!$A$5:$AS$15,39)</f>
        <v>#N/A</v>
      </c>
      <c r="G52" s="5"/>
      <c r="H52" s="16" t="e">
        <f t="shared" si="7"/>
        <v>#N/A</v>
      </c>
    </row>
    <row r="53" spans="2:9" x14ac:dyDescent="0.3">
      <c r="B53" s="61" t="s">
        <v>129</v>
      </c>
      <c r="C53" s="22" t="e">
        <f>VLOOKUP(Inngang!$B$11,'2023 Nto driftsutg eks avskriv'!$A$5:$T$15,16)*1000/VLOOKUP(Inngang!$B$11,'2023 Nto driftsutg'!$A$5:$W$15,23)</f>
        <v>#N/A</v>
      </c>
      <c r="D53" s="22" t="e">
        <f>'2023 Nto driftsutg eks avskriv'!P17*1000/'2023 Nto driftsutg'!$W$17+VLOOKUP(Inngang!$B$11,'2023 Korreksjoner'!$A$5:$AS$15,24)+VLOOKUP(Inngang!$B$11,'2023 Korreksjoner'!$A$5:$AS$15,40)</f>
        <v>#N/A</v>
      </c>
      <c r="E53" s="40" t="e">
        <f t="shared" si="6"/>
        <v>#N/A</v>
      </c>
      <c r="F53" s="26" t="e">
        <f>'2023 Nto driftsutg landet'!$C$28*VLOOKUP(Inngang!$B$11,'2023 Inntektsnivå'!$A$5:$C$15,3)+VLOOKUP(Inngang!$B$11,'2023 Korreksjoner'!$A$5:$AS$15,24)+VLOOKUP(Inngang!$B$11,'2023 Korreksjoner'!$A$5:$AS$15,40)</f>
        <v>#N/A</v>
      </c>
      <c r="G53" s="22"/>
      <c r="H53" s="27" t="e">
        <f t="shared" si="7"/>
        <v>#N/A</v>
      </c>
    </row>
    <row r="54" spans="2:9" x14ac:dyDescent="0.3">
      <c r="B54" s="28" t="s">
        <v>137</v>
      </c>
      <c r="C54" s="30" t="e">
        <f>SUM(C48:C53)</f>
        <v>#N/A</v>
      </c>
      <c r="D54" s="30" t="e">
        <f>SUM(D48:D53)</f>
        <v>#N/A</v>
      </c>
      <c r="E54" s="31" t="e">
        <f>SUM(E48:E53)</f>
        <v>#N/A</v>
      </c>
      <c r="F54" s="29" t="e">
        <f>SUM(F48:F53)</f>
        <v>#N/A</v>
      </c>
      <c r="G54" s="30"/>
      <c r="H54" s="34" t="e">
        <f>SUM(H48:H53)</f>
        <v>#N/A</v>
      </c>
      <c r="I54" s="5"/>
    </row>
    <row r="55" spans="2:9" x14ac:dyDescent="0.3">
      <c r="I55" s="5"/>
    </row>
    <row r="56" spans="2:9" x14ac:dyDescent="0.3">
      <c r="I56" s="5"/>
    </row>
    <row r="57" spans="2:9" x14ac:dyDescent="0.3">
      <c r="I57" s="5"/>
    </row>
    <row r="58" spans="2:9" x14ac:dyDescent="0.3">
      <c r="B58" s="38" t="s">
        <v>128</v>
      </c>
      <c r="C58" s="20" t="s">
        <v>274</v>
      </c>
      <c r="D58" s="67" t="s">
        <v>3</v>
      </c>
      <c r="I58" s="5"/>
    </row>
    <row r="59" spans="2:9" x14ac:dyDescent="0.3">
      <c r="B59" s="62" t="s">
        <v>174</v>
      </c>
      <c r="C59" s="70" t="e">
        <f>VLOOKUP(Inngang!$B$11,'2023 Revekting utgiftsbehov'!$A$5:$I$15,4)</f>
        <v>#N/A</v>
      </c>
      <c r="D59" s="68">
        <v>1</v>
      </c>
      <c r="I59" s="5"/>
    </row>
    <row r="60" spans="2:9" x14ac:dyDescent="0.3">
      <c r="B60" s="62" t="s">
        <v>175</v>
      </c>
      <c r="C60" s="70" t="e">
        <f>VLOOKUP(Inngang!$B$11,'2023 Revekting utgiftsbehov'!$A$5:$I$15,5)</f>
        <v>#N/A</v>
      </c>
      <c r="D60" s="68">
        <v>1</v>
      </c>
      <c r="I60" s="5"/>
    </row>
    <row r="61" spans="2:9" x14ac:dyDescent="0.3">
      <c r="B61" s="32" t="s">
        <v>398</v>
      </c>
      <c r="C61" s="70" t="e">
        <f>VLOOKUP(Inngang!$B$11,'2023 Revekting utgiftsbehov'!$A$5:$I$15,6)</f>
        <v>#N/A</v>
      </c>
      <c r="D61" s="68">
        <v>1</v>
      </c>
      <c r="I61" s="5"/>
    </row>
    <row r="62" spans="2:9" x14ac:dyDescent="0.3">
      <c r="B62" s="32" t="s">
        <v>359</v>
      </c>
      <c r="C62" s="70" t="e">
        <f>VLOOKUP(Inngang!$B$11,'2023 Revekting utgiftsbehov'!$A$5:$I$15,7)</f>
        <v>#N/A</v>
      </c>
      <c r="D62" s="68">
        <v>1</v>
      </c>
      <c r="I62" s="5"/>
    </row>
    <row r="63" spans="2:9" x14ac:dyDescent="0.3">
      <c r="B63" s="63" t="s">
        <v>176</v>
      </c>
      <c r="C63" s="71" t="e">
        <f>VLOOKUP(Inngang!$B$11,'2023 Revekting utgiftsbehov'!$A$5:$I$15,8)</f>
        <v>#N/A</v>
      </c>
      <c r="D63" s="69">
        <v>1</v>
      </c>
      <c r="I63" s="5"/>
    </row>
    <row r="64" spans="2:9" x14ac:dyDescent="0.3">
      <c r="B64" s="80" t="s">
        <v>133</v>
      </c>
      <c r="C64" s="81" t="e">
        <f>+VLOOKUP(Inngang!$B$11,'2023 Revekting utgiftsbehov'!$A$5:$I$15,9)</f>
        <v>#N/A</v>
      </c>
      <c r="D64" s="82">
        <v>1</v>
      </c>
      <c r="I64" s="5"/>
    </row>
    <row r="65" spans="2:9" x14ac:dyDescent="0.3">
      <c r="I65" s="5"/>
    </row>
    <row r="66" spans="2:9" x14ac:dyDescent="0.3">
      <c r="I66" s="5"/>
    </row>
    <row r="67" spans="2:9" x14ac:dyDescent="0.3">
      <c r="I67" s="5"/>
    </row>
    <row r="68" spans="2:9" ht="28.8" x14ac:dyDescent="0.3">
      <c r="B68" s="73" t="s">
        <v>130</v>
      </c>
      <c r="C68" s="76" t="s">
        <v>275</v>
      </c>
      <c r="D68" s="76" t="s">
        <v>276</v>
      </c>
    </row>
    <row r="69" spans="2:9" x14ac:dyDescent="0.3">
      <c r="B69" s="32" t="s">
        <v>139</v>
      </c>
      <c r="C69" s="74" t="e">
        <f>SUM(C70:C78)</f>
        <v>#N/A</v>
      </c>
    </row>
    <row r="70" spans="2:9" x14ac:dyDescent="0.3">
      <c r="B70" s="32" t="s">
        <v>174</v>
      </c>
      <c r="C70" s="74" t="e">
        <f>+C31-'2023 Nto driftsutg landet'!$C5</f>
        <v>#N/A</v>
      </c>
    </row>
    <row r="71" spans="2:9" x14ac:dyDescent="0.3">
      <c r="B71" s="32" t="s">
        <v>175</v>
      </c>
      <c r="C71" s="74" t="e">
        <f>+C32-'2023 Nto driftsutg landet'!$C6</f>
        <v>#N/A</v>
      </c>
    </row>
    <row r="72" spans="2:9" x14ac:dyDescent="0.3">
      <c r="B72" s="32" t="s">
        <v>398</v>
      </c>
      <c r="C72" s="74" t="e">
        <f>+C33-'2023 Nto driftsutg landet'!$C7</f>
        <v>#N/A</v>
      </c>
    </row>
    <row r="73" spans="2:9" x14ac:dyDescent="0.3">
      <c r="B73" s="32" t="s">
        <v>359</v>
      </c>
      <c r="C73" s="74" t="e">
        <f>+C34-'2023 Nto driftsutg landet'!$C8</f>
        <v>#N/A</v>
      </c>
    </row>
    <row r="74" spans="2:9" x14ac:dyDescent="0.3">
      <c r="B74" s="32" t="s">
        <v>176</v>
      </c>
      <c r="C74" s="74" t="e">
        <f>+C35-'2023 Nto driftsutg landet'!$C9</f>
        <v>#N/A</v>
      </c>
    </row>
    <row r="75" spans="2:9" x14ac:dyDescent="0.3">
      <c r="B75" s="32" t="s">
        <v>127</v>
      </c>
      <c r="C75" s="74" t="e">
        <f>+C36-'2023 Nto driftsutg landet'!$C13</f>
        <v>#N/A</v>
      </c>
    </row>
    <row r="76" spans="2:9" x14ac:dyDescent="0.3">
      <c r="B76" s="32" t="s">
        <v>27</v>
      </c>
      <c r="C76" s="74" t="e">
        <f>+C37-'2023 Nto driftsutg landet'!$C14</f>
        <v>#N/A</v>
      </c>
    </row>
    <row r="77" spans="2:9" x14ac:dyDescent="0.3">
      <c r="B77" s="32" t="s">
        <v>24</v>
      </c>
      <c r="C77" s="74" t="e">
        <f>+C38-'2023 Nto driftsutg landet'!$C15</f>
        <v>#N/A</v>
      </c>
    </row>
    <row r="78" spans="2:9" x14ac:dyDescent="0.3">
      <c r="B78" s="33" t="s">
        <v>25</v>
      </c>
      <c r="C78" s="75" t="e">
        <f>+C39-'2023 Nto driftsutg landet'!$C16</f>
        <v>#N/A</v>
      </c>
    </row>
    <row r="80" spans="2:9" x14ac:dyDescent="0.3">
      <c r="E80" s="5"/>
    </row>
  </sheetData>
  <sheetProtection algorithmName="SHA-512" hashValue="tC7N28FICncRm8fsojMy0C8dkbw31/21QHqHza5JRFNCFSVrh5M1qoDIP8ugFxHxMvLUdQeT5kdE1JHSzjXr6g==" saltValue="0SUk8rES48S0zGBqxwLCWQ==" spinCount="100000" sheet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3"/>
  <dimension ref="B1:I80"/>
  <sheetViews>
    <sheetView showGridLines="0" topLeftCell="A53" workbookViewId="0">
      <selection activeCell="B72" sqref="B72:B73"/>
    </sheetView>
  </sheetViews>
  <sheetFormatPr baseColWidth="10" defaultRowHeight="14.4" x14ac:dyDescent="0.3"/>
  <cols>
    <col min="2" max="2" width="39.5546875" customWidth="1"/>
    <col min="3" max="3" width="17.44140625" customWidth="1"/>
    <col min="4" max="4" width="24" customWidth="1"/>
    <col min="5" max="5" width="24.5546875" customWidth="1"/>
    <col min="6" max="6" width="22.88671875" customWidth="1"/>
    <col min="7" max="7" width="8.88671875" customWidth="1"/>
    <col min="8" max="8" width="30.5546875" customWidth="1"/>
    <col min="9" max="9" width="16.5546875" bestFit="1" customWidth="1"/>
  </cols>
  <sheetData>
    <row r="1" spans="2:8" ht="33" customHeight="1" x14ac:dyDescent="0.5">
      <c r="B1" s="79" t="str">
        <f>+Inngang!C13</f>
        <v/>
      </c>
      <c r="C1" s="106"/>
    </row>
    <row r="3" spans="2:8" x14ac:dyDescent="0.3">
      <c r="B3" s="7" t="s">
        <v>52</v>
      </c>
    </row>
    <row r="4" spans="2:8" x14ac:dyDescent="0.3">
      <c r="B4" s="7"/>
    </row>
    <row r="5" spans="2:8" ht="43.2" x14ac:dyDescent="0.3">
      <c r="B5" s="38"/>
      <c r="C5" s="18" t="s">
        <v>278</v>
      </c>
      <c r="D5" s="18" t="s">
        <v>131</v>
      </c>
    </row>
    <row r="6" spans="2:8" x14ac:dyDescent="0.3">
      <c r="B6" s="39"/>
      <c r="C6" s="37" t="s">
        <v>40</v>
      </c>
      <c r="D6" s="37" t="s">
        <v>40</v>
      </c>
    </row>
    <row r="7" spans="2:8" x14ac:dyDescent="0.3">
      <c r="B7" s="62" t="s">
        <v>139</v>
      </c>
      <c r="C7" s="64" t="e">
        <f>VLOOKUP(Inngang!$B$13,'2023 Inntektsnivå'!A5:D15,4)</f>
        <v>#N/A</v>
      </c>
      <c r="D7" s="101"/>
    </row>
    <row r="8" spans="2:8" x14ac:dyDescent="0.3">
      <c r="B8" s="62" t="s">
        <v>273</v>
      </c>
      <c r="C8" s="65" t="e">
        <f>+E31+E32+E33+E34+E35</f>
        <v>#N/A</v>
      </c>
      <c r="D8" s="74" t="e">
        <f>H31+H32+H33+H34+H35</f>
        <v>#N/A</v>
      </c>
    </row>
    <row r="9" spans="2:8" x14ac:dyDescent="0.3">
      <c r="B9" s="62" t="s">
        <v>272</v>
      </c>
      <c r="C9" s="65" t="e">
        <f>+E36</f>
        <v>#N/A</v>
      </c>
      <c r="D9" s="74" t="e">
        <f t="shared" ref="D9:D12" si="0">+H36</f>
        <v>#N/A</v>
      </c>
    </row>
    <row r="10" spans="2:8" x14ac:dyDescent="0.3">
      <c r="B10" s="62" t="s">
        <v>27</v>
      </c>
      <c r="C10" s="65" t="e">
        <f>+E37</f>
        <v>#N/A</v>
      </c>
      <c r="D10" s="74" t="e">
        <f t="shared" si="0"/>
        <v>#N/A</v>
      </c>
    </row>
    <row r="11" spans="2:8" x14ac:dyDescent="0.3">
      <c r="B11" s="62" t="s">
        <v>24</v>
      </c>
      <c r="C11" s="65" t="e">
        <f t="shared" ref="C11:C12" si="1">+E38</f>
        <v>#N/A</v>
      </c>
      <c r="D11" s="74" t="e">
        <f t="shared" si="0"/>
        <v>#N/A</v>
      </c>
    </row>
    <row r="12" spans="2:8" x14ac:dyDescent="0.3">
      <c r="B12" s="63" t="s">
        <v>25</v>
      </c>
      <c r="C12" s="66" t="e">
        <f t="shared" si="1"/>
        <v>#N/A</v>
      </c>
      <c r="D12" s="75" t="e">
        <f t="shared" si="0"/>
        <v>#N/A</v>
      </c>
    </row>
    <row r="13" spans="2:8" x14ac:dyDescent="0.3">
      <c r="B13" s="7"/>
      <c r="C13" s="5"/>
      <c r="D13" s="5"/>
    </row>
    <row r="14" spans="2:8" x14ac:dyDescent="0.3">
      <c r="B14" s="7"/>
    </row>
    <row r="16" spans="2:8" ht="43.2" x14ac:dyDescent="0.3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9" x14ac:dyDescent="0.3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9" x14ac:dyDescent="0.3">
      <c r="B18" s="62" t="s">
        <v>174</v>
      </c>
      <c r="C18" s="14" t="e">
        <f>VLOOKUP(Inngang!$B$13,'2023 Nto driftsutg eks avskriv'!$A$5:$T$15,4)*1000/VLOOKUP(Inngang!$B$13,'2023 Nto driftsutg'!$A$5:$W$15,23)*100/'2023 Nto driftsutg landet'!C5-100</f>
        <v>#N/A</v>
      </c>
      <c r="D18" s="5" t="e">
        <f>('2023 Nto driftsutg landet'!$C$5+VLOOKUP(Inngang!$B$13,'2023 Korreksjoner'!$A$5:$AS$15,3)+VLOOKUP(Inngang!$B$13,'2023 Korreksjoner'!$A$5:$AS$15,5)+VLOOKUP(Inngang!$B$13,'2023 Korreksjoner'!$A$5:$AS$15,12)+VLOOKUP(Inngang!$B$13,'2023 Korreksjoner'!$A$5:$AS$15,28))*100/'2023 Nto driftsutg landet'!C5-100</f>
        <v>#N/A</v>
      </c>
      <c r="E18" s="16" t="e">
        <f>+C18-D18</f>
        <v>#N/A</v>
      </c>
      <c r="F18" s="5" t="e">
        <f>('2023 Nto driftsutg landet'!$C$5*VLOOKUP(Inngang!$B$13,'2023 Inntektsnivå'!$A$5:$C$15,3)+VLOOKUP(Inngang!$B$13,'2023 Korreksjoner'!$A$5:$AS$15,5)+VLOOKUP(Inngang!$B$13,'2023 Korreksjoner'!$A$5:$AS$15,3)+VLOOKUP(Inngang!$B$13,'2023 Korreksjoner'!$A$5:$AS$15,12)+VLOOKUP(Inngang!$B$13,'2023 Korreksjoner'!$A$5:$AS$15,28))*100/'2023 Nto driftsutg landet'!C5-100</f>
        <v>#N/A</v>
      </c>
      <c r="G18" s="5"/>
      <c r="H18" s="16" t="e">
        <f>+C18-F18</f>
        <v>#N/A</v>
      </c>
    </row>
    <row r="19" spans="2:9" x14ac:dyDescent="0.3">
      <c r="B19" s="62" t="s">
        <v>175</v>
      </c>
      <c r="C19" s="14" t="e">
        <f>VLOOKUP(Inngang!$B$13,'2023 Nto driftsutg eks avskriv'!$A$5:$T$15,5)*1000/VLOOKUP(Inngang!$B$13,'2023 Nto driftsutg'!$A$5:$W$15,23)*100/'2023 Nto driftsutg landet'!C6-100</f>
        <v>#N/A</v>
      </c>
      <c r="D19" s="5" t="e">
        <f>('2023 Nto driftsutg landet'!$C$6+VLOOKUP(Inngang!$B$13,'2023 Korreksjoner'!$A$5:$AS$15,6)+VLOOKUP(Inngang!$B$13,'2023 Korreksjoner'!$A$5:$AS$15,13)+VLOOKUP(Inngang!$B$13,'2023 Korreksjoner'!$A$5:$AS$15,29))*100/'2023 Nto driftsutg landet'!C6-100</f>
        <v>#N/A</v>
      </c>
      <c r="E19" s="16" t="e">
        <f>+C19-D19</f>
        <v>#N/A</v>
      </c>
      <c r="F19" s="5" t="e">
        <f>('2023 Nto driftsutg landet'!$C$6*VLOOKUP(Inngang!$B$13,'2023 Inntektsnivå'!$A$5:$C$15,3)+VLOOKUP(Inngang!$B$13,'2023 Korreksjoner'!$A$5:$AS$15,6)+VLOOKUP(Inngang!$B$13,'2023 Korreksjoner'!$A$5:$AS$15,13)+VLOOKUP(Inngang!$B$13,'2023 Korreksjoner'!$A$5:$AS$15,29))*100/'2023 Nto driftsutg landet'!C6-100</f>
        <v>#N/A</v>
      </c>
      <c r="G19" s="5"/>
      <c r="H19" s="16" t="e">
        <f>+C19-F19</f>
        <v>#N/A</v>
      </c>
    </row>
    <row r="20" spans="2:9" x14ac:dyDescent="0.3">
      <c r="B20" s="32" t="s">
        <v>398</v>
      </c>
      <c r="C20" s="14" t="e">
        <f>VLOOKUP(Inngang!$B$13,'2023 Nto driftsutg eks avskriv'!$A$5:$T$15,6)*1000/VLOOKUP(Inngang!$B$13,'2023 Nto driftsutg'!$A$5:$W$15,23)*100/'2023 Nto driftsutg landet'!C7-100</f>
        <v>#N/A</v>
      </c>
      <c r="D20" s="5" t="e">
        <f>('2023 Nto driftsutg landet'!$C$7+VLOOKUP(Inngang!$B$13,'2023 Korreksjoner'!$A$5:$AS$15,7)+VLOOKUP(Inngang!$B$13,'2023 Korreksjoner'!$A$5:$AS$15,14)+VLOOKUP(Inngang!$B$13,'2023 Korreksjoner'!$A$5:$AS$15,30))*100/'2023 Nto driftsutg landet'!C7-100</f>
        <v>#N/A</v>
      </c>
      <c r="E20" s="16" t="e">
        <f>+C20-D20</f>
        <v>#N/A</v>
      </c>
      <c r="F20" s="5" t="e">
        <f>('2023 Nto driftsutg landet'!$C$7*VLOOKUP(Inngang!$B$13,'2023 Inntektsnivå'!$A$5:$C$15,3)+VLOOKUP(Inngang!$B$13,'2023 Korreksjoner'!$A$5:$AS$15,7)+VLOOKUP(Inngang!$B$13,'2023 Korreksjoner'!$A$5:$AS$15,14)+VLOOKUP(Inngang!$B$13,'2023 Korreksjoner'!$A$5:$AS$15,30))*100/'2023 Nto driftsutg landet'!C7-100</f>
        <v>#N/A</v>
      </c>
      <c r="G20" s="5"/>
      <c r="H20" s="16" t="e">
        <f>+C20-F20</f>
        <v>#N/A</v>
      </c>
    </row>
    <row r="21" spans="2:9" x14ac:dyDescent="0.3">
      <c r="B21" s="32" t="s">
        <v>359</v>
      </c>
      <c r="C21" s="14" t="e">
        <f>VLOOKUP(Inngang!$B$13,'2023 Nto driftsutg eks avskriv'!$A$5:$T$15,7)*1000/VLOOKUP(Inngang!$B$13,'2023 Nto driftsutg'!$A$5:$W$15,23)*100/'2023 Nto driftsutg landet'!C9-100</f>
        <v>#N/A</v>
      </c>
      <c r="D21" s="5" t="e">
        <f>('2023 Nto driftsutg landet'!$C$8+VLOOKUP(Inngang!$B$13,'2023 Korreksjoner'!$A$5:$AS$15,8)+VLOOKUP(Inngang!$B$13,'2023 Korreksjoner'!$A$5:$AS$15,15)+VLOOKUP(Inngang!$B$13,'2023 Korreksjoner'!$A$5:$AS$15,31))*100/'2023 Nto driftsutg landet'!C8-100</f>
        <v>#N/A</v>
      </c>
      <c r="E21" s="16" t="e">
        <f>+C21-D21</f>
        <v>#N/A</v>
      </c>
      <c r="F21" s="5" t="e">
        <f>('2023 Nto driftsutg landet'!$C$8*VLOOKUP(Inngang!$B$13,'2023 Inntektsnivå'!$A$5:$C$15,3)+VLOOKUP(Inngang!$B$13,'2023 Korreksjoner'!$A$5:$AS$15,8)+VLOOKUP(Inngang!$B$13,'2023 Korreksjoner'!$A$5:$AS$15,15)+VLOOKUP(Inngang!$B$13,'2023 Korreksjoner'!$A$5:$AS$15,31))*100/'2023 Nto driftsutg landet'!C8-100</f>
        <v>#N/A</v>
      </c>
      <c r="G21" s="5"/>
      <c r="H21" s="16" t="e">
        <f>+C21-F21</f>
        <v>#N/A</v>
      </c>
    </row>
    <row r="22" spans="2:9" x14ac:dyDescent="0.3">
      <c r="B22" s="63" t="s">
        <v>176</v>
      </c>
      <c r="C22" s="26" t="e">
        <f>VLOOKUP(Inngang!$B$13,'2023 Nto driftsutg eks avskriv'!$A$5:$T$15,8)*1000/VLOOKUP(Inngang!$B$13,'2023 Nto driftsutg'!$A$5:$W$15,23)*100/'2023 Nto driftsutg landet'!C9-100</f>
        <v>#N/A</v>
      </c>
      <c r="D22" s="22" t="e">
        <f>('2023 Nto driftsutg landet'!$C$9+VLOOKUP(Inngang!$B$13,'2023 Korreksjoner'!$A$5:$AS$15,9)+VLOOKUP(Inngang!$B$13,'2023 Korreksjoner'!$A$5:$AS$15,16)+VLOOKUP(Inngang!$B$13,'2023 Korreksjoner'!$A$5:$AS$15,32))*100/'2023 Nto driftsutg landet'!C9-100</f>
        <v>#N/A</v>
      </c>
      <c r="E22" s="27" t="e">
        <f t="shared" ref="E22" si="2">+C22-D22</f>
        <v>#N/A</v>
      </c>
      <c r="F22" s="22" t="e">
        <f>('2023 Nto driftsutg landet'!$C$9*VLOOKUP(Inngang!$B$13,'2023 Inntektsnivå'!$A$5:$C$15,3)+VLOOKUP(Inngang!$B$13,'2023 Korreksjoner'!$A$5:$AS$15,9)+VLOOKUP(Inngang!$B$13,'2023 Korreksjoner'!$A$5:$AS$15,16)+VLOOKUP(Inngang!$B$13,'2023 Korreksjoner'!$A$5:$AS$15,32))*100/'2023 Nto driftsutg landet'!C9-100</f>
        <v>#N/A</v>
      </c>
      <c r="G22" s="22"/>
      <c r="H22" s="27" t="e">
        <f t="shared" ref="H22" si="3">+C22-F22</f>
        <v>#N/A</v>
      </c>
    </row>
    <row r="26" spans="2:9" x14ac:dyDescent="0.3">
      <c r="B26" s="7" t="s">
        <v>35</v>
      </c>
    </row>
    <row r="28" spans="2:9" ht="43.2" x14ac:dyDescent="0.3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</row>
    <row r="29" spans="2:9" x14ac:dyDescent="0.3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9" x14ac:dyDescent="0.3">
      <c r="B30" s="83" t="s">
        <v>140</v>
      </c>
      <c r="C30" s="84" t="e">
        <f>SUM(C31:C35)</f>
        <v>#N/A</v>
      </c>
      <c r="D30" s="84" t="e">
        <f>SUM(D31:D35)</f>
        <v>#N/A</v>
      </c>
      <c r="E30" s="85" t="e">
        <f>SUM(E31:E35)</f>
        <v>#N/A</v>
      </c>
      <c r="F30" s="87" t="e">
        <f>SUM(F31:F35)</f>
        <v>#N/A</v>
      </c>
      <c r="G30" s="84"/>
      <c r="H30" s="86" t="e">
        <f>SUM(H31:H35)</f>
        <v>#N/A</v>
      </c>
    </row>
    <row r="31" spans="2:9" x14ac:dyDescent="0.3">
      <c r="B31" s="32" t="s">
        <v>174</v>
      </c>
      <c r="C31" s="5" t="e">
        <f>VLOOKUP(Inngang!$B$13,'2023 Nto driftsutg eks avskriv'!$A$5:$T$15,4)*1000/VLOOKUP(Inngang!$B$13,'2023 Nto driftsutg'!$A$5:$W$15,23)</f>
        <v>#N/A</v>
      </c>
      <c r="D31" s="5" t="e">
        <f>+'2023 Nto driftsutg landet'!$C$5+VLOOKUP(Inngang!$B$13,'2023 Korreksjoner'!$A$5:$AS$15,5)+VLOOKUP(Inngang!$B$13,'2023 Korreksjoner'!$A$5:$I$15,3)+VLOOKUP(Inngang!$B$13,'2023 Korreksjoner'!$A$5:$AS$15,12)+VLOOKUP(Inngang!$B$13,'2023 Korreksjoner'!$A$5:$AS$15,28)</f>
        <v>#N/A</v>
      </c>
      <c r="E31" s="17" t="e">
        <f>+C31-D31</f>
        <v>#N/A</v>
      </c>
      <c r="F31" s="14" t="e">
        <f>+'2023 Nto driftsutg landet'!$C$5*VLOOKUP(Inngang!$B$13,'2023 Inntektsnivå'!$A$5:$C$15,3)+VLOOKUP(Inngang!$B$13,'2023 Korreksjoner'!$A$5:$AS$15,5)+VLOOKUP(Inngang!$B$13,'2023 Korreksjoner'!$A$5:$AS$15,3)+VLOOKUP(Inngang!$B$13,'2023 Korreksjoner'!$A$5:$AS$15,12)+VLOOKUP(Inngang!$B$13,'2023 Korreksjoner'!$A$5:$AS$15,28)</f>
        <v>#N/A</v>
      </c>
      <c r="G31" s="5"/>
      <c r="H31" s="16" t="e">
        <f>IF(F34=G34,C31-F31,(C31-F31)-(G34-F34)*C31/C30)</f>
        <v>#N/A</v>
      </c>
      <c r="I31" s="105"/>
    </row>
    <row r="32" spans="2:9" x14ac:dyDescent="0.3">
      <c r="B32" s="32" t="s">
        <v>175</v>
      </c>
      <c r="C32" s="5" t="e">
        <f>VLOOKUP(Inngang!$B$13,'2023 Nto driftsutg eks avskriv'!$A$5:$T$15,5)*1000/VLOOKUP(Inngang!$B$13,'2023 Nto driftsutg'!$A$5:$W$15,23)</f>
        <v>#N/A</v>
      </c>
      <c r="D32" s="5" t="e">
        <f>+'2023 Nto driftsutg landet'!$C$6+VLOOKUP(Inngang!$B$13,'2023 Korreksjoner'!$A$5:$AS$15,6)+VLOOKUP(Inngang!$B$13,'2023 Korreksjoner'!$A$5:$AS$15,13)+VLOOKUP(Inngang!$B$13,'2023 Korreksjoner'!$A$5:$AS$15,29)</f>
        <v>#N/A</v>
      </c>
      <c r="E32" s="17" t="e">
        <f>+C32-D32</f>
        <v>#N/A</v>
      </c>
      <c r="F32" s="14" t="e">
        <f>+'2023 Nto driftsutg landet'!$C$6*VLOOKUP(Inngang!$B$13,'2023 Inntektsnivå'!$A$5:$C$15,3)+VLOOKUP(Inngang!$B$13,'2023 Korreksjoner'!$A$5:$AS$15,6)+VLOOKUP(Inngang!$B$13,'2023 Korreksjoner'!$A$5:$AS$15,13)+VLOOKUP(Inngang!$B$13,'2023 Korreksjoner'!$A$5:$AS$15,29)</f>
        <v>#N/A</v>
      </c>
      <c r="G32" s="5"/>
      <c r="H32" s="16" t="e">
        <f>IF(F34=G34,C32-F32,(C32-F32)-(G34-F34)*C32/C30)</f>
        <v>#N/A</v>
      </c>
      <c r="I32" s="105"/>
    </row>
    <row r="33" spans="2:9" x14ac:dyDescent="0.3">
      <c r="B33" s="32" t="s">
        <v>398</v>
      </c>
      <c r="C33" s="5" t="e">
        <f>VLOOKUP(Inngang!$B$13,'2023 Nto driftsutg eks avskriv'!$A$5:$T$15,6)*1000/VLOOKUP(Inngang!$B$13,'2023 Nto driftsutg'!$A$5:$W$15,23)</f>
        <v>#N/A</v>
      </c>
      <c r="D33" s="5" t="e">
        <f>+'2023 Nto driftsutg landet'!$C$7+VLOOKUP(Inngang!$B$13,'2023 Korreksjoner'!$A$5:$AS$15,7)+VLOOKUP(Inngang!$B$13,'2023 Korreksjoner'!$A$5:$AS$15,14)+VLOOKUP(Inngang!$B$13,'2023 Korreksjoner'!$A$5:$AS$15,30)</f>
        <v>#N/A</v>
      </c>
      <c r="E33" s="17" t="e">
        <f>+C33-D33</f>
        <v>#N/A</v>
      </c>
      <c r="F33" s="14" t="e">
        <f>+'2023 Nto driftsutg landet'!$C$7*VLOOKUP(Inngang!$B$13,'2023 Inntektsnivå'!$A$5:$C$15,3)+VLOOKUP(Inngang!$B$13,'2023 Korreksjoner'!$A$5:$AS$15,7)+VLOOKUP(Inngang!$B$13,'2023 Korreksjoner'!$A$5:$AS$15,14)+VLOOKUP(Inngang!$B$13,'2023 Korreksjoner'!$A$5:$AS$15,30)</f>
        <v>#N/A</v>
      </c>
      <c r="G33" s="5"/>
      <c r="H33" s="16" t="e">
        <f>IF(F34=G34,C33-F33,(C33-F33)-(G34-F34)*(C33+C34)/C30)</f>
        <v>#N/A</v>
      </c>
      <c r="I33" s="105"/>
    </row>
    <row r="34" spans="2:9" x14ac:dyDescent="0.3">
      <c r="B34" s="32" t="s">
        <v>359</v>
      </c>
      <c r="C34" s="5" t="e">
        <f>VLOOKUP(Inngang!$B$13,'2023 Nto driftsutg eks avskriv'!$A$5:$T$15,7)*1000/VLOOKUP(Inngang!$B$13,'2023 Nto driftsutg'!$A$5:$W$15,23)</f>
        <v>#N/A</v>
      </c>
      <c r="D34" s="5" t="e">
        <f>+'2023 Nto driftsutg landet'!$C$8+VLOOKUP(Inngang!$B$13,'2023 Korreksjoner'!$A$5:$AS$15,8)+VLOOKUP(Inngang!$B$13,'2023 Korreksjoner'!$A$5:$AS$15,15)+VLOOKUP(Inngang!$B$13,'2023 Korreksjoner'!$A$5:$AS$15,31)</f>
        <v>#N/A</v>
      </c>
      <c r="E34" s="17" t="e">
        <f>+C34-D34</f>
        <v>#N/A</v>
      </c>
      <c r="F34" s="14" t="e">
        <f>IF(AND(C34&gt;=0.5,D34&gt;0),IF(G34&lt;10,C34,G34),0)</f>
        <v>#N/A</v>
      </c>
      <c r="G34" s="5" t="e">
        <f>+'2023 Nto driftsutg landet'!$C$8*VLOOKUP(Inngang!$B$13,'2023 Inntektsnivå'!$A$5:$C$15,3)+VLOOKUP(Inngang!$B$13,'2023 Korreksjoner'!$A$5:$AS$15,8)+VLOOKUP(Inngang!$B$13,'2023 Korreksjoner'!$A$5:$AS$15,15)+VLOOKUP(Inngang!$B$13,'2023 Korreksjoner'!$A$5:$AS$15,31)</f>
        <v>#N/A</v>
      </c>
      <c r="H34" s="16" t="e">
        <f>+C34-F34</f>
        <v>#N/A</v>
      </c>
      <c r="I34" s="105"/>
    </row>
    <row r="35" spans="2:9" x14ac:dyDescent="0.3">
      <c r="B35" s="33" t="s">
        <v>176</v>
      </c>
      <c r="C35" s="22" t="e">
        <f>VLOOKUP(Inngang!$B$13,'2023 Nto driftsutg eks avskriv'!$A$5:$T$15,8)*1000/VLOOKUP(Inngang!$B$13,'2023 Nto driftsutg'!$A$5:$W$15,23)</f>
        <v>#N/A</v>
      </c>
      <c r="D35" s="22" t="e">
        <f>+'2023 Nto driftsutg landet'!$C$9+VLOOKUP(Inngang!$B$13,'2023 Korreksjoner'!$A$5:$AS$15,9)+VLOOKUP(Inngang!$B$13,'2023 Korreksjoner'!$A$5:$AS$15,16)+VLOOKUP(Inngang!$B$13,'2023 Korreksjoner'!$A$5:$AS$15,32)</f>
        <v>#N/A</v>
      </c>
      <c r="E35" s="40" t="e">
        <f t="shared" ref="E35:E39" si="4">+C35-D35</f>
        <v>#N/A</v>
      </c>
      <c r="F35" s="26" t="e">
        <f>+'2023 Nto driftsutg landet'!$C$9*VLOOKUP(Inngang!$B$13,'2023 Inntektsnivå'!$A$5:$C$15,3)+VLOOKUP(Inngang!$B$13,'2023 Korreksjoner'!$A$5:$AS$15,9)+VLOOKUP(Inngang!$B$13,'2023 Korreksjoner'!$A$5:$AS$15,16)+VLOOKUP(Inngang!$B$13,'2023 Korreksjoner'!$A$5:$AS$15,32)</f>
        <v>#N/A</v>
      </c>
      <c r="G35" s="22"/>
      <c r="H35" s="27" t="e">
        <f>IF(F34=G34,C35-F35,(C35-F35)-(G34-F34)*C35/C30)</f>
        <v>#N/A</v>
      </c>
      <c r="I35" s="105"/>
    </row>
    <row r="36" spans="2:9" x14ac:dyDescent="0.3">
      <c r="B36" s="32" t="s">
        <v>272</v>
      </c>
      <c r="C36" s="5" t="e">
        <f>VLOOKUP(Inngang!$B$13,'2023 Nto driftsutg eks avskriv'!$A$5:$T$15,9)*1000/VLOOKUP(Inngang!$B$13,'2023 Nto driftsutg'!$A$5:$W$15,23)</f>
        <v>#N/A</v>
      </c>
      <c r="D36" s="5" t="e">
        <f>'2023 Nto driftsutg landet'!$C$13+VLOOKUP(Inngang!$B$13,'2023 Korreksjoner'!$A$5:$AS$15,17)+VLOOKUP(Inngang!$B$13,'2023 Korreksjoner'!$A$5:$AS$15,33)+VLOOKUP(Inngang!$B$13,'2023 Korreksjoner'!$A$5:$AW$15,46)</f>
        <v>#N/A</v>
      </c>
      <c r="E36" s="17" t="e">
        <f t="shared" si="4"/>
        <v>#N/A</v>
      </c>
      <c r="F36" s="14" t="e">
        <f>+'2023 Nto driftsutg landet'!$C$13*VLOOKUP(Inngang!$B$13,'2023 Inntektsnivå'!$A$5:$C$15,3)+VLOOKUP(Inngang!$B$13,'2023 Korreksjoner'!$A$5:$AS$15,17)+VLOOKUP(Inngang!$B$13,'2023 Korreksjoner'!$A$5:$AS$15,33)+VLOOKUP(Inngang!$B$13,'2023 Korreksjoner'!$A$5:$AV$15,46)</f>
        <v>#N/A</v>
      </c>
      <c r="G36" s="5"/>
      <c r="H36" s="16" t="e">
        <f t="shared" ref="H36:H39" si="5">+C36-F36</f>
        <v>#N/A</v>
      </c>
    </row>
    <row r="37" spans="2:9" x14ac:dyDescent="0.3">
      <c r="B37" s="32" t="s">
        <v>27</v>
      </c>
      <c r="C37" s="5" t="e">
        <f>VLOOKUP(Inngang!$B$13,'2023 Nto driftsutg eks avskriv'!$A$5:$T$15,18)*1000/VLOOKUP(Inngang!$B$13,'2023 Nto driftsutg'!$A$5:$W$15,23)</f>
        <v>#N/A</v>
      </c>
      <c r="D37" s="5" t="e">
        <f>'2023 Nto driftsutg landet'!$C$14+VLOOKUP(Inngang!$B$13,'2023 Korreksjoner'!$A$5:$AX$15,44)</f>
        <v>#N/A</v>
      </c>
      <c r="E37" s="17" t="e">
        <f t="shared" si="4"/>
        <v>#N/A</v>
      </c>
      <c r="F37" s="14" t="e">
        <f>+'2023 Nto driftsutg landet'!$C$14*VLOOKUP(Inngang!$B$13,'2023 Inntektsnivå'!$A$5:$C$15,3)+VLOOKUP(Inngang!$B$13,'2023 Korreksjoner'!$A$5:$AX$15,44)</f>
        <v>#N/A</v>
      </c>
      <c r="G37" s="5"/>
      <c r="H37" s="16" t="e">
        <f t="shared" si="5"/>
        <v>#N/A</v>
      </c>
    </row>
    <row r="38" spans="2:9" x14ac:dyDescent="0.3">
      <c r="B38" s="32" t="s">
        <v>24</v>
      </c>
      <c r="C38" s="5" t="e">
        <f>VLOOKUP(Inngang!$B$13,'2023 Nto driftsutg eks avskriv'!$A$5:$T$15,19)*1000/VLOOKUP(Inngang!$B$13,'2023 Nto driftsutg'!$A$5:$W$15,23)</f>
        <v>#N/A</v>
      </c>
      <c r="D38" s="93">
        <f>'2023 Nto driftsutg landet'!$C$15</f>
        <v>859.80483865657436</v>
      </c>
      <c r="E38" s="94" t="e">
        <f t="shared" si="4"/>
        <v>#N/A</v>
      </c>
      <c r="F38" s="95" t="e">
        <f>+'2023 Nto driftsutg landet'!$C$15*VLOOKUP(Inngang!$B$13,'2023 Inntektsnivå'!$A$5:$C$15,3)</f>
        <v>#N/A</v>
      </c>
      <c r="G38" s="93"/>
      <c r="H38" s="96" t="e">
        <f t="shared" si="5"/>
        <v>#N/A</v>
      </c>
      <c r="I38" s="5"/>
    </row>
    <row r="39" spans="2:9" x14ac:dyDescent="0.3">
      <c r="B39" s="33" t="s">
        <v>25</v>
      </c>
      <c r="C39" s="22" t="e">
        <f>VLOOKUP(Inngang!$B$13,'2023 Nto driftsutg eks avskriv'!$A$5:$T$15,20)*1000/VLOOKUP(Inngang!$B$13,'2023 Nto driftsutg'!$A$5:$W$15,23)</f>
        <v>#N/A</v>
      </c>
      <c r="D39" s="97">
        <f>'2023 Nto driftsutg landet'!$C$16</f>
        <v>800.62190589015938</v>
      </c>
      <c r="E39" s="98" t="e">
        <f t="shared" si="4"/>
        <v>#N/A</v>
      </c>
      <c r="F39" s="99" t="e">
        <f>+'2023 Nto driftsutg landet'!$C$16*VLOOKUP(Inngang!$B$13,'2023 Inntektsnivå'!$A$5:$C$15,3)</f>
        <v>#N/A</v>
      </c>
      <c r="G39" s="93"/>
      <c r="H39" s="96" t="e">
        <f t="shared" si="5"/>
        <v>#N/A</v>
      </c>
    </row>
    <row r="40" spans="2:9" x14ac:dyDescent="0.3">
      <c r="B40" s="28" t="s">
        <v>18</v>
      </c>
      <c r="C40" s="29" t="e">
        <f>SUM(C31:C39)</f>
        <v>#N/A</v>
      </c>
      <c r="D40" s="30" t="e">
        <f>SUM(D31:D39)</f>
        <v>#N/A</v>
      </c>
      <c r="E40" s="31" t="e">
        <f>SUM(E31:E39)</f>
        <v>#N/A</v>
      </c>
      <c r="F40" s="29" t="e">
        <f>SUM(F31:F39)</f>
        <v>#N/A</v>
      </c>
      <c r="G40" s="30"/>
      <c r="H40" s="34" t="e">
        <f>SUM(H31:H39)</f>
        <v>#N/A</v>
      </c>
    </row>
    <row r="41" spans="2:9" x14ac:dyDescent="0.3">
      <c r="C41" s="5"/>
    </row>
    <row r="42" spans="2:9" x14ac:dyDescent="0.3">
      <c r="I42" s="5"/>
    </row>
    <row r="43" spans="2:9" x14ac:dyDescent="0.3">
      <c r="B43" s="7" t="s">
        <v>36</v>
      </c>
      <c r="I43" s="5"/>
    </row>
    <row r="45" spans="2:9" ht="43.2" x14ac:dyDescent="0.3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</row>
    <row r="46" spans="2:9" x14ac:dyDescent="0.3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9" x14ac:dyDescent="0.3">
      <c r="B47" s="83" t="s">
        <v>137</v>
      </c>
      <c r="C47" s="84" t="e">
        <f>SUM(C48:C53)</f>
        <v>#N/A</v>
      </c>
      <c r="D47" s="84" t="e">
        <f>SUM(D48:D53)</f>
        <v>#N/A</v>
      </c>
      <c r="E47" s="88" t="e">
        <f>SUM(E48:E53)</f>
        <v>#N/A</v>
      </c>
      <c r="F47" s="89" t="e">
        <f>SUM(F48:F53)</f>
        <v>#N/A</v>
      </c>
      <c r="G47" s="84"/>
      <c r="H47" s="90" t="e">
        <f>SUM(H48:H53)</f>
        <v>#N/A</v>
      </c>
    </row>
    <row r="48" spans="2:9" x14ac:dyDescent="0.3">
      <c r="B48" s="32" t="s">
        <v>4</v>
      </c>
      <c r="C48" s="5" t="e">
        <f>VLOOKUP(Inngang!$B$13,'2023 Nto driftsutg eks avskriv'!$A$5:$T$15,11)*1000/VLOOKUP(Inngang!$B$13,'2023 Nto driftsutg'!$A$5:$W$15,23)</f>
        <v>#N/A</v>
      </c>
      <c r="D48" s="5" t="e">
        <f>'2023 Nto driftsutg eks avskriv'!K$17*1000/'2023 Nto driftsutg'!$W$17+VLOOKUP(Inngang!$B$13,'2023 Korreksjoner'!$A$5:$AS$15,19)+VLOOKUP(Inngang!$B$13,'2023 Korreksjoner'!$A$5:$AS$15,35)</f>
        <v>#N/A</v>
      </c>
      <c r="E48" s="17" t="e">
        <f t="shared" ref="E48:E53" si="6">+C48-D48</f>
        <v>#N/A</v>
      </c>
      <c r="F48" s="14" t="e">
        <f>+'2023 Nto driftsutg landet'!$C$23*VLOOKUP(Inngang!$B$13,'2023 Inntektsnivå'!$A$5:$C$15,3)+VLOOKUP(Inngang!$B$13,'2023 Korreksjoner'!$A$5:$AS$15,19)+VLOOKUP(Inngang!$B$13,'2023 Korreksjoner'!$A$5:$AS$15,35)</f>
        <v>#N/A</v>
      </c>
      <c r="G48" s="5"/>
      <c r="H48" s="16" t="e">
        <f t="shared" ref="H48:H53" si="7">+C48-F48</f>
        <v>#N/A</v>
      </c>
    </row>
    <row r="49" spans="2:9" x14ac:dyDescent="0.3">
      <c r="B49" s="32" t="s">
        <v>271</v>
      </c>
      <c r="C49" s="5" t="e">
        <f>VLOOKUP(Inngang!$B$13,'2023 Nto driftsutg eks avskriv'!$A$5:$T$15,12)*1000/VLOOKUP(Inngang!$B$13,'2023 Nto driftsutg'!$A$5:$W$15,23)</f>
        <v>#N/A</v>
      </c>
      <c r="D49" s="5" t="e">
        <f>'2023 Nto driftsutg eks avskriv'!L$17*1000/'2023 Nto driftsutg'!$W$17+VLOOKUP(Inngang!$B$13,'2023 Korreksjoner'!$A$5:$AS$15,20)+VLOOKUP(Inngang!$B$13,'2023 Korreksjoner'!$A$5:$AS$15,36)</f>
        <v>#N/A</v>
      </c>
      <c r="E49" s="17" t="e">
        <f t="shared" si="6"/>
        <v>#N/A</v>
      </c>
      <c r="F49" s="14" t="e">
        <f>+'2023 Nto driftsutg landet'!$C$24*VLOOKUP(Inngang!$B$13,'2023 Inntektsnivå'!$A$5:$C$15,3)+VLOOKUP(Inngang!$B$13,'2023 Korreksjoner'!$A$5:$AS$15,20)+VLOOKUP(Inngang!$B$13,'2023 Korreksjoner'!$A$5:$AS$15,36)</f>
        <v>#N/A</v>
      </c>
      <c r="G49" s="5"/>
      <c r="H49" s="16" t="e">
        <f t="shared" si="7"/>
        <v>#N/A</v>
      </c>
    </row>
    <row r="50" spans="2:9" x14ac:dyDescent="0.3">
      <c r="B50" s="32" t="s">
        <v>37</v>
      </c>
      <c r="C50" s="5" t="e">
        <f>VLOOKUP(Inngang!$B$13,'2023 Nto driftsutg eks avskriv'!$A$5:$T$15,13)*1000/VLOOKUP(Inngang!$B$13,'2023 Nto driftsutg'!$A$5:$W$15,23)</f>
        <v>#N/A</v>
      </c>
      <c r="D50" s="5" t="e">
        <f>'2023 Nto driftsutg eks avskriv'!M$17*1000/'2023 Nto driftsutg'!$W$17+VLOOKUP(Inngang!$B$13,'2023 Korreksjoner'!$A$5:$AS$15,21)+VLOOKUP(Inngang!$B$13,'2023 Korreksjoner'!$A$5:$AS$15,37)</f>
        <v>#N/A</v>
      </c>
      <c r="E50" s="17" t="e">
        <f t="shared" si="6"/>
        <v>#N/A</v>
      </c>
      <c r="F50" s="14" t="e">
        <f>+'2023 Nto driftsutg landet'!$C$25*VLOOKUP(Inngang!$B$13,'2023 Inntektsnivå'!$A$5:$C$15,3)+VLOOKUP(Inngang!$B$13,'2023 Korreksjoner'!$A$5:$AS$15,21)+VLOOKUP(Inngang!$B$13,'2023 Korreksjoner'!$A$5:$AS$15,37)</f>
        <v>#N/A</v>
      </c>
      <c r="G50" s="5"/>
      <c r="H50" s="16" t="e">
        <f t="shared" si="7"/>
        <v>#N/A</v>
      </c>
    </row>
    <row r="51" spans="2:9" x14ac:dyDescent="0.3">
      <c r="B51" s="32" t="s">
        <v>178</v>
      </c>
      <c r="C51" s="5" t="e">
        <f>VLOOKUP(Inngang!$B$13,'2023 Nto driftsutg eks avskriv'!$A$5:$T$15,14)*1000/VLOOKUP(Inngang!$B$13,'2023 Nto driftsutg'!$A$5:$W$15,23)</f>
        <v>#N/A</v>
      </c>
      <c r="D51" s="5" t="e">
        <f>'2023 Nto driftsutg eks avskriv'!N$17*1000/'2023 Nto driftsutg'!$W$17+VLOOKUP(Inngang!$B$13,'2023 Korreksjoner'!$A$5:$AS$15,22)+VLOOKUP(Inngang!$B$13,'2023 Korreksjoner'!$A$5:$AS$15,38)</f>
        <v>#N/A</v>
      </c>
      <c r="E51" s="17" t="e">
        <f t="shared" si="6"/>
        <v>#N/A</v>
      </c>
      <c r="F51" s="14" t="e">
        <f>+'2023 Nto driftsutg landet'!$C$26*VLOOKUP(Inngang!$B$13,'2023 Inntektsnivå'!$A$5:$C$15,3)+VLOOKUP(Inngang!$B$13,'2023 Korreksjoner'!$A$5:$AS$15,22)+VLOOKUP(Inngang!$B$13,'2023 Korreksjoner'!$A$5:$AS$15,38)</f>
        <v>#N/A</v>
      </c>
      <c r="G51" s="5"/>
      <c r="H51" s="16" t="e">
        <f t="shared" si="7"/>
        <v>#N/A</v>
      </c>
    </row>
    <row r="52" spans="2:9" x14ac:dyDescent="0.3">
      <c r="B52" s="32" t="s">
        <v>138</v>
      </c>
      <c r="C52" s="5" t="e">
        <f>VLOOKUP(Inngang!$B$13,'2023 Nto driftsutg eks avskriv'!$A$5:$T$15,15)*1000/VLOOKUP(Inngang!$B$13,'2023 Nto driftsutg'!$A$5:$W$15,23)</f>
        <v>#N/A</v>
      </c>
      <c r="D52" s="5" t="e">
        <f>'2023 Nto driftsutg eks avskriv'!O17*1000/'2023 Nto driftsutg'!$W$17+VLOOKUP(Inngang!$B$13,'2023 Korreksjoner'!$A$5:$AS$15,23)+VLOOKUP(Inngang!$B$13,'2023 Korreksjoner'!$A$5:$AS$15,39)</f>
        <v>#N/A</v>
      </c>
      <c r="E52" s="17" t="e">
        <f t="shared" si="6"/>
        <v>#N/A</v>
      </c>
      <c r="F52" s="14" t="e">
        <f>'2023 Nto driftsutg landet'!$C$27*VLOOKUP(Inngang!$B$13,'2023 Inntektsnivå'!$A$5:$C$15,3)+VLOOKUP(Inngang!$B$13,'2023 Korreksjoner'!$A$5:$AS$15,23)+VLOOKUP(Inngang!$B$13,'2023 Korreksjoner'!$A$5:$AS$15,39)</f>
        <v>#N/A</v>
      </c>
      <c r="G52" s="5"/>
      <c r="H52" s="16" t="e">
        <f t="shared" si="7"/>
        <v>#N/A</v>
      </c>
    </row>
    <row r="53" spans="2:9" x14ac:dyDescent="0.3">
      <c r="B53" s="61" t="s">
        <v>129</v>
      </c>
      <c r="C53" s="22" t="e">
        <f>VLOOKUP(Inngang!$B$13,'2023 Nto driftsutg eks avskriv'!$A$5:$T$15,16)*1000/VLOOKUP(Inngang!$B$13,'2023 Nto driftsutg'!$A$5:$W$15,23)</f>
        <v>#N/A</v>
      </c>
      <c r="D53" s="22" t="e">
        <f>'2023 Nto driftsutg eks avskriv'!P17*1000/'2023 Nto driftsutg'!$W$17+VLOOKUP(Inngang!$B$13,'2023 Korreksjoner'!$A$5:$AS$15,24)+VLOOKUP(Inngang!$B$13,'2023 Korreksjoner'!$A$5:$AS$15,40)</f>
        <v>#N/A</v>
      </c>
      <c r="E53" s="40" t="e">
        <f t="shared" si="6"/>
        <v>#N/A</v>
      </c>
      <c r="F53" s="26" t="e">
        <f>'2023 Nto driftsutg landet'!$C$28*VLOOKUP(Inngang!$B$13,'2023 Inntektsnivå'!$A$5:$C$15,3)+VLOOKUP(Inngang!$B$13,'2023 Korreksjoner'!$A$5:$AS$15,24)+VLOOKUP(Inngang!$B$13,'2023 Korreksjoner'!$A$5:$AS$15,40)</f>
        <v>#N/A</v>
      </c>
      <c r="G53" s="22"/>
      <c r="H53" s="27" t="e">
        <f t="shared" si="7"/>
        <v>#N/A</v>
      </c>
    </row>
    <row r="54" spans="2:9" x14ac:dyDescent="0.3">
      <c r="B54" s="28" t="s">
        <v>137</v>
      </c>
      <c r="C54" s="30" t="e">
        <f>SUM(C48:C53)</f>
        <v>#N/A</v>
      </c>
      <c r="D54" s="30" t="e">
        <f>SUM(D48:D53)</f>
        <v>#N/A</v>
      </c>
      <c r="E54" s="31" t="e">
        <f>SUM(E48:E53)</f>
        <v>#N/A</v>
      </c>
      <c r="F54" s="29" t="e">
        <f>SUM(F48:F53)</f>
        <v>#N/A</v>
      </c>
      <c r="G54" s="30"/>
      <c r="H54" s="34" t="e">
        <f>SUM(H48:H53)</f>
        <v>#N/A</v>
      </c>
      <c r="I54" s="5"/>
    </row>
    <row r="55" spans="2:9" x14ac:dyDescent="0.3">
      <c r="I55" s="5"/>
    </row>
    <row r="56" spans="2:9" x14ac:dyDescent="0.3">
      <c r="I56" s="5"/>
    </row>
    <row r="57" spans="2:9" x14ac:dyDescent="0.3">
      <c r="I57" s="5"/>
    </row>
    <row r="58" spans="2:9" x14ac:dyDescent="0.3">
      <c r="B58" s="38" t="s">
        <v>128</v>
      </c>
      <c r="C58" s="20" t="s">
        <v>274</v>
      </c>
      <c r="D58" s="67" t="s">
        <v>3</v>
      </c>
      <c r="I58" s="5"/>
    </row>
    <row r="59" spans="2:9" x14ac:dyDescent="0.3">
      <c r="B59" s="62" t="s">
        <v>174</v>
      </c>
      <c r="C59" s="70" t="e">
        <f>VLOOKUP(Inngang!$B$13,'2023 Revekting utgiftsbehov'!$A$5:$I$15,4)</f>
        <v>#N/A</v>
      </c>
      <c r="D59" s="68">
        <v>1</v>
      </c>
      <c r="I59" s="5"/>
    </row>
    <row r="60" spans="2:9" x14ac:dyDescent="0.3">
      <c r="B60" s="62" t="s">
        <v>175</v>
      </c>
      <c r="C60" s="70" t="e">
        <f>VLOOKUP(Inngang!$B$13,'2023 Revekting utgiftsbehov'!$A$5:$I$15,5)</f>
        <v>#N/A</v>
      </c>
      <c r="D60" s="68">
        <v>1</v>
      </c>
      <c r="I60" s="5"/>
    </row>
    <row r="61" spans="2:9" x14ac:dyDescent="0.3">
      <c r="B61" s="32" t="s">
        <v>398</v>
      </c>
      <c r="C61" s="70" t="e">
        <f>VLOOKUP(Inngang!$B$13,'2023 Revekting utgiftsbehov'!$A$5:$I$15,6)</f>
        <v>#N/A</v>
      </c>
      <c r="D61" s="68">
        <v>1</v>
      </c>
      <c r="I61" s="5"/>
    </row>
    <row r="62" spans="2:9" x14ac:dyDescent="0.3">
      <c r="B62" s="32" t="s">
        <v>359</v>
      </c>
      <c r="C62" s="70" t="e">
        <f>VLOOKUP(Inngang!$B$13,'2023 Revekting utgiftsbehov'!$A$5:$I$15,7)</f>
        <v>#N/A</v>
      </c>
      <c r="D62" s="68">
        <v>1</v>
      </c>
      <c r="I62" s="5"/>
    </row>
    <row r="63" spans="2:9" x14ac:dyDescent="0.3">
      <c r="B63" s="63" t="s">
        <v>176</v>
      </c>
      <c r="C63" s="71" t="e">
        <f>VLOOKUP(Inngang!$B$13,'2023 Revekting utgiftsbehov'!$A$5:$I$15,8)</f>
        <v>#N/A</v>
      </c>
      <c r="D63" s="69">
        <v>1</v>
      </c>
      <c r="I63" s="5"/>
    </row>
    <row r="64" spans="2:9" x14ac:dyDescent="0.3">
      <c r="B64" s="80" t="s">
        <v>133</v>
      </c>
      <c r="C64" s="81" t="e">
        <f>+VLOOKUP(Inngang!$B$13,'2023 Revekting utgiftsbehov'!$A$5:$I$15,9)</f>
        <v>#N/A</v>
      </c>
      <c r="D64" s="82">
        <v>1</v>
      </c>
      <c r="I64" s="5"/>
    </row>
    <row r="65" spans="2:9" x14ac:dyDescent="0.3">
      <c r="I65" s="5"/>
    </row>
    <row r="66" spans="2:9" x14ac:dyDescent="0.3">
      <c r="I66" s="5"/>
    </row>
    <row r="67" spans="2:9" x14ac:dyDescent="0.3">
      <c r="I67" s="5"/>
    </row>
    <row r="68" spans="2:9" ht="28.8" x14ac:dyDescent="0.3">
      <c r="B68" s="73" t="s">
        <v>130</v>
      </c>
      <c r="C68" s="76" t="s">
        <v>275</v>
      </c>
      <c r="D68" s="76" t="s">
        <v>276</v>
      </c>
    </row>
    <row r="69" spans="2:9" x14ac:dyDescent="0.3">
      <c r="B69" s="32" t="s">
        <v>139</v>
      </c>
      <c r="C69" s="74" t="e">
        <f>SUM(C70:C78)</f>
        <v>#N/A</v>
      </c>
    </row>
    <row r="70" spans="2:9" x14ac:dyDescent="0.3">
      <c r="B70" s="32" t="s">
        <v>174</v>
      </c>
      <c r="C70" s="74" t="e">
        <f>+C31-'2023 Nto driftsutg landet'!$C5</f>
        <v>#N/A</v>
      </c>
    </row>
    <row r="71" spans="2:9" x14ac:dyDescent="0.3">
      <c r="B71" s="32" t="s">
        <v>175</v>
      </c>
      <c r="C71" s="74" t="e">
        <f>+C32-'2023 Nto driftsutg landet'!$C6</f>
        <v>#N/A</v>
      </c>
    </row>
    <row r="72" spans="2:9" x14ac:dyDescent="0.3">
      <c r="B72" s="32" t="s">
        <v>398</v>
      </c>
      <c r="C72" s="74" t="e">
        <f>+C33-'2023 Nto driftsutg landet'!$C7</f>
        <v>#N/A</v>
      </c>
    </row>
    <row r="73" spans="2:9" x14ac:dyDescent="0.3">
      <c r="B73" s="32" t="s">
        <v>359</v>
      </c>
      <c r="C73" s="74" t="e">
        <f>+C34-'2023 Nto driftsutg landet'!$C8</f>
        <v>#N/A</v>
      </c>
    </row>
    <row r="74" spans="2:9" x14ac:dyDescent="0.3">
      <c r="B74" s="32" t="s">
        <v>176</v>
      </c>
      <c r="C74" s="74" t="e">
        <f>+C35-'2023 Nto driftsutg landet'!$C9</f>
        <v>#N/A</v>
      </c>
    </row>
    <row r="75" spans="2:9" x14ac:dyDescent="0.3">
      <c r="B75" s="32" t="s">
        <v>127</v>
      </c>
      <c r="C75" s="74" t="e">
        <f>+C36-'2023 Nto driftsutg landet'!$C13</f>
        <v>#N/A</v>
      </c>
    </row>
    <row r="76" spans="2:9" x14ac:dyDescent="0.3">
      <c r="B76" s="32" t="s">
        <v>27</v>
      </c>
      <c r="C76" s="74" t="e">
        <f>+C37-'2023 Nto driftsutg landet'!$C14</f>
        <v>#N/A</v>
      </c>
    </row>
    <row r="77" spans="2:9" x14ac:dyDescent="0.3">
      <c r="B77" s="32" t="s">
        <v>24</v>
      </c>
      <c r="C77" s="74" t="e">
        <f>+C38-'2023 Nto driftsutg landet'!$C15</f>
        <v>#N/A</v>
      </c>
    </row>
    <row r="78" spans="2:9" x14ac:dyDescent="0.3">
      <c r="B78" s="33" t="s">
        <v>25</v>
      </c>
      <c r="C78" s="75" t="e">
        <f>+C39-'2023 Nto driftsutg landet'!$C16</f>
        <v>#N/A</v>
      </c>
    </row>
    <row r="80" spans="2:9" x14ac:dyDescent="0.3">
      <c r="E80" s="5"/>
    </row>
  </sheetData>
  <sheetProtection algorithmName="SHA-512" hashValue="LH3XG9l9wqp63UJSYVnIY6FG1BFoLkCY8aP3ke1fzgqaq0hQ9wm2rzToIlqVSurHm7SnU0QL3Oj7x59fPWjMsA==" saltValue="jp1uAe2/9wcvfO0th5ixdw==" spinCount="100000" sheet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4"/>
  <dimension ref="A2:AW22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RowHeight="14.4" x14ac:dyDescent="0.3"/>
  <cols>
    <col min="1" max="1" width="9.88671875" customWidth="1"/>
    <col min="2" max="2" width="18.5546875" customWidth="1"/>
    <col min="3" max="3" width="14.5546875" customWidth="1"/>
    <col min="4" max="4" width="4" customWidth="1"/>
    <col min="5" max="9" width="13.109375" customWidth="1"/>
    <col min="10" max="10" width="14.5546875" customWidth="1"/>
    <col min="11" max="11" width="3.5546875" customWidth="1"/>
    <col min="17" max="17" width="14.5546875" customWidth="1"/>
    <col min="26" max="26" width="14.5546875" customWidth="1"/>
    <col min="27" max="27" width="4.88671875" customWidth="1"/>
    <col min="33" max="33" width="14.5546875" customWidth="1"/>
    <col min="42" max="42" width="14.5546875" customWidth="1"/>
    <col min="43" max="43" width="5.44140625" customWidth="1"/>
    <col min="44" max="44" width="14.5546875" customWidth="1"/>
    <col min="45" max="45" width="6" customWidth="1"/>
    <col min="46" max="46" width="14.5546875" customWidth="1"/>
    <col min="47" max="47" width="6" customWidth="1"/>
    <col min="48" max="48" width="14.5546875" customWidth="1"/>
    <col min="49" max="49" width="16.44140625" customWidth="1"/>
  </cols>
  <sheetData>
    <row r="2" spans="1:49" ht="104.25" customHeight="1" x14ac:dyDescent="0.3">
      <c r="A2" s="24" t="s">
        <v>2</v>
      </c>
      <c r="B2" s="24" t="s">
        <v>1</v>
      </c>
      <c r="C2" s="13" t="s">
        <v>17</v>
      </c>
      <c r="D2" s="24"/>
      <c r="E2" s="24" t="s">
        <v>179</v>
      </c>
      <c r="F2" s="24" t="s">
        <v>180</v>
      </c>
      <c r="G2" s="24" t="s">
        <v>391</v>
      </c>
      <c r="H2" s="24" t="s">
        <v>390</v>
      </c>
      <c r="I2" s="24" t="s">
        <v>181</v>
      </c>
      <c r="J2" s="13" t="s">
        <v>90</v>
      </c>
      <c r="K2" s="24"/>
      <c r="L2" s="24" t="s">
        <v>182</v>
      </c>
      <c r="M2" s="24" t="s">
        <v>183</v>
      </c>
      <c r="N2" s="24" t="s">
        <v>392</v>
      </c>
      <c r="O2" s="24" t="s">
        <v>395</v>
      </c>
      <c r="P2" s="24" t="s">
        <v>184</v>
      </c>
      <c r="Q2" s="47" t="s">
        <v>83</v>
      </c>
      <c r="R2" s="24" t="s">
        <v>85</v>
      </c>
      <c r="S2" s="24" t="s">
        <v>185</v>
      </c>
      <c r="T2" s="24" t="s">
        <v>186</v>
      </c>
      <c r="U2" s="24" t="s">
        <v>86</v>
      </c>
      <c r="V2" s="24" t="s">
        <v>187</v>
      </c>
      <c r="W2" s="24" t="s">
        <v>87</v>
      </c>
      <c r="X2" s="24" t="s">
        <v>88</v>
      </c>
      <c r="Y2" s="24"/>
      <c r="Z2" s="13" t="s">
        <v>91</v>
      </c>
      <c r="AA2" s="24"/>
      <c r="AB2" s="24" t="s">
        <v>188</v>
      </c>
      <c r="AC2" s="24" t="s">
        <v>189</v>
      </c>
      <c r="AD2" s="24" t="s">
        <v>393</v>
      </c>
      <c r="AE2" s="24" t="s">
        <v>394</v>
      </c>
      <c r="AF2" s="24" t="s">
        <v>190</v>
      </c>
      <c r="AG2" s="47" t="s">
        <v>100</v>
      </c>
      <c r="AH2" s="24"/>
      <c r="AI2" s="24" t="s">
        <v>191</v>
      </c>
      <c r="AJ2" s="24" t="s">
        <v>192</v>
      </c>
      <c r="AK2" s="24" t="s">
        <v>101</v>
      </c>
      <c r="AL2" s="24" t="s">
        <v>193</v>
      </c>
      <c r="AM2" s="24" t="s">
        <v>102</v>
      </c>
      <c r="AN2" s="24" t="s">
        <v>103</v>
      </c>
      <c r="AO2" s="24"/>
      <c r="AP2" s="13" t="s">
        <v>104</v>
      </c>
      <c r="AQ2" s="52"/>
      <c r="AR2" s="13" t="s">
        <v>121</v>
      </c>
      <c r="AS2" s="52"/>
      <c r="AT2" s="13"/>
      <c r="AU2" s="52"/>
      <c r="AV2" s="13" t="s">
        <v>105</v>
      </c>
    </row>
    <row r="3" spans="1:49" x14ac:dyDescent="0.3">
      <c r="A3" s="107">
        <v>1</v>
      </c>
      <c r="B3" s="107">
        <f>+A3+1</f>
        <v>2</v>
      </c>
      <c r="C3" s="12">
        <f>+B3+1</f>
        <v>3</v>
      </c>
      <c r="D3" s="107">
        <f t="shared" ref="D3:AV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2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48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2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  <c r="AE3" s="107">
        <f t="shared" si="0"/>
        <v>31</v>
      </c>
      <c r="AF3" s="107">
        <f t="shared" si="0"/>
        <v>32</v>
      </c>
      <c r="AG3" s="48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7">
        <f t="shared" si="0"/>
        <v>39</v>
      </c>
      <c r="AN3" s="107">
        <f t="shared" si="0"/>
        <v>40</v>
      </c>
      <c r="AO3" s="107">
        <f t="shared" si="0"/>
        <v>41</v>
      </c>
      <c r="AP3" s="12">
        <f t="shared" si="0"/>
        <v>42</v>
      </c>
      <c r="AQ3" s="53">
        <f t="shared" si="0"/>
        <v>43</v>
      </c>
      <c r="AR3" s="12">
        <f t="shared" si="0"/>
        <v>44</v>
      </c>
      <c r="AS3" s="53">
        <f t="shared" si="0"/>
        <v>45</v>
      </c>
      <c r="AT3" s="12">
        <f t="shared" si="0"/>
        <v>46</v>
      </c>
      <c r="AU3" s="53">
        <f t="shared" si="0"/>
        <v>47</v>
      </c>
      <c r="AV3" s="12">
        <f t="shared" si="0"/>
        <v>48</v>
      </c>
    </row>
    <row r="4" spans="1:49" x14ac:dyDescent="0.3">
      <c r="C4" s="21"/>
      <c r="J4" s="21"/>
      <c r="Q4" s="49"/>
      <c r="Z4" s="21"/>
      <c r="AG4" s="49"/>
      <c r="AP4" s="21"/>
      <c r="AR4" s="21"/>
      <c r="AT4" s="21"/>
      <c r="AV4" s="21"/>
    </row>
    <row r="5" spans="1:49" x14ac:dyDescent="0.3">
      <c r="A5" s="43">
        <v>300</v>
      </c>
      <c r="B5" s="44" t="s">
        <v>0</v>
      </c>
      <c r="C5" s="11">
        <f>+'2023 Grunnlag korreksjoner'!C5*1000/'2023 Nto driftsutg'!W5</f>
        <v>-98.90262817227547</v>
      </c>
      <c r="D5" s="1"/>
      <c r="E5" s="1">
        <f>+'2023 Nto driftsutg landet'!$C$5*'2023 Revekting utgiftsbehov'!Z5-'2023 Nto driftsutg landet'!$C$5</f>
        <v>-2047.7910069498612</v>
      </c>
      <c r="F5" s="1">
        <f>+'2023 Nto driftsutg landet'!$C$6*'2023 Revekting utgiftsbehov'!AA5-'2023 Nto driftsutg landet'!$C$6</f>
        <v>-1580.6928667436378</v>
      </c>
      <c r="G5" s="1">
        <f>+'2023 Nto driftsutg landet'!$C$7*'2023 Revekting utgiftsbehov'!AB5-'2023 Nto driftsutg landet'!$C$7</f>
        <v>1494.1685001508481</v>
      </c>
      <c r="H5" s="1">
        <f>+'2023 Nto driftsutg landet'!$C$8*'2023 Revekting utgiftsbehov'!AC5-'2023 Nto driftsutg landet'!$C$8</f>
        <v>-753.05201833278443</v>
      </c>
      <c r="I5" s="1">
        <f>+'2023 Nto driftsutg landet'!$C$9*'2023 Revekting utgiftsbehov'!AD5-'2023 Nto driftsutg landet'!$C$9</f>
        <v>-119.11600010889595</v>
      </c>
      <c r="J5" s="11">
        <f t="shared" ref="J5:J15" si="1">SUM(E5:I5)</f>
        <v>-3006.4833919843313</v>
      </c>
      <c r="L5" s="1">
        <f>'2023 Korr med revekting arbavg'!I5</f>
        <v>34.829081665940826</v>
      </c>
      <c r="M5" s="1">
        <f>'2023 Korr med revekting arbavg'!P5</f>
        <v>-2.8606765424281901</v>
      </c>
      <c r="N5" s="1">
        <f>'2023 Korr med revekting arbavg'!W5</f>
        <v>0.61720906323744273</v>
      </c>
      <c r="O5" s="1">
        <f>'2023 Korr med revekting arbavg'!AD5</f>
        <v>0</v>
      </c>
      <c r="P5" s="1">
        <f>'2023 Korr med revekting arbavg'!AK5</f>
        <v>0.25294181961620188</v>
      </c>
      <c r="Q5" s="50">
        <f t="shared" ref="Q5:Q17" si="2">SUM(R5:Y5)</f>
        <v>28.070086118135976</v>
      </c>
      <c r="R5" s="1"/>
      <c r="S5" s="1">
        <f>'2023 Korr med revekting arbavg'!AR5</f>
        <v>28.184309082474932</v>
      </c>
      <c r="T5" s="1">
        <f>'2023 Korr med revekting arbavg'!AY5</f>
        <v>0</v>
      </c>
      <c r="U5" s="1">
        <f>'2023 Korr med revekting arbavg'!BF5</f>
        <v>0</v>
      </c>
      <c r="V5" s="1">
        <f>'2023 Korr med revekting arbavg'!BM5</f>
        <v>-0.11422296433895783</v>
      </c>
      <c r="W5" s="1">
        <f>'2023 Korr med revekting arbavg'!BT5</f>
        <v>0</v>
      </c>
      <c r="X5" s="1">
        <f>'2023 Korr med revekting arbavg'!CA5</f>
        <v>0</v>
      </c>
      <c r="Y5" s="1"/>
      <c r="Z5" s="11">
        <f>SUM(L5:P5)+Q5</f>
        <v>60.908642124502258</v>
      </c>
      <c r="AB5" s="1">
        <f>+'2023 Korr med revekting pensjon'!I5</f>
        <v>8.3786563781276069</v>
      </c>
      <c r="AC5" s="1">
        <f>+'2023 Korr med revekting pensjon'!P5</f>
        <v>-7.9042854440117907</v>
      </c>
      <c r="AD5" s="1">
        <f>+'2023 Korr med revekting pensjon'!W5</f>
        <v>1.1333786043811436</v>
      </c>
      <c r="AE5" s="1">
        <f>+'2023 Korr med revekting pensjon'!AD5</f>
        <v>0</v>
      </c>
      <c r="AF5" s="1">
        <f>+'2023 Korr med revekting pensjon'!AK5</f>
        <v>49.76978040405335</v>
      </c>
      <c r="AG5" s="50">
        <f t="shared" ref="AG5:AG15" si="3">SUM(AH5:AO5)</f>
        <v>44.823792701200041</v>
      </c>
      <c r="AH5" s="1"/>
      <c r="AI5" s="1">
        <f>+'2023 Korr med revekting pensjon'!AR5</f>
        <v>39.736260644737733</v>
      </c>
      <c r="AJ5" s="1">
        <f>+'2023 Korr med revekting pensjon'!AY5</f>
        <v>0</v>
      </c>
      <c r="AK5" s="1">
        <f>+'2023 Korr med revekting pensjon'!BF5</f>
        <v>0</v>
      </c>
      <c r="AL5" s="1">
        <f>+'2023 Korr med revekting pensjon'!BM5</f>
        <v>5.0875320564623108</v>
      </c>
      <c r="AM5" s="1">
        <f>+'2023 Korr med revekting pensjon'!BT5</f>
        <v>0</v>
      </c>
      <c r="AN5" s="1">
        <f>+'2023 Korr med revekting pensjon'!CA5</f>
        <v>0</v>
      </c>
      <c r="AO5" s="1"/>
      <c r="AP5" s="11">
        <f>SUM(AB5:AF5)+AG5</f>
        <v>96.201322643750359</v>
      </c>
      <c r="AQ5" s="1"/>
      <c r="AR5" s="11">
        <f>+'2023 Korr med revekt premieavv'!J5</f>
        <v>-662.89771612027437</v>
      </c>
      <c r="AT5" s="11"/>
      <c r="AV5" s="11">
        <f>+C5+J5+Z5+AP5+AR5+AT5</f>
        <v>-3611.1737715086283</v>
      </c>
      <c r="AW5" s="1">
        <f>+AV5*'2023 Nto driftsutg'!W5</f>
        <v>-2570859609.0648794</v>
      </c>
    </row>
    <row r="6" spans="1:49" x14ac:dyDescent="0.3">
      <c r="A6" s="43">
        <v>1100</v>
      </c>
      <c r="B6" s="44" t="s">
        <v>141</v>
      </c>
      <c r="C6" s="11">
        <f>+'2023 Grunnlag korreksjoner'!C6*1000/'2023 Nto driftsutg'!W6</f>
        <v>-107.97925674108305</v>
      </c>
      <c r="D6" s="1"/>
      <c r="E6" s="1">
        <f>+'2023 Nto driftsutg landet'!$C$5*'2023 Revekting utgiftsbehov'!Z6-'2023 Nto driftsutg landet'!$C$5</f>
        <v>548.17830390375912</v>
      </c>
      <c r="F6" s="1">
        <f>+'2023 Nto driftsutg landet'!$C$6*'2023 Revekting utgiftsbehov'!AA6-'2023 Nto driftsutg landet'!$C$6</f>
        <v>-403.75726052377581</v>
      </c>
      <c r="G6" s="1">
        <f>+'2023 Nto driftsutg landet'!$C$7*'2023 Revekting utgiftsbehov'!AB6-'2023 Nto driftsutg landet'!$C$7</f>
        <v>-168.03306530729378</v>
      </c>
      <c r="H6" s="1">
        <f>+'2023 Nto driftsutg landet'!$C$8*'2023 Revekting utgiftsbehov'!AC6-'2023 Nto driftsutg landet'!$C$8</f>
        <v>-264.54456326376288</v>
      </c>
      <c r="I6" s="1">
        <f>+'2023 Nto driftsutg landet'!$C$9*'2023 Revekting utgiftsbehov'!AD6-'2023 Nto driftsutg landet'!$C$9</f>
        <v>10.774530271298772</v>
      </c>
      <c r="J6" s="11">
        <f t="shared" si="1"/>
        <v>-277.38205491977459</v>
      </c>
      <c r="L6" s="1">
        <f>'2023 Korr med revekting arbavg'!I6</f>
        <v>52.689119234458268</v>
      </c>
      <c r="M6" s="1">
        <f>'2023 Korr med revekting arbavg'!P6</f>
        <v>-11.018448621775503</v>
      </c>
      <c r="N6" s="1">
        <f>'2023 Korr med revekting arbavg'!W6</f>
        <v>0.56405314290042552</v>
      </c>
      <c r="O6" s="1">
        <f>'2023 Korr med revekting arbavg'!AD6</f>
        <v>0.10227557336517784</v>
      </c>
      <c r="P6" s="1">
        <f>'2023 Korr med revekting arbavg'!AK6</f>
        <v>6.5374661882425418</v>
      </c>
      <c r="Q6" s="50">
        <f t="shared" si="2"/>
        <v>12.68006502964379</v>
      </c>
      <c r="R6" s="1"/>
      <c r="S6" s="1">
        <f>'2023 Korr med revekting arbavg'!AR6</f>
        <v>11.583225473680683</v>
      </c>
      <c r="T6" s="1">
        <f>'2023 Korr med revekting arbavg'!AY6</f>
        <v>0.6957404141877348</v>
      </c>
      <c r="U6" s="1">
        <f>'2023 Korr med revekting arbavg'!BF6</f>
        <v>-4.2099226666867898E-2</v>
      </c>
      <c r="V6" s="1">
        <f>'2023 Korr med revekting arbavg'!BM6</f>
        <v>0.46724922922931622</v>
      </c>
      <c r="W6" s="1">
        <f>'2023 Korr med revekting arbavg'!BT6</f>
        <v>0</v>
      </c>
      <c r="X6" s="1">
        <f>'2023 Korr med revekting arbavg'!CA6</f>
        <v>-2.4050860787075811E-2</v>
      </c>
      <c r="Y6" s="1"/>
      <c r="Z6" s="11">
        <f t="shared" ref="Z6:Z15" si="4">SUM(L6:P6)+Q6</f>
        <v>61.554530546834698</v>
      </c>
      <c r="AB6" s="1">
        <f>+'2023 Korr med revekting pensjon'!I6</f>
        <v>50.526811254242766</v>
      </c>
      <c r="AC6" s="1">
        <f>+'2023 Korr med revekting pensjon'!P6</f>
        <v>-20.412780125731203</v>
      </c>
      <c r="AD6" s="1">
        <f>+'2023 Korr med revekting pensjon'!W6</f>
        <v>1.72326016474491</v>
      </c>
      <c r="AE6" s="1">
        <f>+'2023 Korr med revekting pensjon'!AD6</f>
        <v>-0.12591244793790901</v>
      </c>
      <c r="AF6" s="1">
        <f>+'2023 Korr med revekting pensjon'!AK6</f>
        <v>4.4242585693644862</v>
      </c>
      <c r="AG6" s="50">
        <f t="shared" si="3"/>
        <v>-77.080124044460007</v>
      </c>
      <c r="AH6" s="1"/>
      <c r="AI6" s="1">
        <f>+'2023 Korr med revekting pensjon'!AR6</f>
        <v>-84.520544647134003</v>
      </c>
      <c r="AJ6" s="1">
        <f>+'2023 Korr med revekting pensjon'!AY6</f>
        <v>6.0871497449255285</v>
      </c>
      <c r="AK6" s="1">
        <f>+'2023 Korr med revekting pensjon'!BF6</f>
        <v>-0.24927915563131853</v>
      </c>
      <c r="AL6" s="1">
        <f>+'2023 Korr med revekting pensjon'!BM6</f>
        <v>1.7791028288735455</v>
      </c>
      <c r="AM6" s="1">
        <f>+'2023 Korr med revekting pensjon'!BT6</f>
        <v>0</v>
      </c>
      <c r="AN6" s="1">
        <f>+'2023 Korr med revekting pensjon'!CA6</f>
        <v>-0.17655281549377005</v>
      </c>
      <c r="AO6" s="1"/>
      <c r="AP6" s="11">
        <f t="shared" ref="AP6:AP15" si="5">SUM(AB6:AF6)+AG6</f>
        <v>-40.944486629776961</v>
      </c>
      <c r="AQ6" s="1"/>
      <c r="AR6" s="11">
        <f>+'2023 Korr med revekt premieavv'!J6</f>
        <v>59.51463619505445</v>
      </c>
      <c r="AT6" s="11"/>
      <c r="AV6" s="11">
        <f t="shared" ref="AV6:AV15" si="6">+C6+J6+Z6+AP6+AR6+AT6</f>
        <v>-305.23663154874544</v>
      </c>
      <c r="AW6" s="1">
        <f>+AV6*'2023 Nto driftsutg'!W6</f>
        <v>-151258486.58082306</v>
      </c>
    </row>
    <row r="7" spans="1:49" x14ac:dyDescent="0.3">
      <c r="A7" s="43">
        <v>1500</v>
      </c>
      <c r="B7" s="44" t="s">
        <v>142</v>
      </c>
      <c r="C7" s="11">
        <f>+'2023 Grunnlag korreksjoner'!C7*1000/'2023 Nto driftsutg'!W7</f>
        <v>269.4312349449778</v>
      </c>
      <c r="D7" s="1"/>
      <c r="E7" s="1">
        <f>+'2023 Nto driftsutg landet'!$C$5*'2023 Revekting utgiftsbehov'!Z7-'2023 Nto driftsutg landet'!$C$5</f>
        <v>699.90077430265774</v>
      </c>
      <c r="F7" s="1">
        <f>+'2023 Nto driftsutg landet'!$C$6*'2023 Revekting utgiftsbehov'!AA7-'2023 Nto driftsutg landet'!$C$6</f>
        <v>1117.4516786980387</v>
      </c>
      <c r="G7" s="1">
        <f>+'2023 Nto driftsutg landet'!$C$7*'2023 Revekting utgiftsbehov'!AB7-'2023 Nto driftsutg landet'!$C$7</f>
        <v>212.73862419139687</v>
      </c>
      <c r="H7" s="1">
        <f>+'2023 Nto driftsutg landet'!$C$8*'2023 Revekting utgiftsbehov'!AC7-'2023 Nto driftsutg landet'!$C$8</f>
        <v>1996.2416019009106</v>
      </c>
      <c r="I7" s="1">
        <f>+'2023 Nto driftsutg landet'!$C$9*'2023 Revekting utgiftsbehov'!AD7-'2023 Nto driftsutg landet'!$C$9</f>
        <v>50.010441460031416</v>
      </c>
      <c r="J7" s="11">
        <f t="shared" si="1"/>
        <v>4076.3431205530355</v>
      </c>
      <c r="L7" s="1">
        <f>'2023 Korr med revekting arbavg'!I7</f>
        <v>29.037787602752616</v>
      </c>
      <c r="M7" s="1">
        <f>'2023 Korr med revekting arbavg'!P7</f>
        <v>22.475663147571794</v>
      </c>
      <c r="N7" s="1">
        <f>'2023 Korr med revekting arbavg'!W7</f>
        <v>1.3165300613334343</v>
      </c>
      <c r="O7" s="1">
        <f>'2023 Korr med revekting arbavg'!AD7</f>
        <v>0.65613843754207424</v>
      </c>
      <c r="P7" s="1">
        <f>'2023 Korr med revekting arbavg'!AK7</f>
        <v>0.36177955859631394</v>
      </c>
      <c r="Q7" s="50">
        <f t="shared" si="2"/>
        <v>10.718366117396371</v>
      </c>
      <c r="R7" s="1"/>
      <c r="S7" s="1">
        <f>'2023 Korr med revekting arbavg'!AR7</f>
        <v>10.260260668387842</v>
      </c>
      <c r="T7" s="1">
        <f>'2023 Korr med revekting arbavg'!AY7</f>
        <v>0.29037998284880912</v>
      </c>
      <c r="U7" s="1">
        <f>'2023 Korr med revekting arbavg'!BF7</f>
        <v>-2.0626545718036581E-2</v>
      </c>
      <c r="V7" s="1">
        <f>'2023 Korr med revekting arbavg'!BM7</f>
        <v>0.18835201187775788</v>
      </c>
      <c r="W7" s="1">
        <f>'2023 Korr med revekting arbavg'!BT7</f>
        <v>0</v>
      </c>
      <c r="X7" s="1">
        <f>'2023 Korr med revekting arbavg'!CA7</f>
        <v>0</v>
      </c>
      <c r="Y7" s="1"/>
      <c r="Z7" s="11">
        <f t="shared" si="4"/>
        <v>64.566264925192598</v>
      </c>
      <c r="AB7" s="1">
        <f>+'2023 Korr med revekting pensjon'!I7</f>
        <v>97.354293033143392</v>
      </c>
      <c r="AC7" s="1">
        <f>+'2023 Korr med revekting pensjon'!P7</f>
        <v>56.852378277667995</v>
      </c>
      <c r="AD7" s="1">
        <f>+'2023 Korr med revekting pensjon'!W7</f>
        <v>3.7422291273086201</v>
      </c>
      <c r="AE7" s="1">
        <f>+'2023 Korr med revekting pensjon'!AD7</f>
        <v>0.3097759291328393</v>
      </c>
      <c r="AF7" s="1">
        <f>+'2023 Korr med revekting pensjon'!AK7</f>
        <v>16.856506542334284</v>
      </c>
      <c r="AG7" s="50">
        <f t="shared" si="3"/>
        <v>-73.20916038635383</v>
      </c>
      <c r="AH7" s="1"/>
      <c r="AI7" s="1">
        <f>+'2023 Korr med revekting pensjon'!AR7</f>
        <v>-77.368684048112044</v>
      </c>
      <c r="AJ7" s="1">
        <f>+'2023 Korr med revekting pensjon'!AY7</f>
        <v>1.9776596870666976</v>
      </c>
      <c r="AK7" s="1">
        <f>+'2023 Korr med revekting pensjon'!BF7</f>
        <v>-0.2307258830720845</v>
      </c>
      <c r="AL7" s="1">
        <f>+'2023 Korr med revekting pensjon'!BM7</f>
        <v>2.4125898577636113</v>
      </c>
      <c r="AM7" s="1">
        <f>+'2023 Korr med revekting pensjon'!BT7</f>
        <v>0</v>
      </c>
      <c r="AN7" s="1">
        <f>+'2023 Korr med revekting pensjon'!CA7</f>
        <v>0</v>
      </c>
      <c r="AO7" s="1"/>
      <c r="AP7" s="11">
        <f t="shared" si="5"/>
        <v>101.90602252323328</v>
      </c>
      <c r="AQ7" s="1"/>
      <c r="AR7" s="11">
        <f>+'2023 Korr med revekt premieavv'!J7</f>
        <v>-35.175481583448402</v>
      </c>
      <c r="AT7" s="11"/>
      <c r="AV7" s="11">
        <f t="shared" si="6"/>
        <v>4477.071161362991</v>
      </c>
      <c r="AW7" s="1">
        <f>+AV7*'2023 Nto driftsutg'!W7</f>
        <v>1205066382.0771081</v>
      </c>
    </row>
    <row r="8" spans="1:49" x14ac:dyDescent="0.3">
      <c r="A8" s="43">
        <v>1800</v>
      </c>
      <c r="B8" s="44" t="s">
        <v>143</v>
      </c>
      <c r="C8" s="11">
        <f>+'2023 Grunnlag korreksjoner'!C8*1000/'2023 Nto driftsutg'!W8</f>
        <v>426.23145482521909</v>
      </c>
      <c r="D8" s="1"/>
      <c r="E8" s="1">
        <f>+'2023 Nto driftsutg landet'!$C$5*'2023 Revekting utgiftsbehov'!Z8-'2023 Nto driftsutg landet'!$C$5</f>
        <v>603.7044993481959</v>
      </c>
      <c r="F8" s="1">
        <f>+'2023 Nto driftsutg landet'!$C$6*'2023 Revekting utgiftsbehov'!AA8-'2023 Nto driftsutg landet'!$C$6</f>
        <v>1888.2527170920487</v>
      </c>
      <c r="G8" s="1">
        <f>+'2023 Nto driftsutg landet'!$C$7*'2023 Revekting utgiftsbehov'!AB8-'2023 Nto driftsutg landet'!$C$7</f>
        <v>1036.502346343706</v>
      </c>
      <c r="H8" s="1">
        <f>+'2023 Nto driftsutg landet'!$C$8*'2023 Revekting utgiftsbehov'!AC8-'2023 Nto driftsutg landet'!$C$8</f>
        <v>3204.1437202197963</v>
      </c>
      <c r="I8" s="1">
        <f>+'2023 Nto driftsutg landet'!$C$9*'2023 Revekting utgiftsbehov'!AD8-'2023 Nto driftsutg landet'!$C$9</f>
        <v>99.763480321881843</v>
      </c>
      <c r="J8" s="11">
        <f t="shared" si="1"/>
        <v>6832.3667633256282</v>
      </c>
      <c r="L8" s="1">
        <f>'2023 Korr med revekting arbavg'!I8</f>
        <v>-340.12405256722741</v>
      </c>
      <c r="M8" s="1">
        <f>'2023 Korr med revekting arbavg'!P8</f>
        <v>-42.621253064532283</v>
      </c>
      <c r="N8" s="1">
        <f>'2023 Korr med revekting arbavg'!W8</f>
        <v>-4.0658577305602766</v>
      </c>
      <c r="O8" s="1">
        <f>'2023 Korr med revekting arbavg'!AD8</f>
        <v>-0.5713581752945085</v>
      </c>
      <c r="P8" s="1">
        <f>'2023 Korr med revekting arbavg'!AK8</f>
        <v>-31.694480285384508</v>
      </c>
      <c r="Q8" s="50">
        <f t="shared" si="2"/>
        <v>-30.530735807525904</v>
      </c>
      <c r="R8" s="1"/>
      <c r="S8" s="1">
        <f>'2023 Korr med revekting arbavg'!AR8</f>
        <v>-24.319676607356044</v>
      </c>
      <c r="T8" s="1">
        <f>'2023 Korr med revekting arbavg'!AY8</f>
        <v>-4.0257977065586736</v>
      </c>
      <c r="U8" s="1">
        <f>'2023 Korr med revekting arbavg'!BF8</f>
        <v>0.29863097439263747</v>
      </c>
      <c r="V8" s="1">
        <f>'2023 Korr med revekting arbavg'!BM8</f>
        <v>-2.4838924680038228</v>
      </c>
      <c r="W8" s="1">
        <f>'2023 Korr med revekting arbavg'!BT8</f>
        <v>0</v>
      </c>
      <c r="X8" s="1">
        <f>'2023 Korr med revekting arbavg'!CA8</f>
        <v>0</v>
      </c>
      <c r="Y8" s="1"/>
      <c r="Z8" s="11">
        <f t="shared" si="4"/>
        <v>-449.60773763052487</v>
      </c>
      <c r="AB8" s="1">
        <f>+'2023 Korr med revekting pensjon'!I8</f>
        <v>89.58451876783657</v>
      </c>
      <c r="AC8" s="1">
        <f>+'2023 Korr med revekting pensjon'!P8</f>
        <v>28.523490297794115</v>
      </c>
      <c r="AD8" s="1">
        <f>+'2023 Korr med revekting pensjon'!W8</f>
        <v>5.5613983544938881</v>
      </c>
      <c r="AE8" s="1">
        <f>+'2023 Korr med revekting pensjon'!AD8</f>
        <v>1.2352058798105245</v>
      </c>
      <c r="AF8" s="1">
        <f>+'2023 Korr med revekting pensjon'!AK8</f>
        <v>29.149146004268228</v>
      </c>
      <c r="AG8" s="50">
        <f t="shared" si="3"/>
        <v>-54.191189572391551</v>
      </c>
      <c r="AH8" s="1"/>
      <c r="AI8" s="1">
        <f>+'2023 Korr med revekting pensjon'!AR8</f>
        <v>-58.303837213948974</v>
      </c>
      <c r="AJ8" s="1">
        <f>+'2023 Korr med revekting pensjon'!AY8</f>
        <v>1.5596248862874549</v>
      </c>
      <c r="AK8" s="1">
        <f>+'2023 Korr med revekting pensjon'!BF8</f>
        <v>-0.37988582930153503</v>
      </c>
      <c r="AL8" s="1">
        <f>+'2023 Korr med revekting pensjon'!BM8</f>
        <v>2.9329085845715102</v>
      </c>
      <c r="AM8" s="1">
        <f>+'2023 Korr med revekting pensjon'!BT8</f>
        <v>0</v>
      </c>
      <c r="AN8" s="1">
        <f>+'2023 Korr med revekting pensjon'!CA8</f>
        <v>0</v>
      </c>
      <c r="AO8" s="1"/>
      <c r="AP8" s="11">
        <f t="shared" si="5"/>
        <v>99.86256973181176</v>
      </c>
      <c r="AQ8" s="1"/>
      <c r="AR8" s="11">
        <f>+'2023 Korr med revekt premieavv'!J8</f>
        <v>3.2645082027318431</v>
      </c>
      <c r="AT8" s="11"/>
      <c r="AV8" s="11">
        <f t="shared" si="6"/>
        <v>6912.1175584548664</v>
      </c>
      <c r="AW8" s="1">
        <f>+AV8*'2023 Nto driftsutg'!W8</f>
        <v>1672455964.4437394</v>
      </c>
    </row>
    <row r="9" spans="1:49" x14ac:dyDescent="0.3">
      <c r="A9" s="43">
        <v>3000</v>
      </c>
      <c r="B9" s="44" t="s">
        <v>341</v>
      </c>
      <c r="C9" s="11">
        <f>+'2023 Grunnlag korreksjoner'!C9*1000/'2023 Nto driftsutg'!W9</f>
        <v>-145.08075168592168</v>
      </c>
      <c r="D9" s="1"/>
      <c r="E9" s="1">
        <f>+'2023 Nto driftsutg landet'!$C$5*'2023 Revekting utgiftsbehov'!Z9-'2023 Nto driftsutg landet'!$C$5</f>
        <v>77.469158277857787</v>
      </c>
      <c r="F9" s="1">
        <f>+'2023 Nto driftsutg landet'!$C$6*'2023 Revekting utgiftsbehov'!AA9-'2023 Nto driftsutg landet'!$C$6</f>
        <v>-792.42138328105329</v>
      </c>
      <c r="G9" s="1">
        <f>+'2023 Nto driftsutg landet'!$C$7*'2023 Revekting utgiftsbehov'!AB9-'2023 Nto driftsutg landet'!$C$7</f>
        <v>-1013.2688224897711</v>
      </c>
      <c r="H9" s="1">
        <f>+'2023 Nto driftsutg landet'!$C$8*'2023 Revekting utgiftsbehov'!AC9-'2023 Nto driftsutg landet'!$C$8</f>
        <v>-733.33725871579713</v>
      </c>
      <c r="I9" s="1">
        <f>+'2023 Nto driftsutg landet'!$C$9*'2023 Revekting utgiftsbehov'!AD9-'2023 Nto driftsutg landet'!$C$9</f>
        <v>-21.996568353007547</v>
      </c>
      <c r="J9" s="11">
        <f t="shared" si="1"/>
        <v>-2483.5548745617712</v>
      </c>
      <c r="L9" s="1">
        <f>'2023 Korr med revekting arbavg'!I9</f>
        <v>63.597928827574776</v>
      </c>
      <c r="M9" s="1">
        <f>'2023 Korr med revekting arbavg'!P9</f>
        <v>3.7596244112094768</v>
      </c>
      <c r="N9" s="1">
        <f>'2023 Korr med revekting arbavg'!W9</f>
        <v>0.15600710553995367</v>
      </c>
      <c r="O9" s="1">
        <f>'2023 Korr med revekting arbavg'!AD9</f>
        <v>0</v>
      </c>
      <c r="P9" s="1">
        <f>'2023 Korr med revekting arbavg'!AK9</f>
        <v>5.9889667847064798</v>
      </c>
      <c r="Q9" s="50">
        <f t="shared" si="2"/>
        <v>-30.896438251919925</v>
      </c>
      <c r="R9" s="1"/>
      <c r="S9" s="1">
        <f>'2023 Korr med revekting arbavg'!AR9</f>
        <v>-32.098074667801605</v>
      </c>
      <c r="T9" s="1">
        <f>'2023 Korr med revekting arbavg'!AY9</f>
        <v>0.77946454885653516</v>
      </c>
      <c r="U9" s="1">
        <f>'2023 Korr med revekting arbavg'!BF9</f>
        <v>-7.6876003036193144E-2</v>
      </c>
      <c r="V9" s="1">
        <f>'2023 Korr med revekting arbavg'!BM9</f>
        <v>0.50613257922647104</v>
      </c>
      <c r="W9" s="1">
        <f>'2023 Korr med revekting arbavg'!BT9</f>
        <v>4.187712986532117E-3</v>
      </c>
      <c r="X9" s="1">
        <f>'2023 Korr med revekting arbavg'!CA9</f>
        <v>-1.1272422151664085E-2</v>
      </c>
      <c r="Y9" s="1"/>
      <c r="Z9" s="11">
        <f t="shared" si="4"/>
        <v>42.606088877110757</v>
      </c>
      <c r="AB9" s="1">
        <f>+'2023 Korr med revekting pensjon'!I9</f>
        <v>-118.39275612815726</v>
      </c>
      <c r="AC9" s="1">
        <f>+'2023 Korr med revekting pensjon'!P9</f>
        <v>-19.476616035427313</v>
      </c>
      <c r="AD9" s="1">
        <f>+'2023 Korr med revekting pensjon'!W9</f>
        <v>-1.4135278658136174</v>
      </c>
      <c r="AE9" s="1">
        <f>+'2023 Korr med revekting pensjon'!AD9</f>
        <v>0</v>
      </c>
      <c r="AF9" s="1">
        <f>+'2023 Korr med revekting pensjon'!AK9</f>
        <v>-38.084656143150873</v>
      </c>
      <c r="AG9" s="50">
        <f t="shared" si="3"/>
        <v>199.6514097226069</v>
      </c>
      <c r="AH9" s="1"/>
      <c r="AI9" s="1">
        <f>+'2023 Korr med revekting pensjon'!AR9</f>
        <v>208.45004421729365</v>
      </c>
      <c r="AJ9" s="1">
        <f>+'2023 Korr med revekting pensjon'!AY9</f>
        <v>-6.1858344362803832</v>
      </c>
      <c r="AK9" s="1">
        <f>+'2023 Korr med revekting pensjon'!BF9</f>
        <v>0.38182369719301579</v>
      </c>
      <c r="AL9" s="1">
        <f>+'2023 Korr med revekting pensjon'!BM9</f>
        <v>-3.3102704643254355</v>
      </c>
      <c r="AM9" s="1">
        <f>+'2023 Korr med revekting pensjon'!BT9</f>
        <v>-5.4935444625606152E-3</v>
      </c>
      <c r="AN9" s="1">
        <f>+'2023 Korr med revekting pensjon'!CA9</f>
        <v>0.32114025318858991</v>
      </c>
      <c r="AO9" s="1"/>
      <c r="AP9" s="11">
        <f t="shared" si="5"/>
        <v>22.283853550057842</v>
      </c>
      <c r="AQ9" s="1"/>
      <c r="AR9" s="11">
        <f>+'2023 Korr med revekt premieavv'!J9</f>
        <v>97.031600270738252</v>
      </c>
      <c r="AT9" s="11"/>
      <c r="AV9" s="11">
        <f t="shared" si="6"/>
        <v>-2466.7140835497862</v>
      </c>
      <c r="AW9" s="1">
        <f>+AV9*'2023 Nto driftsutg'!W9</f>
        <v>-3206965113.1667428</v>
      </c>
    </row>
    <row r="10" spans="1:49" x14ac:dyDescent="0.3">
      <c r="A10" s="43">
        <v>3400</v>
      </c>
      <c r="B10" s="44" t="s">
        <v>342</v>
      </c>
      <c r="C10" s="11">
        <f>+'2023 Grunnlag korreksjoner'!C10*1000/'2023 Nto driftsutg'!W10</f>
        <v>195.92468174292091</v>
      </c>
      <c r="D10" s="1"/>
      <c r="E10" s="1">
        <f>+'2023 Nto driftsutg landet'!$C$5*'2023 Revekting utgiftsbehov'!Z10-'2023 Nto driftsutg landet'!$C$5</f>
        <v>44.142427589253202</v>
      </c>
      <c r="F10" s="1">
        <f>+'2023 Nto driftsutg landet'!$C$6*'2023 Revekting utgiftsbehov'!AA10-'2023 Nto driftsutg landet'!$C$6</f>
        <v>1041.464824429783</v>
      </c>
      <c r="G10" s="1">
        <f>+'2023 Nto driftsutg landet'!$C$7*'2023 Revekting utgiftsbehov'!AB10-'2023 Nto driftsutg landet'!$C$7</f>
        <v>-166.23918115611423</v>
      </c>
      <c r="H10" s="1">
        <f>+'2023 Nto driftsutg landet'!$C$8*'2023 Revekting utgiftsbehov'!AC10-'2023 Nto driftsutg landet'!$C$8</f>
        <v>-708.27326231486484</v>
      </c>
      <c r="I10" s="1">
        <f>+'2023 Nto driftsutg landet'!$C$9*'2023 Revekting utgiftsbehov'!AD10-'2023 Nto driftsutg landet'!$C$9</f>
        <v>13.447260882970568</v>
      </c>
      <c r="J10" s="11">
        <f t="shared" si="1"/>
        <v>224.5420694310277</v>
      </c>
      <c r="L10" s="1">
        <f>'2023 Korr med revekting arbavg'!I10</f>
        <v>-16.813868670400307</v>
      </c>
      <c r="M10" s="1">
        <f>'2023 Korr med revekting arbavg'!P10</f>
        <v>-25.593086029467319</v>
      </c>
      <c r="N10" s="1">
        <f>'2023 Korr med revekting arbavg'!W10</f>
        <v>0.43800969820412344</v>
      </c>
      <c r="O10" s="1">
        <f>'2023 Korr med revekting arbavg'!AD10</f>
        <v>1.0493639004220451E-2</v>
      </c>
      <c r="P10" s="1">
        <f>'2023 Korr med revekting arbavg'!AK10</f>
        <v>-1.3730170049344332</v>
      </c>
      <c r="Q10" s="50">
        <f t="shared" si="2"/>
        <v>11.897316143256504</v>
      </c>
      <c r="R10" s="1"/>
      <c r="S10" s="1">
        <f>'2023 Korr med revekting arbavg'!AR10</f>
        <v>10.892570826456817</v>
      </c>
      <c r="T10" s="1">
        <f>'2023 Korr med revekting arbavg'!AY10</f>
        <v>0.64625386875411794</v>
      </c>
      <c r="U10" s="1">
        <f>'2023 Korr med revekting arbavg'!BF10</f>
        <v>-3.8375251141337358E-2</v>
      </c>
      <c r="V10" s="1">
        <f>'2023 Korr med revekting arbavg'!BM10</f>
        <v>0.40671264588035722</v>
      </c>
      <c r="W10" s="1">
        <f>'2023 Korr med revekting arbavg'!BT10</f>
        <v>0</v>
      </c>
      <c r="X10" s="1">
        <f>'2023 Korr med revekting arbavg'!CA10</f>
        <v>-9.84594669345038E-3</v>
      </c>
      <c r="Y10" s="1"/>
      <c r="Z10" s="11">
        <f t="shared" si="4"/>
        <v>-31.434152224337211</v>
      </c>
      <c r="AB10" s="1">
        <f>+'2023 Korr med revekting pensjon'!I10</f>
        <v>65.751185180847145</v>
      </c>
      <c r="AC10" s="1">
        <f>+'2023 Korr med revekting pensjon'!P10</f>
        <v>-16.79057944026507</v>
      </c>
      <c r="AD10" s="1">
        <f>+'2023 Korr med revekting pensjon'!W10</f>
        <v>4.596012856329291</v>
      </c>
      <c r="AE10" s="1">
        <f>+'2023 Korr med revekting pensjon'!AD10</f>
        <v>-3.3912516165307958E-2</v>
      </c>
      <c r="AF10" s="1">
        <f>+'2023 Korr med revekting pensjon'!AK10</f>
        <v>26.983400987871757</v>
      </c>
      <c r="AG10" s="50">
        <f t="shared" si="3"/>
        <v>-69.038740376276323</v>
      </c>
      <c r="AH10" s="1"/>
      <c r="AI10" s="1">
        <f>+'2023 Korr med revekting pensjon'!AR10</f>
        <v>-76.065229736694334</v>
      </c>
      <c r="AJ10" s="1">
        <f>+'2023 Korr med revekting pensjon'!AY10</f>
        <v>12.002995166054514</v>
      </c>
      <c r="AK10" s="1">
        <f>+'2023 Korr med revekting pensjon'!BF10</f>
        <v>-0.46764720416679068</v>
      </c>
      <c r="AL10" s="1">
        <f>+'2023 Korr med revekting pensjon'!BM10</f>
        <v>-3.3691997621124012</v>
      </c>
      <c r="AM10" s="1">
        <f>+'2023 Korr med revekting pensjon'!BT10</f>
        <v>0</v>
      </c>
      <c r="AN10" s="1">
        <f>+'2023 Korr med revekting pensjon'!CA10</f>
        <v>-1.1396588393573055</v>
      </c>
      <c r="AO10" s="1"/>
      <c r="AP10" s="11">
        <f t="shared" si="5"/>
        <v>11.467366692341486</v>
      </c>
      <c r="AQ10" s="1"/>
      <c r="AR10" s="11">
        <f>+'2023 Korr med revekt premieavv'!J10</f>
        <v>-47.830979925122477</v>
      </c>
      <c r="AT10" s="11"/>
      <c r="AV10" s="11">
        <f t="shared" si="6"/>
        <v>352.66898571683043</v>
      </c>
      <c r="AW10" s="1">
        <f>+AV10*'2023 Nto driftsutg'!W10</f>
        <v>132118266.10518189</v>
      </c>
    </row>
    <row r="11" spans="1:49" x14ac:dyDescent="0.3">
      <c r="A11" s="43">
        <v>3800</v>
      </c>
      <c r="B11" s="44" t="s">
        <v>343</v>
      </c>
      <c r="C11" s="11">
        <f>+'2023 Grunnlag korreksjoner'!C11*1000/'2023 Nto driftsutg'!W11</f>
        <v>72.880798099688477</v>
      </c>
      <c r="D11" s="1"/>
      <c r="E11" s="1">
        <f>+'2023 Nto driftsutg landet'!$C$5*'2023 Revekting utgiftsbehov'!Z11-'2023 Nto driftsutg landet'!$C$5</f>
        <v>174.71843825916039</v>
      </c>
      <c r="F11" s="1">
        <f>+'2023 Nto driftsutg landet'!$C$6*'2023 Revekting utgiftsbehov'!AA11-'2023 Nto driftsutg landet'!$C$6</f>
        <v>-245.97813488700922</v>
      </c>
      <c r="G11" s="1">
        <f>+'2023 Nto driftsutg landet'!$C$7*'2023 Revekting utgiftsbehov'!AB11-'2023 Nto driftsutg landet'!$C$7</f>
        <v>-971.31732477872038</v>
      </c>
      <c r="H11" s="1">
        <f>+'2023 Nto driftsutg landet'!$C$8*'2023 Revekting utgiftsbehov'!AC11-'2023 Nto driftsutg landet'!$C$8</f>
        <v>-651.71055338357394</v>
      </c>
      <c r="I11" s="1">
        <f>+'2023 Nto driftsutg landet'!$C$9*'2023 Revekting utgiftsbehov'!AD11-'2023 Nto driftsutg landet'!$C$9</f>
        <v>-21.557654660937146</v>
      </c>
      <c r="J11" s="11">
        <f t="shared" si="1"/>
        <v>-1715.8452294510803</v>
      </c>
      <c r="L11" s="1">
        <f>'2023 Korr med revekting arbavg'!I11</f>
        <v>45.990493203645293</v>
      </c>
      <c r="M11" s="1">
        <f>'2023 Korr med revekting arbavg'!P11</f>
        <v>-11.93030743053427</v>
      </c>
      <c r="N11" s="1">
        <f>'2023 Korr med revekting arbavg'!W11</f>
        <v>0.33735873043542769</v>
      </c>
      <c r="O11" s="1">
        <f>'2023 Korr med revekting arbavg'!AD11</f>
        <v>0</v>
      </c>
      <c r="P11" s="1">
        <f>'2023 Korr med revekting arbavg'!AK11</f>
        <v>4.9604609080459108</v>
      </c>
      <c r="Q11" s="50">
        <f t="shared" si="2"/>
        <v>11.831284827289416</v>
      </c>
      <c r="R11" s="1"/>
      <c r="S11" s="1">
        <f>'2023 Korr med revekting arbavg'!AR11</f>
        <v>11.304375578778838</v>
      </c>
      <c r="T11" s="1">
        <f>'2023 Korr med revekting arbavg'!AY11</f>
        <v>0.30238480659768285</v>
      </c>
      <c r="U11" s="1">
        <f>'2023 Korr med revekting arbavg'!BF11</f>
        <v>-7.918865541797071E-2</v>
      </c>
      <c r="V11" s="1">
        <f>'2023 Korr med revekting arbavg'!BM11</f>
        <v>0.36742286476413166</v>
      </c>
      <c r="W11" s="1">
        <f>'2023 Korr med revekting arbavg'!BT11</f>
        <v>-1.2629067538241324E-2</v>
      </c>
      <c r="X11" s="1">
        <f>'2023 Korr med revekting arbavg'!CA11</f>
        <v>-5.1080699895024818E-2</v>
      </c>
      <c r="Y11" s="1"/>
      <c r="Z11" s="11">
        <f t="shared" si="4"/>
        <v>51.189290238881775</v>
      </c>
      <c r="AB11" s="1">
        <f>+'2023 Korr med revekting pensjon'!I11</f>
        <v>141.63951561792305</v>
      </c>
      <c r="AC11" s="1">
        <f>+'2023 Korr med revekting pensjon'!P11</f>
        <v>-18.555155908568153</v>
      </c>
      <c r="AD11" s="1">
        <f>+'2023 Korr med revekting pensjon'!W11</f>
        <v>1.2268866073978242</v>
      </c>
      <c r="AE11" s="1">
        <f>+'2023 Korr med revekting pensjon'!AD11</f>
        <v>0</v>
      </c>
      <c r="AF11" s="1">
        <f>+'2023 Korr med revekting pensjon'!AK11</f>
        <v>25.23791556691549</v>
      </c>
      <c r="AG11" s="50">
        <f t="shared" si="3"/>
        <v>-64.240512945758255</v>
      </c>
      <c r="AH11" s="1"/>
      <c r="AI11" s="1">
        <f>+'2023 Korr med revekting pensjon'!AR11</f>
        <v>-66.879644851552413</v>
      </c>
      <c r="AJ11" s="1">
        <f>+'2023 Korr med revekting pensjon'!AY11</f>
        <v>0.45342017608184182</v>
      </c>
      <c r="AK11" s="1">
        <f>+'2023 Korr med revekting pensjon'!BF11</f>
        <v>-0.36099768021348044</v>
      </c>
      <c r="AL11" s="1">
        <f>+'2023 Korr med revekting pensjon'!BM11</f>
        <v>2.425313326546068</v>
      </c>
      <c r="AM11" s="1">
        <f>+'2023 Korr med revekting pensjon'!BT11</f>
        <v>1.656712011189251E-2</v>
      </c>
      <c r="AN11" s="1">
        <f>+'2023 Korr med revekting pensjon'!CA11</f>
        <v>0.10482896326785165</v>
      </c>
      <c r="AO11" s="1"/>
      <c r="AP11" s="11">
        <f t="shared" si="5"/>
        <v>85.30864893790995</v>
      </c>
      <c r="AQ11" s="1"/>
      <c r="AR11" s="11">
        <f>+'2023 Korr med revekt premieavv'!J11</f>
        <v>-50.772822063059962</v>
      </c>
      <c r="AT11" s="11"/>
      <c r="AV11" s="11">
        <f t="shared" si="6"/>
        <v>-1557.23931423766</v>
      </c>
      <c r="AW11" s="1">
        <f>+AV11*'2023 Nto driftsutg'!W11</f>
        <v>-671330540.08579791</v>
      </c>
    </row>
    <row r="12" spans="1:49" x14ac:dyDescent="0.3">
      <c r="A12" s="43">
        <v>4200</v>
      </c>
      <c r="B12" s="44" t="s">
        <v>344</v>
      </c>
      <c r="C12" s="11">
        <f>+'2023 Grunnlag korreksjoner'!C12*1000/'2023 Nto driftsutg'!W12</f>
        <v>92.442255084014803</v>
      </c>
      <c r="D12" s="1"/>
      <c r="E12" s="1">
        <f>+'2023 Nto driftsutg landet'!$C$5*'2023 Revekting utgiftsbehov'!Z12-'2023 Nto driftsutg landet'!$C$5</f>
        <v>596.14328713390842</v>
      </c>
      <c r="F12" s="1">
        <f>+'2023 Nto driftsutg landet'!$C$6*'2023 Revekting utgiftsbehov'!AA12-'2023 Nto driftsutg landet'!$C$6</f>
        <v>445.11235298832094</v>
      </c>
      <c r="G12" s="1">
        <f>+'2023 Nto driftsutg landet'!$C$7*'2023 Revekting utgiftsbehov'!AB12-'2023 Nto driftsutg landet'!$C$7</f>
        <v>-642.60740415482996</v>
      </c>
      <c r="H12" s="1">
        <f>+'2023 Nto driftsutg landet'!$C$8*'2023 Revekting utgiftsbehov'!AC12-'2023 Nto driftsutg landet'!$C$8</f>
        <v>-652.98878679213999</v>
      </c>
      <c r="I12" s="1">
        <f>+'2023 Nto driftsutg landet'!$C$9*'2023 Revekting utgiftsbehov'!AD12-'2023 Nto driftsutg landet'!$C$9</f>
        <v>24.111329182908094</v>
      </c>
      <c r="J12" s="11">
        <f t="shared" si="1"/>
        <v>-230.22922164183251</v>
      </c>
      <c r="L12" s="1">
        <f>'2023 Korr med revekting arbavg'!I12</f>
        <v>52.024544370473087</v>
      </c>
      <c r="M12" s="1">
        <f>'2023 Korr med revekting arbavg'!P12</f>
        <v>-1.3561692599936066</v>
      </c>
      <c r="N12" s="1">
        <f>'2023 Korr med revekting arbavg'!W12</f>
        <v>0.9651029209221601</v>
      </c>
      <c r="O12" s="1">
        <f>'2023 Korr med revekting arbavg'!AD12</f>
        <v>2.1171670252327215E-2</v>
      </c>
      <c r="P12" s="1">
        <f>'2023 Korr med revekting arbavg'!AK12</f>
        <v>5.4613298137119735</v>
      </c>
      <c r="Q12" s="50">
        <f t="shared" si="2"/>
        <v>-0.58084869199796185</v>
      </c>
      <c r="R12" s="1"/>
      <c r="S12" s="1">
        <f>'2023 Korr med revekting arbavg'!AR12</f>
        <v>-1.7141195757075085</v>
      </c>
      <c r="T12" s="1">
        <f>'2023 Korr med revekting arbavg'!AY12</f>
        <v>0.72998108128851136</v>
      </c>
      <c r="U12" s="1">
        <f>'2023 Korr med revekting arbavg'!BF12</f>
        <v>-3.0479588926259953E-2</v>
      </c>
      <c r="V12" s="1">
        <f>'2023 Korr med revekting arbavg'!BM12</f>
        <v>0.44087552824775705</v>
      </c>
      <c r="W12" s="1">
        <f>'2023 Korr med revekting arbavg'!BT12</f>
        <v>0</v>
      </c>
      <c r="X12" s="1">
        <f>'2023 Korr med revekting arbavg'!CA12</f>
        <v>-7.1061369004616869E-3</v>
      </c>
      <c r="Y12" s="1"/>
      <c r="Z12" s="11">
        <f t="shared" si="4"/>
        <v>56.535130823367986</v>
      </c>
      <c r="AB12" s="1">
        <f>+'2023 Korr med revekting pensjon'!I12</f>
        <v>8.8084191559337501</v>
      </c>
      <c r="AC12" s="1">
        <f>+'2023 Korr med revekting pensjon'!P12</f>
        <v>-6.1284461151026193</v>
      </c>
      <c r="AD12" s="1">
        <f>+'2023 Korr med revekting pensjon'!W12</f>
        <v>-1.466075945026112</v>
      </c>
      <c r="AE12" s="1">
        <f>+'2023 Korr med revekting pensjon'!AD12</f>
        <v>-3.9862737489032407E-2</v>
      </c>
      <c r="AF12" s="1">
        <f>+'2023 Korr med revekting pensjon'!AK12</f>
        <v>8.5042824388110088</v>
      </c>
      <c r="AG12" s="50">
        <f t="shared" si="3"/>
        <v>5.7299395118890581</v>
      </c>
      <c r="AH12" s="1"/>
      <c r="AI12" s="1">
        <f>+'2023 Korr med revekting pensjon'!AR12</f>
        <v>6.0544998432027048</v>
      </c>
      <c r="AJ12" s="1">
        <f>+'2023 Korr med revekting pensjon'!AY12</f>
        <v>-0.75949299953872451</v>
      </c>
      <c r="AK12" s="1">
        <f>+'2023 Korr med revekting pensjon'!BF12</f>
        <v>-0.12643525889071003</v>
      </c>
      <c r="AL12" s="1">
        <f>+'2023 Korr med revekting pensjon'!BM12</f>
        <v>0.45601290004012374</v>
      </c>
      <c r="AM12" s="1">
        <f>+'2023 Korr med revekting pensjon'!BT12</f>
        <v>0</v>
      </c>
      <c r="AN12" s="1">
        <f>+'2023 Korr med revekting pensjon'!CA12</f>
        <v>0.10535502707566413</v>
      </c>
      <c r="AO12" s="1"/>
      <c r="AP12" s="11">
        <f t="shared" si="5"/>
        <v>15.408256309016053</v>
      </c>
      <c r="AQ12" s="1"/>
      <c r="AR12" s="11">
        <f>+'2023 Korr med revekt premieavv'!J12</f>
        <v>-95.574512216158084</v>
      </c>
      <c r="AT12" s="11"/>
      <c r="AV12" s="11">
        <f t="shared" si="6"/>
        <v>-161.41809164159179</v>
      </c>
      <c r="AW12" s="1">
        <f>+AV12*'2023 Nto driftsutg'!W12</f>
        <v>-51241204.683073461</v>
      </c>
    </row>
    <row r="13" spans="1:49" x14ac:dyDescent="0.3">
      <c r="A13" s="43">
        <v>4600</v>
      </c>
      <c r="B13" s="44" t="s">
        <v>345</v>
      </c>
      <c r="C13" s="11">
        <f>+'2023 Grunnlag korreksjoner'!C13*1000/'2023 Nto driftsutg'!W13</f>
        <v>-165.84764836776489</v>
      </c>
      <c r="D13" s="1"/>
      <c r="E13" s="1">
        <f>+'2023 Nto driftsutg landet'!$C$5*'2023 Revekting utgiftsbehov'!Z13-'2023 Nto driftsutg landet'!$C$5</f>
        <v>345.64913139261989</v>
      </c>
      <c r="F13" s="1">
        <f>+'2023 Nto driftsutg landet'!$C$6*'2023 Revekting utgiftsbehov'!AA13-'2023 Nto driftsutg landet'!$C$6</f>
        <v>602.65250097145986</v>
      </c>
      <c r="G13" s="1">
        <f>+'2023 Nto driftsutg landet'!$C$7*'2023 Revekting utgiftsbehov'!AB13-'2023 Nto driftsutg landet'!$C$7</f>
        <v>188.96869603785353</v>
      </c>
      <c r="H13" s="1">
        <f>+'2023 Nto driftsutg landet'!$C$8*'2023 Revekting utgiftsbehov'!AC13-'2023 Nto driftsutg landet'!$C$8</f>
        <v>979.37674228239598</v>
      </c>
      <c r="I13" s="1">
        <f>+'2023 Nto driftsutg landet'!$C$9*'2023 Revekting utgiftsbehov'!AD13-'2023 Nto driftsutg landet'!$C$9</f>
        <v>32.958071125905917</v>
      </c>
      <c r="J13" s="11">
        <f t="shared" si="1"/>
        <v>2149.6051418102352</v>
      </c>
      <c r="L13" s="1">
        <f>'2023 Korr med revekting arbavg'!I13</f>
        <v>37.206060917759743</v>
      </c>
      <c r="M13" s="1">
        <f>'2023 Korr med revekting arbavg'!P13</f>
        <v>46.770977099260648</v>
      </c>
      <c r="N13" s="1">
        <f>'2023 Korr med revekting arbavg'!W13</f>
        <v>0.56336039985109598</v>
      </c>
      <c r="O13" s="1">
        <f>'2023 Korr med revekting arbavg'!AD13</f>
        <v>0</v>
      </c>
      <c r="P13" s="1">
        <f>'2023 Korr med revekting arbavg'!AK13</f>
        <v>4.287754345669212</v>
      </c>
      <c r="Q13" s="50">
        <f t="shared" si="2"/>
        <v>8.9157492777956833</v>
      </c>
      <c r="R13" s="1"/>
      <c r="S13" s="1">
        <f>'2023 Korr med revekting arbavg'!AR13</f>
        <v>8.9875534245341022</v>
      </c>
      <c r="T13" s="1">
        <f>'2023 Korr med revekting arbavg'!AY13</f>
        <v>6.9485966525971452E-3</v>
      </c>
      <c r="U13" s="1">
        <f>'2023 Korr med revekting arbavg'!BF13</f>
        <v>5.1821674252998133E-3</v>
      </c>
      <c r="V13" s="1">
        <f>'2023 Korr med revekting arbavg'!BM13</f>
        <v>-7.5699089824712532E-2</v>
      </c>
      <c r="W13" s="1">
        <f>'2023 Korr med revekting arbavg'!BT13</f>
        <v>0</v>
      </c>
      <c r="X13" s="1">
        <f>'2023 Korr med revekting arbavg'!CA13</f>
        <v>-8.2358209916030285E-3</v>
      </c>
      <c r="Y13" s="1"/>
      <c r="Z13" s="11">
        <f t="shared" si="4"/>
        <v>97.74390204033638</v>
      </c>
      <c r="AB13" s="1">
        <f>+'2023 Korr med revekting pensjon'!I13</f>
        <v>-127.04598246298886</v>
      </c>
      <c r="AC13" s="1">
        <f>+'2023 Korr med revekting pensjon'!P13</f>
        <v>77.080675988542907</v>
      </c>
      <c r="AD13" s="1">
        <f>+'2023 Korr med revekting pensjon'!W13</f>
        <v>-3.1726639130366654</v>
      </c>
      <c r="AE13" s="1">
        <f>+'2023 Korr med revekting pensjon'!AD13</f>
        <v>0</v>
      </c>
      <c r="AF13" s="1">
        <f>+'2023 Korr med revekting pensjon'!AK13</f>
        <v>-17.358197420254168</v>
      </c>
      <c r="AG13" s="50">
        <f t="shared" si="3"/>
        <v>-150.95427975394904</v>
      </c>
      <c r="AH13" s="1"/>
      <c r="AI13" s="1">
        <f>+'2023 Korr med revekting pensjon'!AR13</f>
        <v>-148.65864304370268</v>
      </c>
      <c r="AJ13" s="1">
        <f>+'2023 Korr med revekting pensjon'!AY13</f>
        <v>-1.4869833482149153</v>
      </c>
      <c r="AK13" s="1">
        <f>+'2023 Korr med revekting pensjon'!BF13</f>
        <v>0.12685713346553079</v>
      </c>
      <c r="AL13" s="1">
        <f>+'2023 Korr med revekting pensjon'!BM13</f>
        <v>-0.99370070892552864</v>
      </c>
      <c r="AM13" s="1">
        <f>+'2023 Korr med revekting pensjon'!BT13</f>
        <v>0</v>
      </c>
      <c r="AN13" s="1">
        <f>+'2023 Korr med revekting pensjon'!CA13</f>
        <v>5.8190213428552524E-2</v>
      </c>
      <c r="AO13" s="1"/>
      <c r="AP13" s="11">
        <f t="shared" si="5"/>
        <v>-221.45044756168582</v>
      </c>
      <c r="AQ13" s="1"/>
      <c r="AR13" s="11">
        <f>+'2023 Korr med revekt premieavv'!J13</f>
        <v>405.10210501127693</v>
      </c>
      <c r="AT13" s="11"/>
      <c r="AV13" s="11">
        <f t="shared" si="6"/>
        <v>2265.1530529323977</v>
      </c>
      <c r="AW13" s="1">
        <f>+AV13*'2023 Nto driftsutg'!W13</f>
        <v>1468806785.0312722</v>
      </c>
    </row>
    <row r="14" spans="1:49" x14ac:dyDescent="0.3">
      <c r="A14" s="43">
        <v>5000</v>
      </c>
      <c r="B14" s="44" t="s">
        <v>340</v>
      </c>
      <c r="C14" s="11">
        <f>+'2023 Grunnlag korreksjoner'!C14*1000/'2023 Nto driftsutg'!W14</f>
        <v>50.081531002941077</v>
      </c>
      <c r="D14" s="1"/>
      <c r="E14" s="1">
        <f>+'2023 Nto driftsutg landet'!$C$5*'2023 Revekting utgiftsbehov'!Z14-'2023 Nto driftsutg landet'!$C$5</f>
        <v>137.97855689532844</v>
      </c>
      <c r="F14" s="1">
        <f>+'2023 Nto driftsutg landet'!$C$6*'2023 Revekting utgiftsbehov'!AA14-'2023 Nto driftsutg landet'!$C$6</f>
        <v>536.67733942358359</v>
      </c>
      <c r="G14" s="1">
        <f>+'2023 Nto driftsutg landet'!$C$7*'2023 Revekting utgiftsbehov'!AB14-'2023 Nto driftsutg landet'!$C$7</f>
        <v>267.99983310164589</v>
      </c>
      <c r="H14" s="1">
        <f>+'2023 Nto driftsutg landet'!$C$8*'2023 Revekting utgiftsbehov'!AC14-'2023 Nto driftsutg landet'!$C$8</f>
        <v>42.083737610670823</v>
      </c>
      <c r="I14" s="1">
        <f>+'2023 Nto driftsutg landet'!$C$9*'2023 Revekting utgiftsbehov'!AD14-'2023 Nto driftsutg landet'!$C$9</f>
        <v>25.901906619405395</v>
      </c>
      <c r="J14" s="11">
        <f t="shared" si="1"/>
        <v>1010.6413736506341</v>
      </c>
      <c r="L14" s="1">
        <f>'2023 Korr med revekting arbavg'!I14</f>
        <v>-21.209909105238214</v>
      </c>
      <c r="M14" s="1">
        <f>'2023 Korr med revekting arbavg'!P14</f>
        <v>15.144181400231403</v>
      </c>
      <c r="N14" s="1">
        <f>'2023 Korr med revekting arbavg'!W14</f>
        <v>0.57531133434860171</v>
      </c>
      <c r="O14" s="1">
        <f>'2023 Korr med revekting arbavg'!AD14</f>
        <v>0.1217098144683213</v>
      </c>
      <c r="P14" s="1">
        <f>'2023 Korr med revekting arbavg'!AK14</f>
        <v>0.82397765639783838</v>
      </c>
      <c r="Q14" s="50">
        <f t="shared" si="2"/>
        <v>27.6406081088329</v>
      </c>
      <c r="R14" s="1"/>
      <c r="S14" s="1">
        <f>'2023 Korr med revekting arbavg'!AR14</f>
        <v>26.918341677522413</v>
      </c>
      <c r="T14" s="1">
        <f>'2023 Korr med revekting arbavg'!AY14</f>
        <v>0.37789350657616716</v>
      </c>
      <c r="U14" s="1">
        <f>'2023 Korr med revekting arbavg'!BF14</f>
        <v>4.6515213278631815E-3</v>
      </c>
      <c r="V14" s="1">
        <f>'2023 Korr med revekting arbavg'!BM14</f>
        <v>0.33972140340645646</v>
      </c>
      <c r="W14" s="1">
        <f>'2023 Korr med revekting arbavg'!BT14</f>
        <v>0</v>
      </c>
      <c r="X14" s="1">
        <f>'2023 Korr med revekting arbavg'!CA14</f>
        <v>0</v>
      </c>
      <c r="Y14" s="1"/>
      <c r="Z14" s="11">
        <f t="shared" si="4"/>
        <v>23.095879209040852</v>
      </c>
      <c r="AB14" s="1">
        <f>+'2023 Korr med revekting pensjon'!I14</f>
        <v>-35.793012955245636</v>
      </c>
      <c r="AC14" s="1">
        <f>+'2023 Korr med revekting pensjon'!P14</f>
        <v>-6.5569015544258544</v>
      </c>
      <c r="AD14" s="1">
        <f>+'2023 Korr med revekting pensjon'!W14</f>
        <v>-2.7447591561821914</v>
      </c>
      <c r="AE14" s="1">
        <f>+'2023 Korr med revekting pensjon'!AD14</f>
        <v>-0.38731322505498283</v>
      </c>
      <c r="AF14" s="1">
        <f>+'2023 Korr med revekting pensjon'!AK14</f>
        <v>-21.714380259058984</v>
      </c>
      <c r="AG14" s="50">
        <f t="shared" si="3"/>
        <v>-98.900511742254906</v>
      </c>
      <c r="AH14" s="1"/>
      <c r="AI14" s="1">
        <f>+'2023 Korr med revekting pensjon'!AR14</f>
        <v>-95.92696387427722</v>
      </c>
      <c r="AJ14" s="1">
        <f>+'2023 Korr med revekting pensjon'!AY14</f>
        <v>-1.4348889335100814</v>
      </c>
      <c r="AK14" s="1">
        <f>+'2023 Korr med revekting pensjon'!BF14</f>
        <v>0.16546277824901981</v>
      </c>
      <c r="AL14" s="1">
        <f>+'2023 Korr med revekting pensjon'!BM14</f>
        <v>-1.7041217127166317</v>
      </c>
      <c r="AM14" s="1">
        <f>+'2023 Korr med revekting pensjon'!BT14</f>
        <v>0</v>
      </c>
      <c r="AN14" s="1">
        <f>+'2023 Korr med revekting pensjon'!CA14</f>
        <v>0</v>
      </c>
      <c r="AO14" s="1"/>
      <c r="AP14" s="11">
        <f t="shared" si="5"/>
        <v>-166.09687889222255</v>
      </c>
      <c r="AQ14" s="1"/>
      <c r="AR14" s="11">
        <f>+'2023 Korr med revekt premieavv'!J14</f>
        <v>335.74560514736544</v>
      </c>
      <c r="AT14" s="11"/>
      <c r="AV14" s="11">
        <f t="shared" si="6"/>
        <v>1253.467510117759</v>
      </c>
      <c r="AW14" s="1">
        <f>+AV14*'2023 Nto driftsutg'!W14</f>
        <v>602212170.15844584</v>
      </c>
    </row>
    <row r="15" spans="1:49" x14ac:dyDescent="0.3">
      <c r="A15" s="43">
        <v>5400</v>
      </c>
      <c r="B15" s="44" t="s">
        <v>346</v>
      </c>
      <c r="C15" s="11">
        <f>+'2023 Grunnlag korreksjoner'!C15*1000/'2023 Nto driftsutg'!W15</f>
        <v>354.26933305841067</v>
      </c>
      <c r="D15" s="1"/>
      <c r="E15" s="1">
        <f>+'2023 Nto driftsutg landet'!$C$5*'2023 Revekting utgiftsbehov'!Z15-'2023 Nto driftsutg landet'!$C$5</f>
        <v>737.73605108658194</v>
      </c>
      <c r="F15" s="1">
        <f>+'2023 Nto driftsutg landet'!$C$6*'2023 Revekting utgiftsbehov'!AA15-'2023 Nto driftsutg landet'!$C$6</f>
        <v>2153.1868182278058</v>
      </c>
      <c r="G15" s="1">
        <f>+'2023 Nto driftsutg landet'!$C$7*'2023 Revekting utgiftsbehov'!AB15-'2023 Nto driftsutg landet'!$C$7</f>
        <v>1900.929501243068</v>
      </c>
      <c r="H15" s="1">
        <f>+'2023 Nto driftsutg landet'!$C$8*'2023 Revekting utgiftsbehov'!AC15-'2023 Nto driftsutg landet'!$C$8</f>
        <v>1669.8340841619229</v>
      </c>
      <c r="I15" s="1">
        <f>+'2023 Nto driftsutg landet'!$C$9*'2023 Revekting utgiftsbehov'!AD15-'2023 Nto driftsutg landet'!$C$9</f>
        <v>136.62942092353626</v>
      </c>
      <c r="J15" s="11">
        <f t="shared" si="1"/>
        <v>6598.3158756429148</v>
      </c>
      <c r="L15" s="1">
        <f>'2023 Korr med revekting arbavg'!I15</f>
        <v>-423.65097652583563</v>
      </c>
      <c r="M15" s="1">
        <f>'2023 Korr med revekting arbavg'!P15</f>
        <v>-63.989481005903045</v>
      </c>
      <c r="N15" s="1">
        <f>'2023 Korr med revekting arbavg'!W15</f>
        <v>-6.3696607669506973</v>
      </c>
      <c r="O15" s="1">
        <f>'2023 Korr med revekting arbavg'!AD15</f>
        <v>-0.6500296230830529</v>
      </c>
      <c r="P15" s="1">
        <f>'2023 Korr med revekting arbavg'!AK15</f>
        <v>-41.788978414994467</v>
      </c>
      <c r="Q15" s="50">
        <f t="shared" si="2"/>
        <v>-41.222325824211303</v>
      </c>
      <c r="R15" s="1"/>
      <c r="S15" s="1">
        <f>'2023 Korr med revekting arbavg'!AR15</f>
        <v>-33.378282098744229</v>
      </c>
      <c r="T15" s="1">
        <f>'2023 Korr med revekting arbavg'!AY15</f>
        <v>-5.1472545980822568</v>
      </c>
      <c r="U15" s="1">
        <f>'2023 Korr med revekting arbavg'!BF15</f>
        <v>0.43849549814501904</v>
      </c>
      <c r="V15" s="1">
        <f>'2023 Korr med revekting arbavg'!BM15</f>
        <v>-3.3813682777130758</v>
      </c>
      <c r="W15" s="1">
        <f>'2023 Korr med revekting arbavg'!BT15</f>
        <v>0</v>
      </c>
      <c r="X15" s="1">
        <f>'2023 Korr med revekting arbavg'!CA15</f>
        <v>0.24608365218323514</v>
      </c>
      <c r="Y15" s="1"/>
      <c r="Z15" s="11">
        <f t="shared" si="4"/>
        <v>-577.67145216097822</v>
      </c>
      <c r="AB15" s="1">
        <f>+'2023 Korr med revekting pensjon'!I15</f>
        <v>353.95159288928409</v>
      </c>
      <c r="AC15" s="1">
        <f>+'2023 Korr med revekting pensjon'!P15</f>
        <v>-48.234956337359257</v>
      </c>
      <c r="AD15" s="1">
        <f>+'2023 Korr med revekting pensjon'!W15</f>
        <v>-2.4056064970835909</v>
      </c>
      <c r="AE15" s="1">
        <f>+'2023 Korr med revekting pensjon'!AD15</f>
        <v>-0.44555899894198242</v>
      </c>
      <c r="AF15" s="1">
        <f>+'2023 Korr med revekting pensjon'!AK15</f>
        <v>-6.9910987569306977</v>
      </c>
      <c r="AG15" s="50">
        <f t="shared" si="3"/>
        <v>-95.854817004894798</v>
      </c>
      <c r="AH15" s="1"/>
      <c r="AI15" s="1">
        <f>+'2023 Korr med revekting pensjon'!AR15</f>
        <v>-101.05595122317769</v>
      </c>
      <c r="AJ15" s="1">
        <f>+'2023 Korr med revekting pensjon'!AY15</f>
        <v>5.4191784080218364</v>
      </c>
      <c r="AK15" s="1">
        <f>+'2023 Korr med revekting pensjon'!BF15</f>
        <v>-3.9683535126684211E-2</v>
      </c>
      <c r="AL15" s="1">
        <f>+'2023 Korr med revekting pensjon'!BM15</f>
        <v>-9.843277251992788E-2</v>
      </c>
      <c r="AM15" s="1">
        <f>+'2023 Korr med revekting pensjon'!BT15</f>
        <v>0</v>
      </c>
      <c r="AN15" s="1">
        <f>+'2023 Korr med revekting pensjon'!CA15</f>
        <v>-7.9927882092336658E-2</v>
      </c>
      <c r="AO15" s="1"/>
      <c r="AP15" s="11">
        <f t="shared" si="5"/>
        <v>200.01955529407377</v>
      </c>
      <c r="AQ15" s="1"/>
      <c r="AR15" s="11">
        <f>+'2023 Korr med revekt premieavv'!J15</f>
        <v>-118.67291637974155</v>
      </c>
      <c r="AT15" s="11"/>
      <c r="AV15" s="11">
        <f t="shared" si="6"/>
        <v>6456.2603954546794</v>
      </c>
      <c r="AW15" s="1">
        <f>+AV15*'2023 Nto driftsutg'!W15</f>
        <v>1570995385.7655916</v>
      </c>
    </row>
    <row r="16" spans="1:49" x14ac:dyDescent="0.3">
      <c r="C16" s="10"/>
      <c r="E16" s="4"/>
      <c r="F16" s="4"/>
      <c r="G16" s="4"/>
      <c r="H16" s="1"/>
      <c r="I16" s="4"/>
      <c r="J16" s="10"/>
      <c r="Q16" s="51"/>
      <c r="Z16" s="11"/>
      <c r="AG16" s="51"/>
      <c r="AP16" s="10"/>
      <c r="AQ16" s="4"/>
      <c r="AR16" s="11"/>
      <c r="AT16" s="11"/>
      <c r="AV16" s="11"/>
    </row>
    <row r="17" spans="2:49" x14ac:dyDescent="0.3">
      <c r="B17" s="1" t="s">
        <v>3</v>
      </c>
      <c r="C17" s="11">
        <v>0</v>
      </c>
      <c r="D17" s="1"/>
      <c r="E17" s="1">
        <v>0</v>
      </c>
      <c r="F17" s="1">
        <f>+'2023 Nto driftsutg landet'!$C$6*'2023 Nøkkel revektet'!E17-'2023 Nto driftsutg landet'!$C$6</f>
        <v>0</v>
      </c>
      <c r="G17" s="1">
        <f>+'2023 Nto driftsutg landet'!$C$6*'2023 Nøkkel revektet'!F17-'2023 Nto driftsutg landet'!$C$6</f>
        <v>0</v>
      </c>
      <c r="H17" s="1">
        <f>+'2023 Nto driftsutg landet'!$C$8*'2023 Nøkkel revektet'!G17-'2023 Nto driftsutg landet'!$C$8</f>
        <v>0</v>
      </c>
      <c r="I17" s="1">
        <f>+'2023 Nto driftsutg landet'!$C$6*'2023 Nøkkel revektet'!H17-'2023 Nto driftsutg landet'!$C$6</f>
        <v>0</v>
      </c>
      <c r="J17" s="11">
        <f>SUM(E17:I17)</f>
        <v>0</v>
      </c>
      <c r="K17" s="1"/>
      <c r="L17" s="1">
        <f>+'2023 Korr med revekting arbavg'!J17</f>
        <v>0</v>
      </c>
      <c r="M17" s="1">
        <f>+'2023 Korr med revekting arbavg'!Q17</f>
        <v>2.5465851649641991E-11</v>
      </c>
      <c r="N17" s="1">
        <f>+'2023 Korr med revekting arbavg'!X17</f>
        <v>2.9558577807620168E-12</v>
      </c>
      <c r="O17" s="1">
        <f>+'2023 Korr med revekting arbavg'!AE17</f>
        <v>2.2737367544323206E-13</v>
      </c>
      <c r="P17" s="1">
        <f>+'2023 Korr med revekting arbavg'!AL17</f>
        <v>4.0017766878008842E-11</v>
      </c>
      <c r="Q17" s="50">
        <f t="shared" si="2"/>
        <v>-2.7462476737127872E-12</v>
      </c>
      <c r="R17" s="1"/>
      <c r="S17" s="1">
        <f>'2023 Korr med revekting arbavg'!AR17</f>
        <v>0</v>
      </c>
      <c r="T17" s="1">
        <f>'2023 Korr med revekting arbavg'!AZ17</f>
        <v>0</v>
      </c>
      <c r="U17" s="1">
        <f>'2023 Korr med revekting arbavg'!BG17</f>
        <v>-4.8316906031686813E-13</v>
      </c>
      <c r="V17" s="1">
        <f>'2023 Korr med revekting arbavg'!BN17</f>
        <v>-2.0463630789890885E-12</v>
      </c>
      <c r="W17" s="1">
        <f>'2023 Korr med revekting arbavg'!BU17</f>
        <v>1.0658141036401503E-14</v>
      </c>
      <c r="X17" s="1">
        <f>'2023 Korr med revekting arbavg'!CB17</f>
        <v>-2.2737367544323206E-13</v>
      </c>
      <c r="Y17" s="1"/>
      <c r="Z17" s="11">
        <f>SUM(L17:P17)+Q17</f>
        <v>6.5920602310143295E-11</v>
      </c>
      <c r="AB17" s="1">
        <f>+'2023 Korr med revekting pensjon'!J17</f>
        <v>-4.220055416226387E-10</v>
      </c>
      <c r="AC17" s="1">
        <f>+'2023 Korr med revekting pensjon'!Q17</f>
        <v>0</v>
      </c>
      <c r="AD17" s="1">
        <f>+'2023 Korr med revekting pensjon'!X17</f>
        <v>8.7538865045644343E-12</v>
      </c>
      <c r="AE17" s="1">
        <f>+'2023 Korr med revekting pensjon'!AE17</f>
        <v>-1.9895196601282805E-13</v>
      </c>
      <c r="AF17" s="1">
        <f>+'2023 Korr med revekting pensjon'!AL17</f>
        <v>1.9554136088117957E-11</v>
      </c>
      <c r="AG17" s="50"/>
      <c r="AH17" s="1"/>
      <c r="AI17" s="1">
        <f>+'2023 Korr med revekting pensjon'!AS17</f>
        <v>2.0008883439004421E-10</v>
      </c>
      <c r="AJ17" s="1">
        <f>+'2023 Korr med revekting pensjon'!AZ17</f>
        <v>-7.503331289626658E-12</v>
      </c>
      <c r="AK17" s="1">
        <f>+'2023 Korr med revekting pensjon'!BG17</f>
        <v>-7.2652994731470244E-13</v>
      </c>
      <c r="AL17" s="1">
        <f>+'2023 Korr med revekting pensjon'!BN17</f>
        <v>-3.8831160509289475E-12</v>
      </c>
      <c r="AM17" s="1">
        <f>+'2023 Korr med revekting pensjon'!BU17</f>
        <v>-8.8817841970012523E-15</v>
      </c>
      <c r="AN17" s="1">
        <f>+'2023 Korr med revekting pensjon'!CB17</f>
        <v>0</v>
      </c>
      <c r="AO17" s="1"/>
      <c r="AP17" s="11">
        <f>SUM(AB17:AF17)+AG17</f>
        <v>-3.9389647099596914E-10</v>
      </c>
      <c r="AQ17" s="1"/>
      <c r="AR17" s="11">
        <f>+'2023 Korr med revekt premieavv'!K17</f>
        <v>6.891787052154541E-7</v>
      </c>
      <c r="AT17" s="11"/>
      <c r="AV17" s="11">
        <f>+C17+J17+Z17+AP17+AR17</f>
        <v>6.8885072934676828E-7</v>
      </c>
      <c r="AW17" s="5">
        <f>SUM(AW5:AW15)</f>
        <v>2.2411346435546875E-5</v>
      </c>
    </row>
    <row r="19" spans="2:49" x14ac:dyDescent="0.3">
      <c r="E19" s="5"/>
      <c r="F19" s="5"/>
      <c r="G19" s="5"/>
      <c r="H19" s="5"/>
      <c r="I19" s="5"/>
      <c r="AB19" s="5"/>
      <c r="AC19" s="5"/>
      <c r="AD19" s="5"/>
      <c r="AE19" s="5"/>
      <c r="AF19" s="5"/>
      <c r="AH19" s="5"/>
      <c r="AI19" s="5"/>
      <c r="AJ19" s="5"/>
      <c r="AK19" s="5"/>
      <c r="AL19" s="5"/>
      <c r="AM19" s="5"/>
      <c r="AN19" s="5"/>
      <c r="AO19" s="5"/>
    </row>
    <row r="21" spans="2:49" x14ac:dyDescent="0.3">
      <c r="E21" t="s">
        <v>279</v>
      </c>
    </row>
    <row r="22" spans="2:49" x14ac:dyDescent="0.3">
      <c r="C22" t="s">
        <v>280</v>
      </c>
      <c r="E22" s="5">
        <f>+C6+E6+L6+AB6</f>
        <v>543.41497765137706</v>
      </c>
    </row>
  </sheetData>
  <sheetProtection algorithmName="SHA-512" hashValue="QawugyzDK+NMna+5aaNKvLzkh0llv1dM/26j/4PE0cb5ytWVNY5WhYSE5Hsq2m3VnErvVzlbQ5OMQFUJzeF+GA==" saltValue="86PmuoSdSrJ2DurXeTiIVA==" spinCount="100000" sheet="1" selectLockedCells="1" selectUn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5"/>
  <dimension ref="A2:F36"/>
  <sheetViews>
    <sheetView workbookViewId="0"/>
  </sheetViews>
  <sheetFormatPr baseColWidth="10" defaultRowHeight="14.4" x14ac:dyDescent="0.3"/>
  <cols>
    <col min="1" max="1" width="39.109375" customWidth="1"/>
    <col min="2" max="3" width="21" customWidth="1"/>
  </cols>
  <sheetData>
    <row r="2" spans="1:5" ht="27" x14ac:dyDescent="0.3">
      <c r="A2" s="24" t="s">
        <v>10</v>
      </c>
      <c r="B2" s="24" t="s">
        <v>34</v>
      </c>
      <c r="C2" s="24" t="s">
        <v>34</v>
      </c>
    </row>
    <row r="3" spans="1:5" x14ac:dyDescent="0.3">
      <c r="A3" s="6"/>
      <c r="B3" s="6" t="s">
        <v>11</v>
      </c>
      <c r="C3" s="6" t="s">
        <v>12</v>
      </c>
    </row>
    <row r="4" spans="1:5" x14ac:dyDescent="0.3">
      <c r="A4" s="107">
        <v>1</v>
      </c>
      <c r="B4" s="107">
        <f>+A4+1</f>
        <v>2</v>
      </c>
      <c r="C4" s="107">
        <f>+B4+1</f>
        <v>3</v>
      </c>
    </row>
    <row r="5" spans="1:5" x14ac:dyDescent="0.3">
      <c r="A5" t="s">
        <v>174</v>
      </c>
      <c r="B5" s="5">
        <f>+'2023 Nto driftsutg eks avskriv'!D17</f>
        <v>39008039</v>
      </c>
      <c r="C5" s="5">
        <f>+B5*1000/'2023 Nto driftsutg'!$W$17</f>
        <v>7074.2914108960813</v>
      </c>
      <c r="E5" s="5"/>
    </row>
    <row r="6" spans="1:5" x14ac:dyDescent="0.3">
      <c r="A6" t="s">
        <v>175</v>
      </c>
      <c r="B6" s="5">
        <f>+'2023 Nto driftsutg eks avskriv'!E17</f>
        <v>11097855</v>
      </c>
      <c r="C6" s="5">
        <f>+B6*1000/'2023 Nto driftsutg'!$W$17</f>
        <v>2012.6482212005101</v>
      </c>
      <c r="E6" s="5"/>
    </row>
    <row r="7" spans="1:5" x14ac:dyDescent="0.3">
      <c r="A7" t="s">
        <v>358</v>
      </c>
      <c r="B7" s="5">
        <f>+'2023 Nto driftsutg eks avskriv'!F17</f>
        <v>16109641</v>
      </c>
      <c r="C7" s="5">
        <f>+B7*1000/'2023 Nto driftsutg'!$W$17</f>
        <v>2921.5591934503386</v>
      </c>
      <c r="E7" s="5"/>
    </row>
    <row r="8" spans="1:5" x14ac:dyDescent="0.3">
      <c r="A8" t="s">
        <v>359</v>
      </c>
      <c r="B8" s="5">
        <f>+'2023 Nto driftsutg eks avskriv'!G17</f>
        <v>4152371</v>
      </c>
      <c r="C8" s="5">
        <f>+B8*1000/'2023 Nto driftsutg'!$W$17</f>
        <v>753.05201833278443</v>
      </c>
      <c r="E8" s="5"/>
    </row>
    <row r="9" spans="1:5" x14ac:dyDescent="0.3">
      <c r="A9" s="23" t="s">
        <v>176</v>
      </c>
      <c r="B9" s="22">
        <f>+'2023 Nto driftsutg eks avskriv'!H17</f>
        <v>3426324</v>
      </c>
      <c r="C9" s="22">
        <f>+B9*1000/'2023 Nto driftsutg'!$W$17</f>
        <v>621.37997873072015</v>
      </c>
      <c r="E9" s="5"/>
    </row>
    <row r="10" spans="1:5" x14ac:dyDescent="0.3">
      <c r="A10" s="9" t="s">
        <v>31</v>
      </c>
      <c r="B10" s="8">
        <f>SUM(B5:B9)</f>
        <v>73794230</v>
      </c>
      <c r="C10" s="8">
        <f>SUM(C5:C9)</f>
        <v>13382.930822610435</v>
      </c>
      <c r="D10" s="8"/>
      <c r="E10" s="8"/>
    </row>
    <row r="11" spans="1:5" x14ac:dyDescent="0.3">
      <c r="A11" s="9"/>
      <c r="B11" s="8"/>
      <c r="C11" s="8"/>
    </row>
    <row r="12" spans="1:5" x14ac:dyDescent="0.3">
      <c r="A12" s="9"/>
      <c r="B12" s="8"/>
      <c r="C12" s="8"/>
    </row>
    <row r="13" spans="1:5" x14ac:dyDescent="0.3">
      <c r="A13" t="s">
        <v>23</v>
      </c>
      <c r="B13" s="54">
        <f>+'2023 Nto driftsutg eks avskriv'!I17</f>
        <v>7737449</v>
      </c>
      <c r="C13" s="5">
        <f>+B13*1000/'2023 Nto driftsutg'!$W$17</f>
        <v>1403.2227819231434</v>
      </c>
      <c r="E13" s="5"/>
    </row>
    <row r="14" spans="1:5" x14ac:dyDescent="0.3">
      <c r="A14" t="s">
        <v>27</v>
      </c>
      <c r="B14" s="5">
        <f>+'2023 Nto driftsutg eks avskriv'!R17</f>
        <v>-3276504.2216767771</v>
      </c>
      <c r="C14" s="5">
        <f>+B14*1000/'2023 Nto driftsutg'!$W$17</f>
        <v>-594.20945700891991</v>
      </c>
      <c r="E14" s="5"/>
    </row>
    <row r="15" spans="1:5" x14ac:dyDescent="0.3">
      <c r="A15" t="s">
        <v>24</v>
      </c>
      <c r="B15" s="5">
        <f>+'2023 Nto driftsutg eks avskriv'!S17</f>
        <v>4741012.029423316</v>
      </c>
      <c r="C15" s="5">
        <f>+B15*1000/'2023 Nto driftsutg'!$W$17</f>
        <v>859.80483865657436</v>
      </c>
      <c r="E15" s="5"/>
    </row>
    <row r="16" spans="1:5" x14ac:dyDescent="0.3">
      <c r="A16" s="23" t="s">
        <v>25</v>
      </c>
      <c r="B16" s="22">
        <f>+'2023 Nto driftsutg eks avskriv'!T17</f>
        <v>4414674.0239050686</v>
      </c>
      <c r="C16" s="22">
        <f>+B16*1000/'2023 Nto driftsutg'!$W$17</f>
        <v>800.62190589015938</v>
      </c>
      <c r="E16" s="5"/>
    </row>
    <row r="17" spans="1:6" x14ac:dyDescent="0.3">
      <c r="A17" s="9" t="s">
        <v>32</v>
      </c>
      <c r="B17" s="8">
        <f>SUM(B13:B16)</f>
        <v>13616630.831651608</v>
      </c>
      <c r="C17" s="8">
        <f>SUM(C13:C16)</f>
        <v>2469.4400694609571</v>
      </c>
      <c r="D17" s="8"/>
      <c r="E17" s="8"/>
    </row>
    <row r="19" spans="1:6" x14ac:dyDescent="0.3">
      <c r="A19" s="7" t="s">
        <v>33</v>
      </c>
      <c r="B19" s="25">
        <f>+B10+B17</f>
        <v>87410860.831651613</v>
      </c>
      <c r="C19" s="25">
        <f>+B19*1000/'2023 Nto driftsutg'!$W$17</f>
        <v>15852.370892071393</v>
      </c>
      <c r="D19" s="25"/>
      <c r="E19" s="5"/>
      <c r="F19" s="5"/>
    </row>
    <row r="22" spans="1:6" x14ac:dyDescent="0.3">
      <c r="A22" s="7" t="s">
        <v>84</v>
      </c>
    </row>
    <row r="23" spans="1:6" x14ac:dyDescent="0.3">
      <c r="A23" t="s">
        <v>4</v>
      </c>
      <c r="B23" s="5">
        <f>+'2023 Nto driftsutg eks avskriv'!K17</f>
        <v>4906328</v>
      </c>
      <c r="C23" s="5">
        <f>+B23*1000/'2023 Nto driftsutg'!$W$17</f>
        <v>889.7856677552785</v>
      </c>
    </row>
    <row r="24" spans="1:6" x14ac:dyDescent="0.3">
      <c r="A24" t="s">
        <v>177</v>
      </c>
      <c r="B24" s="5">
        <f>+'2023 Nto driftsutg eks avskriv'!L17</f>
        <v>1282073</v>
      </c>
      <c r="C24" s="5">
        <f>+B24*1000/'2023 Nto driftsutg'!$W$17</f>
        <v>232.50997088168853</v>
      </c>
    </row>
    <row r="25" spans="1:6" x14ac:dyDescent="0.3">
      <c r="A25" t="s">
        <v>37</v>
      </c>
      <c r="B25" s="5">
        <f>+'2023 Nto driftsutg eks avskriv'!M17</f>
        <v>-262627</v>
      </c>
      <c r="C25" s="5">
        <f>+B25*1000/'2023 Nto driftsutg'!$W$17</f>
        <v>-47.628642146543307</v>
      </c>
    </row>
    <row r="26" spans="1:6" x14ac:dyDescent="0.3">
      <c r="A26" t="s">
        <v>178</v>
      </c>
      <c r="B26" s="5">
        <f>+'2023 Nto driftsutg eks avskriv'!N17</f>
        <v>2079060</v>
      </c>
      <c r="C26" s="5">
        <f>+B26*1000/'2023 Nto driftsutg'!$W$17</f>
        <v>377.04731326631429</v>
      </c>
    </row>
    <row r="27" spans="1:6" x14ac:dyDescent="0.3">
      <c r="A27" t="s">
        <v>38</v>
      </c>
      <c r="B27" s="5">
        <f>+'2023 Nto driftsutg eks avskriv'!O17</f>
        <v>4797</v>
      </c>
      <c r="C27" s="5">
        <f>+B27*1000/'2023 Nto driftsutg'!$W$17</f>
        <v>0.86995852055184064</v>
      </c>
    </row>
    <row r="28" spans="1:6" x14ac:dyDescent="0.3">
      <c r="A28" s="23" t="s">
        <v>39</v>
      </c>
      <c r="B28" s="22">
        <f>+'2023 Nto driftsutg eks avskriv'!P17</f>
        <v>-272182</v>
      </c>
      <c r="C28" s="22">
        <f>+B28*1000/'2023 Nto driftsutg'!$W$17</f>
        <v>-49.361486354146564</v>
      </c>
    </row>
    <row r="29" spans="1:6" x14ac:dyDescent="0.3">
      <c r="A29" t="s">
        <v>18</v>
      </c>
      <c r="B29" s="54">
        <f>SUM(B23:B28)</f>
        <v>7737449</v>
      </c>
      <c r="C29" s="5">
        <f>SUM(C23:C28)</f>
        <v>1403.222781923143</v>
      </c>
    </row>
    <row r="33" spans="1:3" x14ac:dyDescent="0.3">
      <c r="A33" s="7"/>
    </row>
    <row r="34" spans="1:3" x14ac:dyDescent="0.3">
      <c r="B34" s="5"/>
      <c r="C34" s="5"/>
    </row>
    <row r="35" spans="1:3" x14ac:dyDescent="0.3">
      <c r="B35" s="5"/>
      <c r="C35" s="5"/>
    </row>
    <row r="36" spans="1:3" x14ac:dyDescent="0.3">
      <c r="B36" s="5"/>
      <c r="C36" s="5"/>
    </row>
  </sheetData>
  <sheetProtection algorithmName="SHA-512" hashValue="gB3AOSHnQPVfo+Ck8LihMlbCFew0VLFd+DXJr5Hohu+0Wm0i9oD+sNyykWIKRzGqAlDpeLuJfn2YfRD8kTFfXQ==" saltValue="ApMd+Y1PdWH00gAFu8O9xw==" spinCount="100000" sheet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7">
    <tabColor rgb="FF92D050"/>
  </sheetPr>
  <dimension ref="A1:AA38"/>
  <sheetViews>
    <sheetView zoomScale="90" zoomScaleNormal="9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5546875" customWidth="1"/>
    <col min="10" max="20" width="13.109375" customWidth="1"/>
    <col min="21" max="21" width="7.109375" customWidth="1"/>
    <col min="22" max="23" width="13.109375" customWidth="1"/>
    <col min="24" max="24" width="4.5546875" customWidth="1"/>
    <col min="26" max="26" width="14" customWidth="1"/>
    <col min="27" max="27" width="14.109375" customWidth="1"/>
  </cols>
  <sheetData>
    <row r="1" spans="1:27" x14ac:dyDescent="0.3">
      <c r="D1" s="5"/>
      <c r="E1" s="5"/>
      <c r="F1" s="5"/>
      <c r="G1" s="5"/>
      <c r="H1" s="5"/>
      <c r="J1" s="5"/>
      <c r="K1" s="5"/>
      <c r="L1" s="5"/>
      <c r="M1" s="5"/>
    </row>
    <row r="2" spans="1:27" ht="104.25" customHeight="1" x14ac:dyDescent="0.3">
      <c r="A2" s="24" t="s">
        <v>2</v>
      </c>
      <c r="B2" s="24" t="s">
        <v>1</v>
      </c>
      <c r="C2" s="24" t="s">
        <v>21</v>
      </c>
      <c r="D2" s="24" t="s">
        <v>144</v>
      </c>
      <c r="E2" s="24" t="s">
        <v>145</v>
      </c>
      <c r="F2" s="24" t="s">
        <v>351</v>
      </c>
      <c r="G2" s="24" t="s">
        <v>352</v>
      </c>
      <c r="H2" s="24" t="s">
        <v>146</v>
      </c>
      <c r="I2" s="13" t="s">
        <v>29</v>
      </c>
      <c r="J2" s="24" t="s">
        <v>147</v>
      </c>
      <c r="K2" s="24" t="s">
        <v>148</v>
      </c>
      <c r="L2" s="24" t="s">
        <v>149</v>
      </c>
      <c r="M2" s="24" t="s">
        <v>150</v>
      </c>
      <c r="N2" s="24" t="s">
        <v>151</v>
      </c>
      <c r="O2" s="24" t="s">
        <v>152</v>
      </c>
      <c r="P2" s="24" t="s">
        <v>153</v>
      </c>
      <c r="Q2" s="24" t="s">
        <v>154</v>
      </c>
      <c r="R2" s="24" t="s">
        <v>6</v>
      </c>
      <c r="S2" s="24" t="s">
        <v>19</v>
      </c>
      <c r="T2" s="24" t="s">
        <v>20</v>
      </c>
      <c r="U2" s="24"/>
      <c r="V2" s="24" t="s">
        <v>353</v>
      </c>
      <c r="W2" s="24" t="s">
        <v>354</v>
      </c>
      <c r="X2" s="24"/>
      <c r="Y2" s="24"/>
      <c r="Z2" s="24"/>
      <c r="AA2" s="24"/>
    </row>
    <row r="3" spans="1:27" x14ac:dyDescent="0.3">
      <c r="A3" s="107">
        <v>1</v>
      </c>
      <c r="B3" s="107">
        <f>+A3+1</f>
        <v>2</v>
      </c>
      <c r="C3" s="107">
        <f t="shared" ref="C3:Y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>+G3+1</f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/>
      <c r="AA3" s="107"/>
    </row>
    <row r="4" spans="1:27" x14ac:dyDescent="0.3">
      <c r="C4" s="5"/>
      <c r="I4" s="21"/>
    </row>
    <row r="5" spans="1:27" x14ac:dyDescent="0.3">
      <c r="A5" s="43">
        <v>300</v>
      </c>
      <c r="B5" s="44" t="s">
        <v>0</v>
      </c>
      <c r="C5" s="1">
        <f>SUM(D5:I5)+R5+S5+T5</f>
        <v>8270022.8316516075</v>
      </c>
      <c r="D5" s="1">
        <v>4063096</v>
      </c>
      <c r="E5" s="1">
        <v>-181</v>
      </c>
      <c r="F5" s="1">
        <v>4100903</v>
      </c>
      <c r="G5" s="1">
        <v>0</v>
      </c>
      <c r="H5" s="1">
        <v>342521</v>
      </c>
      <c r="I5" s="11">
        <f t="shared" ref="I5:I15" si="1">SUM(J5:Q5)</f>
        <v>133766</v>
      </c>
      <c r="J5" s="1"/>
      <c r="K5" s="1">
        <v>168427</v>
      </c>
      <c r="L5" s="1">
        <v>0</v>
      </c>
      <c r="M5" s="1">
        <v>14531</v>
      </c>
      <c r="N5" s="1">
        <v>-49192</v>
      </c>
      <c r="O5" s="1">
        <v>0</v>
      </c>
      <c r="P5" s="1">
        <v>0</v>
      </c>
      <c r="Q5" s="1"/>
      <c r="R5" s="112">
        <f>-656025.221676777</f>
        <v>-656025.221676777</v>
      </c>
      <c r="S5" s="112">
        <v>380793.02942331578</v>
      </c>
      <c r="T5" s="112">
        <v>-94849.976094931699</v>
      </c>
      <c r="U5" s="1"/>
      <c r="V5" s="1">
        <f>IF(C5&gt;0,W5,0)</f>
        <v>711918</v>
      </c>
      <c r="W5" s="1">
        <v>711918</v>
      </c>
      <c r="Y5" s="5"/>
      <c r="Z5" s="1"/>
      <c r="AA5" s="1"/>
    </row>
    <row r="6" spans="1:27" x14ac:dyDescent="0.3">
      <c r="A6" s="43">
        <v>1100</v>
      </c>
      <c r="B6" s="44" t="s">
        <v>141</v>
      </c>
      <c r="C6" s="1">
        <f t="shared" ref="C6:C15" si="2">SUM(D6:I6)+R6+S6+T6</f>
        <v>8160377</v>
      </c>
      <c r="D6" s="1">
        <v>3921276</v>
      </c>
      <c r="E6" s="1">
        <v>1269387</v>
      </c>
      <c r="F6" s="1">
        <v>956282</v>
      </c>
      <c r="G6" s="1">
        <v>321797</v>
      </c>
      <c r="H6" s="1">
        <v>351804</v>
      </c>
      <c r="I6" s="11">
        <f t="shared" si="1"/>
        <v>596852</v>
      </c>
      <c r="J6" s="1"/>
      <c r="K6" s="1">
        <v>359594</v>
      </c>
      <c r="L6" s="1">
        <v>97917</v>
      </c>
      <c r="M6" s="1">
        <v>-70325</v>
      </c>
      <c r="N6" s="1">
        <v>201705</v>
      </c>
      <c r="O6" s="1">
        <v>0</v>
      </c>
      <c r="P6" s="1">
        <v>7961</v>
      </c>
      <c r="Q6" s="1"/>
      <c r="R6" s="1">
        <v>-272716</v>
      </c>
      <c r="S6" s="1">
        <v>464920</v>
      </c>
      <c r="T6" s="1">
        <v>550775</v>
      </c>
      <c r="U6" s="1"/>
      <c r="V6" s="1">
        <f t="shared" ref="V6:V15" si="3">IF(C6&gt;0,W6,0)</f>
        <v>495545</v>
      </c>
      <c r="W6" s="1">
        <v>495545</v>
      </c>
      <c r="Z6" s="1"/>
      <c r="AA6" s="1"/>
    </row>
    <row r="7" spans="1:27" x14ac:dyDescent="0.3">
      <c r="A7" s="43">
        <v>1500</v>
      </c>
      <c r="B7" s="44" t="s">
        <v>142</v>
      </c>
      <c r="C7" s="1">
        <f t="shared" si="2"/>
        <v>6360668</v>
      </c>
      <c r="D7" s="1">
        <v>2154043</v>
      </c>
      <c r="E7" s="1">
        <v>1319339</v>
      </c>
      <c r="F7" s="1">
        <v>792440</v>
      </c>
      <c r="G7" s="1">
        <v>871750</v>
      </c>
      <c r="H7" s="1">
        <v>220848</v>
      </c>
      <c r="I7" s="11">
        <f t="shared" si="1"/>
        <v>606649</v>
      </c>
      <c r="J7" s="1"/>
      <c r="K7" s="1">
        <v>280316</v>
      </c>
      <c r="L7" s="1">
        <v>91600</v>
      </c>
      <c r="M7" s="1">
        <v>117271</v>
      </c>
      <c r="N7" s="1">
        <v>115132</v>
      </c>
      <c r="O7" s="1">
        <v>0</v>
      </c>
      <c r="P7" s="1">
        <v>2330</v>
      </c>
      <c r="Q7" s="1"/>
      <c r="R7" s="1">
        <v>-182410</v>
      </c>
      <c r="S7" s="1">
        <v>519665</v>
      </c>
      <c r="T7" s="1">
        <v>58344</v>
      </c>
      <c r="U7" s="1"/>
      <c r="V7" s="1">
        <f t="shared" si="3"/>
        <v>269164</v>
      </c>
      <c r="W7" s="1">
        <v>269164</v>
      </c>
      <c r="Z7" s="1"/>
      <c r="AA7" s="1"/>
    </row>
    <row r="8" spans="1:27" x14ac:dyDescent="0.3">
      <c r="A8" s="43">
        <v>1800</v>
      </c>
      <c r="B8" s="44" t="s">
        <v>143</v>
      </c>
      <c r="C8" s="1">
        <f t="shared" si="2"/>
        <v>6794155</v>
      </c>
      <c r="D8" s="1">
        <v>2266746</v>
      </c>
      <c r="E8" s="1">
        <v>1121549</v>
      </c>
      <c r="F8" s="1">
        <v>1019122</v>
      </c>
      <c r="G8" s="1">
        <v>900745</v>
      </c>
      <c r="H8" s="1">
        <v>243665</v>
      </c>
      <c r="I8" s="11">
        <f t="shared" si="1"/>
        <v>810187</v>
      </c>
      <c r="J8" s="1"/>
      <c r="K8" s="1">
        <v>403959</v>
      </c>
      <c r="L8" s="1">
        <v>79480</v>
      </c>
      <c r="M8" s="1">
        <v>185429</v>
      </c>
      <c r="N8" s="1">
        <v>141006</v>
      </c>
      <c r="O8" s="1">
        <v>7</v>
      </c>
      <c r="P8" s="1">
        <v>306</v>
      </c>
      <c r="Q8" s="1"/>
      <c r="R8" s="1">
        <v>-200862</v>
      </c>
      <c r="S8" s="1">
        <v>259498</v>
      </c>
      <c r="T8" s="1">
        <v>373505</v>
      </c>
      <c r="U8" s="1"/>
      <c r="V8" s="1">
        <f t="shared" si="3"/>
        <v>241960</v>
      </c>
      <c r="W8" s="1">
        <v>241960</v>
      </c>
      <c r="Z8" s="1"/>
      <c r="AA8" s="1"/>
    </row>
    <row r="9" spans="1:27" x14ac:dyDescent="0.3">
      <c r="A9" s="43">
        <v>3000</v>
      </c>
      <c r="B9" s="44" t="s">
        <v>341</v>
      </c>
      <c r="C9" s="1">
        <f t="shared" si="2"/>
        <v>17436903</v>
      </c>
      <c r="D9" s="1">
        <v>9495613</v>
      </c>
      <c r="E9" s="1">
        <v>2254982</v>
      </c>
      <c r="F9" s="1">
        <v>2745131</v>
      </c>
      <c r="G9" s="1">
        <v>0</v>
      </c>
      <c r="H9" s="1">
        <v>605396</v>
      </c>
      <c r="I9" s="11">
        <f t="shared" si="1"/>
        <v>2109785</v>
      </c>
      <c r="J9" s="1"/>
      <c r="K9" s="1">
        <v>1376810</v>
      </c>
      <c r="L9" s="1">
        <v>203628</v>
      </c>
      <c r="M9" s="1">
        <v>119478</v>
      </c>
      <c r="N9" s="1">
        <v>405320</v>
      </c>
      <c r="O9" s="1">
        <v>4820</v>
      </c>
      <c r="P9" s="1">
        <v>-271</v>
      </c>
      <c r="Q9" s="1"/>
      <c r="R9" s="1">
        <v>-609560</v>
      </c>
      <c r="S9" s="1">
        <v>119091</v>
      </c>
      <c r="T9" s="1">
        <v>716465</v>
      </c>
      <c r="U9" s="1"/>
      <c r="V9" s="1">
        <f t="shared" si="3"/>
        <v>1300096</v>
      </c>
      <c r="W9" s="1">
        <v>1300096</v>
      </c>
      <c r="Z9" s="1"/>
      <c r="AA9" s="1"/>
    </row>
    <row r="10" spans="1:27" x14ac:dyDescent="0.3">
      <c r="A10" s="43">
        <v>3400</v>
      </c>
      <c r="B10" s="44" t="s">
        <v>342</v>
      </c>
      <c r="C10" s="1">
        <f t="shared" si="2"/>
        <v>6659244</v>
      </c>
      <c r="D10" s="1">
        <v>2914684</v>
      </c>
      <c r="E10" s="1">
        <v>1430728</v>
      </c>
      <c r="F10" s="1">
        <v>885096</v>
      </c>
      <c r="G10" s="1">
        <v>22266</v>
      </c>
      <c r="H10" s="1">
        <v>254447</v>
      </c>
      <c r="I10" s="11">
        <f t="shared" si="1"/>
        <v>826147</v>
      </c>
      <c r="J10" s="1"/>
      <c r="K10" s="1">
        <v>410357</v>
      </c>
      <c r="L10" s="1">
        <v>134588</v>
      </c>
      <c r="M10" s="1">
        <v>110266</v>
      </c>
      <c r="N10" s="1">
        <v>166543</v>
      </c>
      <c r="O10" s="1">
        <v>0</v>
      </c>
      <c r="P10" s="1">
        <v>4393</v>
      </c>
      <c r="Q10" s="1"/>
      <c r="R10" s="1">
        <v>-276193</v>
      </c>
      <c r="S10" s="1">
        <v>170354</v>
      </c>
      <c r="T10" s="1">
        <v>431715</v>
      </c>
      <c r="U10" s="1"/>
      <c r="V10" s="1">
        <f t="shared" si="3"/>
        <v>374624</v>
      </c>
      <c r="W10" s="1">
        <v>374624</v>
      </c>
      <c r="Z10" s="1"/>
      <c r="AA10" s="1"/>
    </row>
    <row r="11" spans="1:27" x14ac:dyDescent="0.3">
      <c r="A11" s="43">
        <v>3800</v>
      </c>
      <c r="B11" s="44" t="s">
        <v>343</v>
      </c>
      <c r="C11" s="1">
        <f t="shared" si="2"/>
        <v>6440637</v>
      </c>
      <c r="D11" s="1">
        <v>3319398</v>
      </c>
      <c r="E11" s="1">
        <v>1020812</v>
      </c>
      <c r="F11" s="1">
        <v>721483</v>
      </c>
      <c r="G11" s="1">
        <v>45498</v>
      </c>
      <c r="H11" s="1">
        <v>286441</v>
      </c>
      <c r="I11" s="11">
        <f t="shared" si="1"/>
        <v>852900</v>
      </c>
      <c r="J11" s="1"/>
      <c r="K11" s="1">
        <v>347889</v>
      </c>
      <c r="L11" s="1">
        <v>164781</v>
      </c>
      <c r="M11" s="1">
        <v>144273</v>
      </c>
      <c r="N11" s="1">
        <v>193476</v>
      </c>
      <c r="O11" s="1">
        <v>-30</v>
      </c>
      <c r="P11" s="1">
        <v>2511</v>
      </c>
      <c r="Q11" s="1"/>
      <c r="R11" s="1">
        <v>-302629</v>
      </c>
      <c r="S11" s="1">
        <v>320334</v>
      </c>
      <c r="T11" s="1">
        <v>176400</v>
      </c>
      <c r="U11" s="1"/>
      <c r="V11" s="1">
        <f t="shared" si="3"/>
        <v>431103</v>
      </c>
      <c r="W11" s="1">
        <v>431103</v>
      </c>
      <c r="Z11" s="1"/>
      <c r="AA11" s="1"/>
    </row>
    <row r="12" spans="1:27" x14ac:dyDescent="0.3">
      <c r="A12" s="43">
        <v>4200</v>
      </c>
      <c r="B12" s="44" t="s">
        <v>344</v>
      </c>
      <c r="C12" s="1">
        <f t="shared" si="2"/>
        <v>5339572</v>
      </c>
      <c r="D12" s="1">
        <v>2747324</v>
      </c>
      <c r="E12" s="1">
        <v>986795</v>
      </c>
      <c r="F12" s="1">
        <v>643305</v>
      </c>
      <c r="G12" s="1">
        <v>52436</v>
      </c>
      <c r="H12" s="1">
        <v>211430</v>
      </c>
      <c r="I12" s="11">
        <f t="shared" si="1"/>
        <v>96522</v>
      </c>
      <c r="J12" s="1"/>
      <c r="K12" s="1">
        <v>370943</v>
      </c>
      <c r="L12" s="1">
        <v>187113</v>
      </c>
      <c r="M12" s="1">
        <v>-650508</v>
      </c>
      <c r="N12" s="1">
        <v>169778</v>
      </c>
      <c r="O12" s="1">
        <v>0</v>
      </c>
      <c r="P12" s="1">
        <v>19196</v>
      </c>
      <c r="Q12" s="1"/>
      <c r="R12" s="1">
        <v>-248648</v>
      </c>
      <c r="S12" s="1">
        <v>373925</v>
      </c>
      <c r="T12" s="1">
        <v>476483</v>
      </c>
      <c r="U12" s="1"/>
      <c r="V12" s="1">
        <f t="shared" si="3"/>
        <v>317444</v>
      </c>
      <c r="W12" s="1">
        <v>317444</v>
      </c>
      <c r="Z12" s="1"/>
      <c r="AA12" s="1"/>
    </row>
    <row r="13" spans="1:27" x14ac:dyDescent="0.3">
      <c r="A13" s="43">
        <v>4600</v>
      </c>
      <c r="B13" s="44" t="s">
        <v>345</v>
      </c>
      <c r="C13" s="1">
        <f t="shared" si="2"/>
        <v>13741147</v>
      </c>
      <c r="D13" s="1">
        <v>4709017</v>
      </c>
      <c r="E13" s="1">
        <v>2318535</v>
      </c>
      <c r="F13" s="1">
        <v>2658253</v>
      </c>
      <c r="G13" s="1">
        <v>1116590</v>
      </c>
      <c r="H13" s="1">
        <v>417172</v>
      </c>
      <c r="I13" s="11">
        <f t="shared" si="1"/>
        <v>673430</v>
      </c>
      <c r="J13" s="1"/>
      <c r="K13" s="1">
        <v>614581</v>
      </c>
      <c r="L13" s="1">
        <v>121994</v>
      </c>
      <c r="M13" s="1">
        <v>-404096</v>
      </c>
      <c r="N13" s="1">
        <v>340950</v>
      </c>
      <c r="O13" s="1">
        <v>0</v>
      </c>
      <c r="P13" s="1">
        <v>1</v>
      </c>
      <c r="Q13" s="1"/>
      <c r="R13" s="1">
        <v>-129001</v>
      </c>
      <c r="S13" s="1">
        <v>1120025</v>
      </c>
      <c r="T13" s="1">
        <v>857126</v>
      </c>
      <c r="U13" s="1"/>
      <c r="V13" s="1">
        <f t="shared" si="3"/>
        <v>648436</v>
      </c>
      <c r="W13" s="1">
        <v>648436</v>
      </c>
      <c r="Z13" s="1"/>
      <c r="AA13" s="1"/>
    </row>
    <row r="14" spans="1:27" x14ac:dyDescent="0.3">
      <c r="A14" s="43">
        <v>5000</v>
      </c>
      <c r="B14" s="44" t="s">
        <v>340</v>
      </c>
      <c r="C14" s="1">
        <f t="shared" si="2"/>
        <v>8782084</v>
      </c>
      <c r="D14" s="1">
        <v>3812063</v>
      </c>
      <c r="E14" s="1">
        <v>1633230</v>
      </c>
      <c r="F14" s="1">
        <v>1159864</v>
      </c>
      <c r="G14" s="1">
        <v>325193</v>
      </c>
      <c r="H14" s="1">
        <v>347013</v>
      </c>
      <c r="I14" s="11">
        <f t="shared" si="1"/>
        <v>851117</v>
      </c>
      <c r="J14" s="1"/>
      <c r="K14" s="1">
        <v>412106</v>
      </c>
      <c r="L14" s="1">
        <v>90114</v>
      </c>
      <c r="M14" s="1">
        <v>100710</v>
      </c>
      <c r="N14" s="1">
        <v>248185</v>
      </c>
      <c r="O14" s="1">
        <v>0</v>
      </c>
      <c r="P14" s="1">
        <v>2</v>
      </c>
      <c r="Q14" s="1"/>
      <c r="R14" s="1">
        <v>-131740</v>
      </c>
      <c r="S14" s="1">
        <v>670921</v>
      </c>
      <c r="T14" s="1">
        <v>114423</v>
      </c>
      <c r="U14" s="1"/>
      <c r="V14" s="1">
        <f t="shared" si="3"/>
        <v>480437</v>
      </c>
      <c r="W14" s="1">
        <v>480437</v>
      </c>
      <c r="Z14" s="1"/>
      <c r="AA14" s="1"/>
    </row>
    <row r="15" spans="1:27" x14ac:dyDescent="0.3">
      <c r="A15" s="43">
        <v>5400</v>
      </c>
      <c r="B15" s="44" t="s">
        <v>346</v>
      </c>
      <c r="C15" s="1">
        <f t="shared" si="2"/>
        <v>6597174</v>
      </c>
      <c r="D15" s="1">
        <v>2217161</v>
      </c>
      <c r="E15" s="1">
        <v>1255853</v>
      </c>
      <c r="F15" s="1">
        <v>1064670</v>
      </c>
      <c r="G15" s="1">
        <v>507809</v>
      </c>
      <c r="H15" s="1">
        <v>280170</v>
      </c>
      <c r="I15" s="11">
        <f t="shared" si="1"/>
        <v>442457</v>
      </c>
      <c r="J15" s="1"/>
      <c r="K15" s="1">
        <v>370425</v>
      </c>
      <c r="L15" s="1">
        <v>119943</v>
      </c>
      <c r="M15" s="1">
        <v>94675</v>
      </c>
      <c r="N15" s="1">
        <v>159685</v>
      </c>
      <c r="O15" s="1">
        <v>0</v>
      </c>
      <c r="P15" s="1">
        <v>-302271</v>
      </c>
      <c r="Q15" s="1"/>
      <c r="R15" s="1">
        <v>-266720</v>
      </c>
      <c r="S15" s="1">
        <v>341486</v>
      </c>
      <c r="T15" s="1">
        <v>754288</v>
      </c>
      <c r="U15" s="1"/>
      <c r="V15" s="1">
        <f t="shared" si="3"/>
        <v>243329</v>
      </c>
      <c r="W15" s="1">
        <v>243329</v>
      </c>
      <c r="Z15" s="1"/>
      <c r="AA15" s="1"/>
    </row>
    <row r="16" spans="1:27" x14ac:dyDescent="0.3"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Z16" s="4"/>
      <c r="AA16" s="4"/>
    </row>
    <row r="17" spans="2:27" x14ac:dyDescent="0.3">
      <c r="B17" s="1" t="s">
        <v>3</v>
      </c>
      <c r="C17" s="1">
        <f t="shared" ref="C17:T17" si="4">SUM(C5:C15)</f>
        <v>94581983.831651598</v>
      </c>
      <c r="D17" s="1">
        <f t="shared" si="4"/>
        <v>41620421</v>
      </c>
      <c r="E17" s="1">
        <f t="shared" si="4"/>
        <v>14611029</v>
      </c>
      <c r="F17" s="1">
        <f t="shared" si="4"/>
        <v>16746549</v>
      </c>
      <c r="G17" s="1">
        <f t="shared" si="4"/>
        <v>4164084</v>
      </c>
      <c r="H17" s="1">
        <f t="shared" si="4"/>
        <v>3560907</v>
      </c>
      <c r="I17" s="11">
        <f t="shared" si="4"/>
        <v>7999812</v>
      </c>
      <c r="J17" s="1">
        <f t="shared" si="4"/>
        <v>0</v>
      </c>
      <c r="K17" s="1">
        <f t="shared" si="4"/>
        <v>5115407</v>
      </c>
      <c r="L17" s="1">
        <f t="shared" si="4"/>
        <v>1291158</v>
      </c>
      <c r="M17" s="1">
        <f t="shared" si="4"/>
        <v>-238296</v>
      </c>
      <c r="N17" s="1">
        <f t="shared" si="4"/>
        <v>2092588</v>
      </c>
      <c r="O17" s="1">
        <f t="shared" si="4"/>
        <v>4797</v>
      </c>
      <c r="P17" s="1">
        <f t="shared" si="4"/>
        <v>-265842</v>
      </c>
      <c r="Q17" s="1">
        <f t="shared" si="4"/>
        <v>0</v>
      </c>
      <c r="R17" s="1">
        <f t="shared" si="4"/>
        <v>-3276504.2216767771</v>
      </c>
      <c r="S17" s="1">
        <f t="shared" si="4"/>
        <v>4741012.029423316</v>
      </c>
      <c r="T17" s="1">
        <f t="shared" si="4"/>
        <v>4414674.0239050686</v>
      </c>
      <c r="U17" s="1"/>
      <c r="V17" s="1">
        <f>SUM(V5:V15)</f>
        <v>5514056</v>
      </c>
      <c r="W17" s="1">
        <f>SUM(W5:W15)</f>
        <v>5514056</v>
      </c>
      <c r="Z17" s="1"/>
      <c r="AA17" s="1"/>
    </row>
    <row r="18" spans="2:27" x14ac:dyDescent="0.3">
      <c r="AA18" s="5"/>
    </row>
    <row r="20" spans="2:27" x14ac:dyDescent="0.3">
      <c r="R20">
        <f>R5/1.141</f>
        <v>-574956.37307342421</v>
      </c>
      <c r="V20" s="5"/>
    </row>
    <row r="21" spans="2:27" x14ac:dyDescent="0.3">
      <c r="R21" s="5">
        <f>+R5-R20</f>
        <v>-81068.848603352788</v>
      </c>
      <c r="V21" s="5"/>
    </row>
    <row r="22" spans="2:27" x14ac:dyDescent="0.3">
      <c r="V22" s="5"/>
      <c r="W22" s="5"/>
    </row>
    <row r="23" spans="2:27" x14ac:dyDescent="0.3">
      <c r="V23" s="5"/>
    </row>
    <row r="24" spans="2:27" x14ac:dyDescent="0.3">
      <c r="V24" s="5"/>
    </row>
    <row r="25" spans="2:27" x14ac:dyDescent="0.3">
      <c r="V25" s="5"/>
    </row>
    <row r="26" spans="2:27" x14ac:dyDescent="0.3">
      <c r="V26" s="5"/>
    </row>
    <row r="27" spans="2:27" x14ac:dyDescent="0.3">
      <c r="V27" s="5"/>
    </row>
    <row r="28" spans="2:27" x14ac:dyDescent="0.3">
      <c r="V28" s="5"/>
    </row>
    <row r="29" spans="2:27" x14ac:dyDescent="0.3">
      <c r="V29" s="5"/>
    </row>
    <row r="30" spans="2:27" x14ac:dyDescent="0.3">
      <c r="V30" s="5"/>
    </row>
    <row r="31" spans="2:27" x14ac:dyDescent="0.3">
      <c r="V31" s="5"/>
    </row>
    <row r="32" spans="2:27" x14ac:dyDescent="0.3">
      <c r="V32" s="5"/>
    </row>
    <row r="33" spans="22:22" x14ac:dyDescent="0.3">
      <c r="V33" s="5"/>
    </row>
    <row r="34" spans="22:22" x14ac:dyDescent="0.3">
      <c r="V34" s="5"/>
    </row>
    <row r="35" spans="22:22" x14ac:dyDescent="0.3">
      <c r="V35" s="5"/>
    </row>
    <row r="36" spans="22:22" x14ac:dyDescent="0.3">
      <c r="V36" s="5"/>
    </row>
    <row r="37" spans="22:22" x14ac:dyDescent="0.3">
      <c r="V37" s="5"/>
    </row>
    <row r="38" spans="22:22" x14ac:dyDescent="0.3">
      <c r="V38" s="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8">
    <tabColor rgb="FF92D050"/>
  </sheetPr>
  <dimension ref="A2:U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L21" sqref="L21"/>
    </sheetView>
  </sheetViews>
  <sheetFormatPr baseColWidth="10" defaultRowHeight="14.4" x14ac:dyDescent="0.3"/>
  <cols>
    <col min="1" max="1" width="9.88671875" customWidth="1"/>
    <col min="2" max="3" width="18.5546875" customWidth="1"/>
    <col min="4" max="8" width="13.109375" customWidth="1"/>
    <col min="9" max="9" width="14.109375" customWidth="1"/>
    <col min="10" max="18" width="13.109375" customWidth="1"/>
    <col min="19" max="19" width="6.44140625" customWidth="1"/>
    <col min="20" max="20" width="13.109375" customWidth="1"/>
  </cols>
  <sheetData>
    <row r="2" spans="1:21" ht="104.25" customHeight="1" x14ac:dyDescent="0.3">
      <c r="A2" s="24" t="s">
        <v>2</v>
      </c>
      <c r="B2" s="24" t="s">
        <v>1</v>
      </c>
      <c r="C2" s="24" t="s">
        <v>7</v>
      </c>
      <c r="D2" s="24" t="s">
        <v>155</v>
      </c>
      <c r="E2" s="24" t="s">
        <v>156</v>
      </c>
      <c r="F2" s="24" t="s">
        <v>355</v>
      </c>
      <c r="G2" s="24" t="s">
        <v>356</v>
      </c>
      <c r="H2" s="24" t="s">
        <v>157</v>
      </c>
      <c r="I2" s="13" t="s">
        <v>30</v>
      </c>
      <c r="J2" s="24" t="s">
        <v>158</v>
      </c>
      <c r="K2" s="24" t="s">
        <v>159</v>
      </c>
      <c r="L2" s="24" t="s">
        <v>160</v>
      </c>
      <c r="M2" s="24" t="s">
        <v>161</v>
      </c>
      <c r="N2" s="24" t="s">
        <v>162</v>
      </c>
      <c r="O2" s="24" t="s">
        <v>163</v>
      </c>
      <c r="P2" s="24" t="s">
        <v>164</v>
      </c>
      <c r="Q2" s="24" t="s">
        <v>165</v>
      </c>
      <c r="R2" s="24" t="s">
        <v>8</v>
      </c>
      <c r="S2" s="24"/>
      <c r="T2" s="24"/>
      <c r="U2" s="24"/>
    </row>
    <row r="3" spans="1:21" x14ac:dyDescent="0.3">
      <c r="A3" s="107">
        <v>1</v>
      </c>
      <c r="B3" s="107">
        <f>+A3+1</f>
        <v>2</v>
      </c>
      <c r="C3" s="107">
        <f t="shared" ref="C3:U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>+F3+1</f>
        <v>7</v>
      </c>
      <c r="H3" s="107">
        <f>+G3+1</f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3">
      <c r="I4" s="21"/>
    </row>
    <row r="5" spans="1:21" x14ac:dyDescent="0.3">
      <c r="A5" s="43">
        <v>300</v>
      </c>
      <c r="B5" s="44" t="s">
        <v>0</v>
      </c>
      <c r="C5" s="1">
        <f t="shared" ref="C5:C15" si="1">SUM(D5:I5)+R5</f>
        <v>254599</v>
      </c>
      <c r="D5" s="1">
        <v>244967</v>
      </c>
      <c r="E5" s="1">
        <v>0</v>
      </c>
      <c r="F5" s="1">
        <v>2448</v>
      </c>
      <c r="G5" s="1">
        <v>0</v>
      </c>
      <c r="H5" s="1">
        <v>4760</v>
      </c>
      <c r="I5" s="11">
        <f t="shared" ref="I5:I15" si="2">SUM(J5:Q5)</f>
        <v>2424</v>
      </c>
      <c r="J5" s="1"/>
      <c r="K5" s="1">
        <v>2424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/>
      <c r="R5" s="1">
        <v>0</v>
      </c>
      <c r="T5" s="1"/>
      <c r="U5" s="1"/>
    </row>
    <row r="6" spans="1:21" x14ac:dyDescent="0.3">
      <c r="A6" s="43">
        <v>1100</v>
      </c>
      <c r="B6" s="44" t="s">
        <v>141</v>
      </c>
      <c r="C6" s="1">
        <f t="shared" si="1"/>
        <v>710713</v>
      </c>
      <c r="D6" s="1">
        <v>235764</v>
      </c>
      <c r="E6" s="1">
        <v>419287</v>
      </c>
      <c r="F6" s="1">
        <v>0</v>
      </c>
      <c r="G6" s="1">
        <v>0</v>
      </c>
      <c r="H6" s="1">
        <v>21570</v>
      </c>
      <c r="I6" s="11">
        <f t="shared" si="2"/>
        <v>34092</v>
      </c>
      <c r="J6" s="1"/>
      <c r="K6" s="1">
        <v>34054</v>
      </c>
      <c r="L6" s="1">
        <v>38</v>
      </c>
      <c r="M6" s="1">
        <v>0</v>
      </c>
      <c r="N6" s="1">
        <v>0</v>
      </c>
      <c r="O6" s="1">
        <v>0</v>
      </c>
      <c r="P6" s="1">
        <v>0</v>
      </c>
      <c r="Q6" s="1"/>
      <c r="R6" s="1">
        <v>0</v>
      </c>
      <c r="T6" s="1"/>
      <c r="U6" s="1"/>
    </row>
    <row r="7" spans="1:21" x14ac:dyDescent="0.3">
      <c r="A7" s="43">
        <v>1500</v>
      </c>
      <c r="B7" s="44" t="s">
        <v>142</v>
      </c>
      <c r="C7" s="1">
        <f t="shared" si="1"/>
        <v>567718</v>
      </c>
      <c r="D7" s="1">
        <v>127816</v>
      </c>
      <c r="E7" s="1">
        <v>412643</v>
      </c>
      <c r="F7" s="1">
        <v>11319</v>
      </c>
      <c r="G7" s="1">
        <v>627</v>
      </c>
      <c r="H7" s="1">
        <v>10331</v>
      </c>
      <c r="I7" s="11">
        <f t="shared" si="2"/>
        <v>4982</v>
      </c>
      <c r="J7" s="1"/>
      <c r="K7" s="1">
        <v>4250</v>
      </c>
      <c r="L7" s="1">
        <v>62</v>
      </c>
      <c r="M7" s="1">
        <v>65</v>
      </c>
      <c r="N7" s="1">
        <v>605</v>
      </c>
      <c r="O7" s="1">
        <v>0</v>
      </c>
      <c r="P7" s="1">
        <v>0</v>
      </c>
      <c r="Q7" s="1"/>
      <c r="R7" s="1">
        <v>0</v>
      </c>
      <c r="T7" s="1"/>
      <c r="U7" s="1"/>
    </row>
    <row r="8" spans="1:21" x14ac:dyDescent="0.3">
      <c r="A8" s="43">
        <v>1800</v>
      </c>
      <c r="B8" s="44" t="s">
        <v>143</v>
      </c>
      <c r="C8" s="1">
        <f t="shared" si="1"/>
        <v>497512</v>
      </c>
      <c r="D8" s="1">
        <v>178072</v>
      </c>
      <c r="E8" s="1">
        <v>278998</v>
      </c>
      <c r="F8" s="1">
        <v>7339</v>
      </c>
      <c r="G8" s="1">
        <v>299</v>
      </c>
      <c r="H8" s="1">
        <v>13060</v>
      </c>
      <c r="I8" s="11">
        <f t="shared" si="2"/>
        <v>19744</v>
      </c>
      <c r="J8" s="1"/>
      <c r="K8" s="1">
        <v>6779</v>
      </c>
      <c r="L8" s="1">
        <v>160</v>
      </c>
      <c r="M8" s="1">
        <v>8433</v>
      </c>
      <c r="N8" s="1">
        <v>4006</v>
      </c>
      <c r="O8" s="1">
        <v>0</v>
      </c>
      <c r="P8" s="1">
        <v>366</v>
      </c>
      <c r="Q8" s="1"/>
      <c r="R8" s="1">
        <v>0</v>
      </c>
      <c r="T8" s="1"/>
      <c r="U8" s="1"/>
    </row>
    <row r="9" spans="1:21" x14ac:dyDescent="0.3">
      <c r="A9" s="43">
        <v>3000</v>
      </c>
      <c r="B9" s="44" t="s">
        <v>341</v>
      </c>
      <c r="C9" s="1">
        <f t="shared" si="1"/>
        <v>1054797</v>
      </c>
      <c r="D9" s="1">
        <v>475930</v>
      </c>
      <c r="E9" s="1">
        <v>425763</v>
      </c>
      <c r="F9" s="1">
        <v>69706</v>
      </c>
      <c r="G9" s="1">
        <v>0</v>
      </c>
      <c r="H9" s="1">
        <v>23567</v>
      </c>
      <c r="I9" s="11">
        <f t="shared" si="2"/>
        <v>59831</v>
      </c>
      <c r="J9" s="1"/>
      <c r="K9" s="1">
        <v>58326</v>
      </c>
      <c r="L9" s="1">
        <v>268</v>
      </c>
      <c r="M9" s="1">
        <v>0</v>
      </c>
      <c r="N9" s="1">
        <v>1237</v>
      </c>
      <c r="O9" s="1">
        <v>0</v>
      </c>
      <c r="P9" s="1">
        <v>0</v>
      </c>
      <c r="Q9" s="1"/>
      <c r="R9" s="1">
        <v>0</v>
      </c>
      <c r="T9" s="1"/>
      <c r="U9" s="1"/>
    </row>
    <row r="10" spans="1:21" x14ac:dyDescent="0.3">
      <c r="A10" s="43">
        <v>3400</v>
      </c>
      <c r="B10" s="44" t="s">
        <v>342</v>
      </c>
      <c r="C10" s="1">
        <f t="shared" si="1"/>
        <v>418183</v>
      </c>
      <c r="D10" s="1">
        <v>197104</v>
      </c>
      <c r="E10" s="1">
        <v>197386</v>
      </c>
      <c r="F10" s="1">
        <v>3843</v>
      </c>
      <c r="G10" s="1">
        <v>4800</v>
      </c>
      <c r="H10" s="1">
        <v>7126</v>
      </c>
      <c r="I10" s="11">
        <f t="shared" si="2"/>
        <v>7924</v>
      </c>
      <c r="J10" s="1"/>
      <c r="K10" s="1">
        <v>6491</v>
      </c>
      <c r="L10" s="1">
        <v>7</v>
      </c>
      <c r="M10" s="1">
        <v>856</v>
      </c>
      <c r="N10" s="1">
        <v>570</v>
      </c>
      <c r="O10" s="1">
        <v>0</v>
      </c>
      <c r="P10" s="1">
        <v>0</v>
      </c>
      <c r="Q10" s="1"/>
      <c r="R10" s="1">
        <v>0</v>
      </c>
      <c r="T10" s="1"/>
      <c r="U10" s="1"/>
    </row>
    <row r="11" spans="1:21" x14ac:dyDescent="0.3">
      <c r="A11" s="43">
        <v>3800</v>
      </c>
      <c r="B11" s="44" t="s">
        <v>343</v>
      </c>
      <c r="C11" s="1">
        <f t="shared" si="1"/>
        <v>378154</v>
      </c>
      <c r="D11" s="1">
        <v>180442</v>
      </c>
      <c r="E11" s="1">
        <v>165473</v>
      </c>
      <c r="F11" s="1">
        <v>2636</v>
      </c>
      <c r="G11" s="1">
        <v>0</v>
      </c>
      <c r="H11" s="1">
        <v>4355</v>
      </c>
      <c r="I11" s="11">
        <f t="shared" si="2"/>
        <v>25248</v>
      </c>
      <c r="J11" s="1"/>
      <c r="K11" s="1">
        <v>16491</v>
      </c>
      <c r="L11" s="1">
        <v>6106</v>
      </c>
      <c r="M11" s="1">
        <v>215</v>
      </c>
      <c r="N11" s="1">
        <v>2436</v>
      </c>
      <c r="O11" s="1">
        <v>0</v>
      </c>
      <c r="P11" s="1">
        <v>0</v>
      </c>
      <c r="Q11" s="1"/>
      <c r="R11" s="1">
        <v>0</v>
      </c>
      <c r="T11" s="1"/>
      <c r="U11" s="1"/>
    </row>
    <row r="12" spans="1:21" x14ac:dyDescent="0.3">
      <c r="A12" s="43">
        <v>4200</v>
      </c>
      <c r="B12" s="44" t="s">
        <v>344</v>
      </c>
      <c r="C12" s="1">
        <f t="shared" si="1"/>
        <v>423564</v>
      </c>
      <c r="D12" s="1">
        <v>182920</v>
      </c>
      <c r="E12" s="1">
        <v>203519</v>
      </c>
      <c r="F12" s="1">
        <v>5099</v>
      </c>
      <c r="G12" s="1">
        <v>0</v>
      </c>
      <c r="H12" s="1">
        <v>9941</v>
      </c>
      <c r="I12" s="11">
        <f t="shared" si="2"/>
        <v>22085</v>
      </c>
      <c r="J12" s="1"/>
      <c r="K12" s="1">
        <v>14676</v>
      </c>
      <c r="L12" s="1">
        <v>1945</v>
      </c>
      <c r="M12" s="1">
        <v>5265</v>
      </c>
      <c r="N12" s="1">
        <v>0</v>
      </c>
      <c r="O12" s="1">
        <v>0</v>
      </c>
      <c r="P12" s="1">
        <v>199</v>
      </c>
      <c r="Q12" s="1"/>
      <c r="R12" s="1">
        <v>0</v>
      </c>
      <c r="T12" s="1"/>
      <c r="U12" s="1"/>
    </row>
    <row r="13" spans="1:21" x14ac:dyDescent="0.3">
      <c r="A13" s="43">
        <v>4600</v>
      </c>
      <c r="B13" s="44" t="s">
        <v>345</v>
      </c>
      <c r="C13" s="1">
        <f t="shared" si="1"/>
        <v>1637861</v>
      </c>
      <c r="D13" s="1">
        <v>359306</v>
      </c>
      <c r="E13" s="1">
        <v>704153</v>
      </c>
      <c r="F13" s="1">
        <v>513231</v>
      </c>
      <c r="G13" s="1">
        <v>0</v>
      </c>
      <c r="H13" s="1">
        <v>16327</v>
      </c>
      <c r="I13" s="11">
        <f t="shared" si="2"/>
        <v>44844</v>
      </c>
      <c r="J13" s="1"/>
      <c r="K13" s="1">
        <v>41759</v>
      </c>
      <c r="L13" s="1">
        <v>56</v>
      </c>
      <c r="M13" s="1">
        <v>117</v>
      </c>
      <c r="N13" s="1">
        <v>2912</v>
      </c>
      <c r="O13" s="1">
        <v>0</v>
      </c>
      <c r="P13" s="1">
        <v>0</v>
      </c>
      <c r="Q13" s="1"/>
      <c r="R13" s="1">
        <v>0</v>
      </c>
      <c r="T13" s="1"/>
      <c r="U13" s="1"/>
    </row>
    <row r="14" spans="1:21" x14ac:dyDescent="0.3">
      <c r="A14" s="43">
        <v>5000</v>
      </c>
      <c r="B14" s="44" t="s">
        <v>340</v>
      </c>
      <c r="C14" s="1">
        <f t="shared" si="1"/>
        <v>800087</v>
      </c>
      <c r="D14" s="1">
        <v>321370</v>
      </c>
      <c r="E14" s="1">
        <v>447053</v>
      </c>
      <c r="F14" s="1">
        <v>6070</v>
      </c>
      <c r="G14" s="1">
        <v>4947</v>
      </c>
      <c r="H14" s="1">
        <v>7100</v>
      </c>
      <c r="I14" s="11">
        <f t="shared" si="2"/>
        <v>13547</v>
      </c>
      <c r="J14" s="1"/>
      <c r="K14" s="1">
        <v>3273</v>
      </c>
      <c r="L14" s="1">
        <v>348</v>
      </c>
      <c r="M14" s="1">
        <v>9380</v>
      </c>
      <c r="N14" s="1">
        <v>546</v>
      </c>
      <c r="O14" s="1">
        <v>0</v>
      </c>
      <c r="P14" s="1">
        <v>0</v>
      </c>
      <c r="Q14" s="1"/>
      <c r="R14" s="1">
        <v>0</v>
      </c>
      <c r="T14" s="1"/>
      <c r="U14" s="1"/>
    </row>
    <row r="15" spans="1:21" x14ac:dyDescent="0.3">
      <c r="A15" s="43">
        <v>5400</v>
      </c>
      <c r="B15" s="44" t="s">
        <v>346</v>
      </c>
      <c r="C15" s="1">
        <f t="shared" si="1"/>
        <v>427935</v>
      </c>
      <c r="D15" s="1">
        <v>108691</v>
      </c>
      <c r="E15" s="1">
        <v>258899</v>
      </c>
      <c r="F15" s="1">
        <v>15217</v>
      </c>
      <c r="G15" s="1">
        <v>1040</v>
      </c>
      <c r="H15" s="1">
        <v>16446</v>
      </c>
      <c r="I15" s="11">
        <f t="shared" si="2"/>
        <v>27642</v>
      </c>
      <c r="J15" s="1"/>
      <c r="K15" s="1">
        <v>20556</v>
      </c>
      <c r="L15" s="1">
        <v>95</v>
      </c>
      <c r="M15" s="1">
        <v>0</v>
      </c>
      <c r="N15" s="1">
        <v>1216</v>
      </c>
      <c r="O15" s="1">
        <v>0</v>
      </c>
      <c r="P15" s="1">
        <v>5775</v>
      </c>
      <c r="Q15" s="1"/>
      <c r="R15" s="1">
        <v>0</v>
      </c>
      <c r="T15" s="1"/>
      <c r="U15" s="1"/>
    </row>
    <row r="16" spans="1:21" x14ac:dyDescent="0.3"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3">
      <c r="B17" s="1" t="s">
        <v>3</v>
      </c>
      <c r="C17" s="1">
        <f t="shared" ref="C17:R17" si="3">SUM(C5:C15)</f>
        <v>7171123</v>
      </c>
      <c r="D17" s="1">
        <f t="shared" si="3"/>
        <v>2612382</v>
      </c>
      <c r="E17" s="1">
        <f t="shared" si="3"/>
        <v>3513174</v>
      </c>
      <c r="F17" s="1">
        <f t="shared" si="3"/>
        <v>636908</v>
      </c>
      <c r="G17" s="1">
        <f t="shared" si="3"/>
        <v>11713</v>
      </c>
      <c r="H17" s="1">
        <f t="shared" si="3"/>
        <v>134583</v>
      </c>
      <c r="I17" s="11">
        <f t="shared" si="3"/>
        <v>262363</v>
      </c>
      <c r="J17" s="1">
        <f t="shared" si="3"/>
        <v>0</v>
      </c>
      <c r="K17" s="1">
        <f t="shared" si="3"/>
        <v>209079</v>
      </c>
      <c r="L17" s="1">
        <f t="shared" si="3"/>
        <v>9085</v>
      </c>
      <c r="M17" s="1">
        <f t="shared" si="3"/>
        <v>24331</v>
      </c>
      <c r="N17" s="1">
        <f t="shared" si="3"/>
        <v>13528</v>
      </c>
      <c r="O17" s="1">
        <f t="shared" si="3"/>
        <v>0</v>
      </c>
      <c r="P17" s="1">
        <f t="shared" si="3"/>
        <v>6340</v>
      </c>
      <c r="Q17" s="1">
        <f t="shared" si="3"/>
        <v>0</v>
      </c>
      <c r="R17" s="1">
        <f t="shared" si="3"/>
        <v>0</v>
      </c>
      <c r="S17" s="1"/>
      <c r="T17" s="1"/>
      <c r="U17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Diagrammer</vt:lpstr>
      </vt:variant>
      <vt:variant>
        <vt:i4>10</vt:i4>
      </vt:variant>
    </vt:vector>
  </HeadingPairs>
  <TitlesOfParts>
    <vt:vector size="37" baseType="lpstr">
      <vt:lpstr>Inngang</vt:lpstr>
      <vt:lpstr>Tabeller fylkeskom 1</vt:lpstr>
      <vt:lpstr>Tabeller fylkeskom 2</vt:lpstr>
      <vt:lpstr>Tabeller fylkeskom 3</vt:lpstr>
      <vt:lpstr>Tabeller fylkeskom 4</vt:lpstr>
      <vt:lpstr>2023 Korreksjoner</vt:lpstr>
      <vt:lpstr>2023 Nto driftsutg landet</vt:lpstr>
      <vt:lpstr>2023 Nto driftsutg</vt:lpstr>
      <vt:lpstr>2023 Avskrivning</vt:lpstr>
      <vt:lpstr>2023 Nto driftsutg eks avskriv</vt:lpstr>
      <vt:lpstr>2023 Inntektsnivå</vt:lpstr>
      <vt:lpstr>2023 Lønnsand og arbavg landet</vt:lpstr>
      <vt:lpstr>2023 Lønnsand og pensjon landet</vt:lpstr>
      <vt:lpstr>2023 Lønnsgr arbavg tjeneste</vt:lpstr>
      <vt:lpstr>2023 Arbavg tjeneste</vt:lpstr>
      <vt:lpstr>2023 Lønnsgr pensjon tjeneste</vt:lpstr>
      <vt:lpstr>2023 Pensjon tjeneste</vt:lpstr>
      <vt:lpstr>2023 Revekting utgiftsbehov</vt:lpstr>
      <vt:lpstr>2023 Korr med revekting pensjon</vt:lpstr>
      <vt:lpstr>2023 Korr med revekting arbavg</vt:lpstr>
      <vt:lpstr>2023 Korr med revekt premieavv</vt:lpstr>
      <vt:lpstr>2023 Korr med revekting eiendom</vt:lpstr>
      <vt:lpstr>2023 Grunnlag korreksjoner</vt:lpstr>
      <vt:lpstr>2023 Bto driftsutg</vt:lpstr>
      <vt:lpstr>2023 Bto driftsutg eks avskriv</vt:lpstr>
      <vt:lpstr>2023 Nøkkel revektet</vt:lpstr>
      <vt:lpstr>Fylkeskommuner</vt:lpstr>
      <vt:lpstr>1 Kostratall</vt:lpstr>
      <vt:lpstr>2 Inntektsyst kostandsnøkler</vt:lpstr>
      <vt:lpstr> Utgiftskorrigering</vt:lpstr>
      <vt:lpstr>3 Disp innt og ressursbruk</vt:lpstr>
      <vt:lpstr>4 Ressursbruk tjenest INNTSYS</vt:lpstr>
      <vt:lpstr>Ressursbruk øvrige tjenester</vt:lpstr>
      <vt:lpstr> Inntekts og utgiftskorrigering</vt:lpstr>
      <vt:lpstr>5 Inntektskorr ressursbruk</vt:lpstr>
      <vt:lpstr>6 Inntkorr ressursbruk INNTSYS</vt:lpstr>
      <vt:lpstr>7 Inntkorr ressursb øvr tjenes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Sigmund Engdal</dc:creator>
  <cp:lastModifiedBy>Sigmund Engdal</cp:lastModifiedBy>
  <cp:lastPrinted>2014-09-30T11:03:57Z</cp:lastPrinted>
  <dcterms:created xsi:type="dcterms:W3CDTF">2014-09-26T17:14:53Z</dcterms:created>
  <dcterms:modified xsi:type="dcterms:W3CDTF">2024-05-06T12:29:38Z</dcterms:modified>
</cp:coreProperties>
</file>