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siskyen-my.sharepoint.com/personal/sigmund_engdal_ks_no/Documents/Dokumenter/Modell sammenligning mellom kommuner/Fylkeskommune/2023 - Kostrapublisering 15032024/Publisert/"/>
    </mc:Choice>
  </mc:AlternateContent>
  <xr:revisionPtr revIDLastSave="122" documentId="8_{A102C11E-F500-4B2C-9ACA-95F3E92EA4EA}" xr6:coauthVersionLast="47" xr6:coauthVersionMax="47" xr10:uidLastSave="{7D88702D-E3F7-425F-9889-2D5775097767}"/>
  <bookViews>
    <workbookView xWindow="-120" yWindow="-120" windowWidth="29040" windowHeight="15840" tabRatio="855" xr2:uid="{00000000-000D-0000-FFFF-FFFF00000000}"/>
  </bookViews>
  <sheets>
    <sheet name="Inngang" sheetId="10" r:id="rId1"/>
    <sheet name="1. Kostratall" sheetId="47" r:id="rId2"/>
    <sheet name="2. Inntektssyst kostnadsnøkler" sheetId="40" r:id="rId3"/>
    <sheet name="Utgiftskorrigering" sheetId="51" r:id="rId4"/>
    <sheet name="3. Disp inntekt og ressursbruk" sheetId="39" r:id="rId5"/>
    <sheet name="4. Ressursbr tjenest i INNTSYS" sheetId="41" r:id="rId6"/>
    <sheet name="Ressurbruk øvrige tjenester" sheetId="42" state="hidden" r:id="rId7"/>
    <sheet name="Inntekts og utgiftskorrigering" sheetId="50" r:id="rId8"/>
    <sheet name="5. Inntektskorr ressursbruk" sheetId="48" r:id="rId9"/>
    <sheet name="6. Inntkorr ressursb  INNTSYS " sheetId="12" r:id="rId10"/>
    <sheet name="7. Inntkorr ressursb øvr tjenes" sheetId="11" r:id="rId11"/>
    <sheet name="Tabeller fylkeskom 1" sheetId="94" state="hidden" r:id="rId12"/>
    <sheet name="Tabeller fylkeskom 2" sheetId="1" state="hidden" r:id="rId13"/>
    <sheet name="Tabeller fylkeskom 3" sheetId="44" state="hidden" r:id="rId14"/>
    <sheet name="Tabeller fylkeskom 4" sheetId="96" state="hidden" r:id="rId15"/>
    <sheet name="2022 Korreksjoner" sheetId="98" state="hidden" r:id="rId16"/>
    <sheet name="2022 Nto driftsutg landet" sheetId="99" state="hidden" r:id="rId17"/>
    <sheet name="2022 Nto driftsutg" sheetId="100" state="hidden" r:id="rId18"/>
    <sheet name="2022 Avskrivning" sheetId="101" state="hidden" r:id="rId19"/>
    <sheet name="2022 Nto driftsutg eks avskriv" sheetId="102" state="hidden" r:id="rId20"/>
    <sheet name="2022 Inntektsnivå" sheetId="103" state="hidden" r:id="rId21"/>
    <sheet name="2022 Lønnsand og arbavg landet" sheetId="104" state="hidden" r:id="rId22"/>
    <sheet name="2022 Lønnsand og pensjon landet" sheetId="105" state="hidden" r:id="rId23"/>
    <sheet name="2022 Lønnsgr arbavg tjeneste" sheetId="106" state="hidden" r:id="rId24"/>
    <sheet name="2022 Arbavg tjeneste" sheetId="107" state="hidden" r:id="rId25"/>
    <sheet name="2022 Lønnsgr pensjon tjeneste" sheetId="108" state="hidden" r:id="rId26"/>
    <sheet name="2022 Pensjon tjeneste" sheetId="109" state="hidden" r:id="rId27"/>
    <sheet name="2022 Revekting utgiftsbehov" sheetId="110" state="hidden" r:id="rId28"/>
    <sheet name="2022 Korr med revekting pensjon" sheetId="111" state="hidden" r:id="rId29"/>
    <sheet name="2022 Korr med revekting arbavg" sheetId="112" state="hidden" r:id="rId30"/>
    <sheet name="2022 Korr med revekt premieavv" sheetId="113" state="hidden" r:id="rId31"/>
    <sheet name="2022 Korr med revekting eiendom" sheetId="114" state="hidden" r:id="rId32"/>
    <sheet name="2022 Grunnlag korreksjoner" sheetId="115" state="hidden" r:id="rId33"/>
    <sheet name="2022 Bto driftsutg" sheetId="116" state="hidden" r:id="rId34"/>
    <sheet name="2022 Bto driftsutg eks avskriv" sheetId="117" state="hidden" r:id="rId35"/>
    <sheet name="2022 Nøkkel revektet" sheetId="93" state="hidden" r:id="rId36"/>
    <sheet name="Fylkeskommuner" sheetId="97" state="hidden" r:id="rId37"/>
  </sheets>
  <externalReferences>
    <externalReference r:id="rId38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1" i="96" l="1"/>
  <c r="C64" i="96"/>
  <c r="C63" i="96"/>
  <c r="C62" i="96"/>
  <c r="C61" i="96"/>
  <c r="C60" i="96"/>
  <c r="C59" i="96"/>
  <c r="F53" i="96"/>
  <c r="D53" i="96"/>
  <c r="C53" i="96"/>
  <c r="F52" i="96"/>
  <c r="D52" i="96"/>
  <c r="C52" i="96"/>
  <c r="F51" i="96"/>
  <c r="D51" i="96"/>
  <c r="C51" i="96"/>
  <c r="F50" i="96"/>
  <c r="D50" i="96"/>
  <c r="C50" i="96"/>
  <c r="F49" i="96"/>
  <c r="D49" i="96"/>
  <c r="C49" i="96"/>
  <c r="F48" i="96"/>
  <c r="D48" i="96"/>
  <c r="C48" i="96"/>
  <c r="F39" i="96"/>
  <c r="D39" i="96"/>
  <c r="C39" i="96"/>
  <c r="C78" i="96" s="1"/>
  <c r="F38" i="96"/>
  <c r="D38" i="96"/>
  <c r="C38" i="96"/>
  <c r="C77" i="96" s="1"/>
  <c r="F37" i="96"/>
  <c r="D37" i="96"/>
  <c r="C37" i="96"/>
  <c r="C76" i="96" s="1"/>
  <c r="F36" i="96"/>
  <c r="D36" i="96"/>
  <c r="C36" i="96"/>
  <c r="C75" i="96" s="1"/>
  <c r="F35" i="96"/>
  <c r="D35" i="96"/>
  <c r="C35" i="96"/>
  <c r="C74" i="96" s="1"/>
  <c r="G34" i="96"/>
  <c r="D34" i="96"/>
  <c r="C34" i="96"/>
  <c r="C73" i="96" s="1"/>
  <c r="F33" i="96"/>
  <c r="D33" i="96"/>
  <c r="C33" i="96"/>
  <c r="C72" i="96" s="1"/>
  <c r="F32" i="96"/>
  <c r="D32" i="96"/>
  <c r="C32" i="96"/>
  <c r="F31" i="96"/>
  <c r="D31" i="96"/>
  <c r="C31" i="96"/>
  <c r="C70" i="96" s="1"/>
  <c r="F22" i="96"/>
  <c r="D22" i="96"/>
  <c r="C22" i="96"/>
  <c r="F21" i="96"/>
  <c r="D21" i="96"/>
  <c r="C21" i="96"/>
  <c r="F20" i="96"/>
  <c r="D20" i="96"/>
  <c r="C20" i="96"/>
  <c r="F19" i="96"/>
  <c r="D19" i="96"/>
  <c r="C19" i="96"/>
  <c r="F18" i="96"/>
  <c r="D18" i="96"/>
  <c r="C18" i="96"/>
  <c r="C7" i="96"/>
  <c r="C73" i="44"/>
  <c r="C71" i="44"/>
  <c r="C64" i="44"/>
  <c r="C63" i="44"/>
  <c r="C62" i="44"/>
  <c r="C61" i="44"/>
  <c r="C60" i="44"/>
  <c r="C59" i="44"/>
  <c r="F53" i="44"/>
  <c r="D53" i="44"/>
  <c r="C53" i="44"/>
  <c r="F52" i="44"/>
  <c r="D52" i="44"/>
  <c r="C52" i="44"/>
  <c r="F51" i="44"/>
  <c r="D51" i="44"/>
  <c r="C51" i="44"/>
  <c r="F50" i="44"/>
  <c r="D50" i="44"/>
  <c r="C50" i="44"/>
  <c r="F49" i="44"/>
  <c r="D49" i="44"/>
  <c r="C49" i="44"/>
  <c r="F48" i="44"/>
  <c r="D48" i="44"/>
  <c r="C48" i="44"/>
  <c r="F39" i="44"/>
  <c r="D39" i="44"/>
  <c r="C39" i="44"/>
  <c r="C78" i="44" s="1"/>
  <c r="F38" i="44"/>
  <c r="D38" i="44"/>
  <c r="C38" i="44"/>
  <c r="C77" i="44" s="1"/>
  <c r="F37" i="44"/>
  <c r="D37" i="44"/>
  <c r="C37" i="44"/>
  <c r="C76" i="44" s="1"/>
  <c r="F36" i="44"/>
  <c r="D36" i="44"/>
  <c r="C36" i="44"/>
  <c r="C75" i="44" s="1"/>
  <c r="F35" i="44"/>
  <c r="D35" i="44"/>
  <c r="C35" i="44"/>
  <c r="C74" i="44" s="1"/>
  <c r="G34" i="44"/>
  <c r="D34" i="44"/>
  <c r="C34" i="44"/>
  <c r="F33" i="44"/>
  <c r="D33" i="44"/>
  <c r="C33" i="44"/>
  <c r="C72" i="44" s="1"/>
  <c r="F32" i="44"/>
  <c r="D32" i="44"/>
  <c r="C32" i="44"/>
  <c r="F31" i="44"/>
  <c r="D31" i="44"/>
  <c r="C31" i="44"/>
  <c r="C70" i="44" s="1"/>
  <c r="F22" i="44"/>
  <c r="D22" i="44"/>
  <c r="C22" i="44"/>
  <c r="F21" i="44"/>
  <c r="D21" i="44"/>
  <c r="C21" i="44"/>
  <c r="F20" i="44"/>
  <c r="D20" i="44"/>
  <c r="C20" i="44"/>
  <c r="F19" i="44"/>
  <c r="D19" i="44"/>
  <c r="C19" i="44"/>
  <c r="F18" i="44"/>
  <c r="D18" i="44"/>
  <c r="C18" i="44"/>
  <c r="C7" i="44"/>
  <c r="C71" i="1"/>
  <c r="C64" i="1"/>
  <c r="C63" i="1"/>
  <c r="C62" i="1"/>
  <c r="C61" i="1"/>
  <c r="C60" i="1"/>
  <c r="C59" i="1"/>
  <c r="F53" i="1"/>
  <c r="D53" i="1"/>
  <c r="C53" i="1"/>
  <c r="F52" i="1"/>
  <c r="D52" i="1"/>
  <c r="C52" i="1"/>
  <c r="F51" i="1"/>
  <c r="D51" i="1"/>
  <c r="C51" i="1"/>
  <c r="F50" i="1"/>
  <c r="D50" i="1"/>
  <c r="C50" i="1"/>
  <c r="F49" i="1"/>
  <c r="D49" i="1"/>
  <c r="C49" i="1"/>
  <c r="F48" i="1"/>
  <c r="D48" i="1"/>
  <c r="C48" i="1"/>
  <c r="F39" i="1"/>
  <c r="D39" i="1"/>
  <c r="C39" i="1"/>
  <c r="C78" i="1" s="1"/>
  <c r="F38" i="1"/>
  <c r="D38" i="1"/>
  <c r="C38" i="1"/>
  <c r="C77" i="1" s="1"/>
  <c r="F37" i="1"/>
  <c r="D37" i="1"/>
  <c r="C37" i="1"/>
  <c r="C76" i="1" s="1"/>
  <c r="F36" i="1"/>
  <c r="D36" i="1"/>
  <c r="C36" i="1"/>
  <c r="C75" i="1" s="1"/>
  <c r="F35" i="1"/>
  <c r="D35" i="1"/>
  <c r="C35" i="1"/>
  <c r="C74" i="1" s="1"/>
  <c r="G34" i="1"/>
  <c r="D34" i="1"/>
  <c r="C34" i="1"/>
  <c r="C73" i="1" s="1"/>
  <c r="F33" i="1"/>
  <c r="D33" i="1"/>
  <c r="C33" i="1"/>
  <c r="C72" i="1" s="1"/>
  <c r="F32" i="1"/>
  <c r="D32" i="1"/>
  <c r="C32" i="1"/>
  <c r="F31" i="1"/>
  <c r="D31" i="1"/>
  <c r="C31" i="1"/>
  <c r="C70" i="1" s="1"/>
  <c r="F22" i="1"/>
  <c r="D22" i="1"/>
  <c r="C22" i="1"/>
  <c r="F21" i="1"/>
  <c r="D21" i="1"/>
  <c r="C21" i="1"/>
  <c r="F20" i="1"/>
  <c r="D20" i="1"/>
  <c r="C20" i="1"/>
  <c r="F19" i="1"/>
  <c r="D19" i="1"/>
  <c r="C19" i="1"/>
  <c r="F18" i="1"/>
  <c r="D18" i="1"/>
  <c r="C18" i="1"/>
  <c r="C7" i="1"/>
  <c r="C73" i="94"/>
  <c r="C72" i="94"/>
  <c r="C71" i="94"/>
  <c r="C64" i="94"/>
  <c r="C63" i="94"/>
  <c r="C62" i="94"/>
  <c r="C61" i="94"/>
  <c r="C60" i="94"/>
  <c r="C59" i="94"/>
  <c r="F53" i="94"/>
  <c r="D53" i="94"/>
  <c r="C53" i="94"/>
  <c r="F52" i="94"/>
  <c r="D52" i="94"/>
  <c r="C52" i="94"/>
  <c r="F51" i="94"/>
  <c r="D51" i="94"/>
  <c r="C51" i="94"/>
  <c r="F50" i="94"/>
  <c r="D50" i="94"/>
  <c r="C50" i="94"/>
  <c r="F49" i="94"/>
  <c r="D49" i="94"/>
  <c r="C49" i="94"/>
  <c r="F48" i="94"/>
  <c r="D48" i="94"/>
  <c r="C48" i="94"/>
  <c r="F39" i="94"/>
  <c r="D39" i="94"/>
  <c r="C39" i="94"/>
  <c r="C78" i="94" s="1"/>
  <c r="F38" i="94"/>
  <c r="D38" i="94"/>
  <c r="C38" i="94"/>
  <c r="C77" i="94" s="1"/>
  <c r="F37" i="94"/>
  <c r="D37" i="94"/>
  <c r="C37" i="94"/>
  <c r="C76" i="94" s="1"/>
  <c r="F36" i="94"/>
  <c r="D36" i="94"/>
  <c r="C36" i="94"/>
  <c r="C75" i="94" s="1"/>
  <c r="F35" i="94"/>
  <c r="D35" i="94"/>
  <c r="C35" i="94"/>
  <c r="C74" i="94" s="1"/>
  <c r="G34" i="94"/>
  <c r="D34" i="94"/>
  <c r="C34" i="94"/>
  <c r="F33" i="94"/>
  <c r="D33" i="94"/>
  <c r="C33" i="94"/>
  <c r="F32" i="94"/>
  <c r="D32" i="94"/>
  <c r="C32" i="94"/>
  <c r="F31" i="94"/>
  <c r="D31" i="94"/>
  <c r="C31" i="94"/>
  <c r="C70" i="94" s="1"/>
  <c r="F22" i="94"/>
  <c r="D22" i="94"/>
  <c r="C22" i="94"/>
  <c r="F21" i="94"/>
  <c r="D21" i="94"/>
  <c r="C21" i="94"/>
  <c r="F20" i="94"/>
  <c r="D20" i="94"/>
  <c r="C20" i="94"/>
  <c r="F19" i="94"/>
  <c r="D19" i="94"/>
  <c r="C19" i="94"/>
  <c r="F18" i="94"/>
  <c r="D18" i="94"/>
  <c r="C18" i="94"/>
  <c r="C7" i="94"/>
  <c r="R15" i="117"/>
  <c r="Q15" i="117"/>
  <c r="P15" i="117"/>
  <c r="O15" i="117"/>
  <c r="N15" i="117"/>
  <c r="M15" i="117"/>
  <c r="L15" i="117"/>
  <c r="K15" i="117"/>
  <c r="J15" i="117"/>
  <c r="H15" i="117"/>
  <c r="G15" i="117"/>
  <c r="F15" i="117"/>
  <c r="E15" i="117"/>
  <c r="D15" i="117"/>
  <c r="R14" i="117"/>
  <c r="Q14" i="117"/>
  <c r="P14" i="117"/>
  <c r="O14" i="117"/>
  <c r="N14" i="117"/>
  <c r="M14" i="117"/>
  <c r="L14" i="117"/>
  <c r="K14" i="117"/>
  <c r="J14" i="117"/>
  <c r="H14" i="117"/>
  <c r="G14" i="117"/>
  <c r="F14" i="117"/>
  <c r="E14" i="117"/>
  <c r="D14" i="117"/>
  <c r="R13" i="117"/>
  <c r="Q13" i="117"/>
  <c r="P13" i="117"/>
  <c r="O13" i="117"/>
  <c r="N13" i="117"/>
  <c r="M13" i="117"/>
  <c r="L13" i="117"/>
  <c r="K13" i="117"/>
  <c r="J13" i="117"/>
  <c r="H13" i="117"/>
  <c r="G13" i="117"/>
  <c r="F13" i="117"/>
  <c r="E13" i="117"/>
  <c r="D13" i="117"/>
  <c r="R12" i="117"/>
  <c r="Q12" i="117"/>
  <c r="P12" i="117"/>
  <c r="O12" i="117"/>
  <c r="N12" i="117"/>
  <c r="M12" i="117"/>
  <c r="L12" i="117"/>
  <c r="K12" i="117"/>
  <c r="J12" i="117"/>
  <c r="H12" i="117"/>
  <c r="G12" i="117"/>
  <c r="F12" i="117"/>
  <c r="E12" i="117"/>
  <c r="D12" i="117"/>
  <c r="R11" i="117"/>
  <c r="Q11" i="117"/>
  <c r="P11" i="117"/>
  <c r="O11" i="117"/>
  <c r="N11" i="117"/>
  <c r="M11" i="117"/>
  <c r="L11" i="117"/>
  <c r="K11" i="117"/>
  <c r="J11" i="117"/>
  <c r="H11" i="117"/>
  <c r="G11" i="117"/>
  <c r="F11" i="117"/>
  <c r="E11" i="117"/>
  <c r="D11" i="117"/>
  <c r="R10" i="117"/>
  <c r="Q10" i="117"/>
  <c r="P10" i="117"/>
  <c r="O10" i="117"/>
  <c r="N10" i="117"/>
  <c r="M10" i="117"/>
  <c r="L10" i="117"/>
  <c r="K10" i="117"/>
  <c r="J10" i="117"/>
  <c r="H10" i="117"/>
  <c r="G10" i="117"/>
  <c r="F10" i="117"/>
  <c r="E10" i="117"/>
  <c r="D10" i="117"/>
  <c r="R9" i="117"/>
  <c r="Q9" i="117"/>
  <c r="P9" i="117"/>
  <c r="O9" i="117"/>
  <c r="N9" i="117"/>
  <c r="M9" i="117"/>
  <c r="L9" i="117"/>
  <c r="K9" i="117"/>
  <c r="J9" i="117"/>
  <c r="H9" i="117"/>
  <c r="G9" i="117"/>
  <c r="F9" i="117"/>
  <c r="E9" i="117"/>
  <c r="D9" i="117"/>
  <c r="R8" i="117"/>
  <c r="Q8" i="117"/>
  <c r="P8" i="117"/>
  <c r="O8" i="117"/>
  <c r="N8" i="117"/>
  <c r="M8" i="117"/>
  <c r="L8" i="117"/>
  <c r="K8" i="117"/>
  <c r="J8" i="117"/>
  <c r="H8" i="117"/>
  <c r="G8" i="117"/>
  <c r="F8" i="117"/>
  <c r="E8" i="117"/>
  <c r="D8" i="117"/>
  <c r="R7" i="117"/>
  <c r="Q7" i="117"/>
  <c r="P7" i="117"/>
  <c r="O7" i="117"/>
  <c r="N7" i="117"/>
  <c r="M7" i="117"/>
  <c r="L7" i="117"/>
  <c r="K7" i="117"/>
  <c r="J7" i="117"/>
  <c r="H7" i="117"/>
  <c r="G7" i="117"/>
  <c r="F7" i="117"/>
  <c r="E7" i="117"/>
  <c r="D7" i="117"/>
  <c r="R6" i="117"/>
  <c r="Q6" i="117"/>
  <c r="P6" i="117"/>
  <c r="O6" i="117"/>
  <c r="N6" i="117"/>
  <c r="M6" i="117"/>
  <c r="L6" i="117"/>
  <c r="K6" i="117"/>
  <c r="J6" i="117"/>
  <c r="H6" i="117"/>
  <c r="G6" i="117"/>
  <c r="F6" i="117"/>
  <c r="E6" i="117"/>
  <c r="D6" i="117"/>
  <c r="R5" i="117"/>
  <c r="Q5" i="117"/>
  <c r="Q17" i="117" s="1"/>
  <c r="P5" i="117"/>
  <c r="P17" i="117" s="1"/>
  <c r="O5" i="117"/>
  <c r="O17" i="117" s="1"/>
  <c r="N5" i="117"/>
  <c r="N17" i="117" s="1"/>
  <c r="M5" i="117"/>
  <c r="M17" i="117" s="1"/>
  <c r="L5" i="117"/>
  <c r="L17" i="117" s="1"/>
  <c r="K5" i="117"/>
  <c r="K17" i="117" s="1"/>
  <c r="J5" i="117"/>
  <c r="J17" i="117" s="1"/>
  <c r="I18" i="117" s="1"/>
  <c r="H5" i="117"/>
  <c r="H17" i="117" s="1"/>
  <c r="E5" i="117"/>
  <c r="E17" i="117" s="1"/>
  <c r="D5" i="117"/>
  <c r="D17" i="117" s="1"/>
  <c r="B3" i="117"/>
  <c r="C3" i="117" s="1"/>
  <c r="D3" i="117" s="1"/>
  <c r="E3" i="117" s="1"/>
  <c r="F3" i="117" s="1"/>
  <c r="G3" i="117" s="1"/>
  <c r="H3" i="117" s="1"/>
  <c r="I3" i="117" s="1"/>
  <c r="J3" i="117" s="1"/>
  <c r="K3" i="117" s="1"/>
  <c r="L3" i="117" s="1"/>
  <c r="M3" i="117" s="1"/>
  <c r="N3" i="117" s="1"/>
  <c r="O3" i="117" s="1"/>
  <c r="P3" i="117" s="1"/>
  <c r="Q3" i="117" s="1"/>
  <c r="R3" i="117" s="1"/>
  <c r="S3" i="117" s="1"/>
  <c r="T3" i="117" s="1"/>
  <c r="U3" i="117" s="1"/>
  <c r="Y17" i="116"/>
  <c r="X17" i="116"/>
  <c r="R17" i="116"/>
  <c r="Q17" i="116"/>
  <c r="P17" i="116"/>
  <c r="O17" i="116"/>
  <c r="N17" i="116"/>
  <c r="M17" i="116"/>
  <c r="L17" i="116"/>
  <c r="K17" i="116"/>
  <c r="J17" i="116"/>
  <c r="I17" i="116"/>
  <c r="H17" i="116"/>
  <c r="E17" i="116"/>
  <c r="D17" i="116"/>
  <c r="U15" i="116"/>
  <c r="I15" i="116"/>
  <c r="C15" i="116"/>
  <c r="U14" i="116"/>
  <c r="I14" i="116"/>
  <c r="C14" i="116" s="1"/>
  <c r="U13" i="116"/>
  <c r="I13" i="116"/>
  <c r="C13" i="116"/>
  <c r="U12" i="116"/>
  <c r="I12" i="116"/>
  <c r="C12" i="116" s="1"/>
  <c r="U11" i="116"/>
  <c r="I11" i="116"/>
  <c r="C11" i="116"/>
  <c r="U10" i="116"/>
  <c r="I10" i="116"/>
  <c r="C10" i="116" s="1"/>
  <c r="U9" i="116"/>
  <c r="I9" i="116"/>
  <c r="C9" i="116"/>
  <c r="U8" i="116"/>
  <c r="I8" i="116"/>
  <c r="C8" i="116" s="1"/>
  <c r="U7" i="116"/>
  <c r="I7" i="116"/>
  <c r="C7" i="116"/>
  <c r="U6" i="116"/>
  <c r="I6" i="116"/>
  <c r="C6" i="116" s="1"/>
  <c r="U5" i="116"/>
  <c r="I5" i="116"/>
  <c r="G5" i="116"/>
  <c r="G5" i="117" s="1"/>
  <c r="G17" i="117" s="1"/>
  <c r="F5" i="116"/>
  <c r="G3" i="116"/>
  <c r="H3" i="116" s="1"/>
  <c r="I3" i="116" s="1"/>
  <c r="J3" i="116" s="1"/>
  <c r="K3" i="116" s="1"/>
  <c r="L3" i="116" s="1"/>
  <c r="M3" i="116" s="1"/>
  <c r="N3" i="116" s="1"/>
  <c r="O3" i="116" s="1"/>
  <c r="P3" i="116" s="1"/>
  <c r="Q3" i="116" s="1"/>
  <c r="R3" i="116" s="1"/>
  <c r="S3" i="116" s="1"/>
  <c r="T3" i="116" s="1"/>
  <c r="U3" i="116" s="1"/>
  <c r="V3" i="116" s="1"/>
  <c r="W3" i="116" s="1"/>
  <c r="X3" i="116" s="1"/>
  <c r="Y3" i="116" s="1"/>
  <c r="C3" i="116"/>
  <c r="D3" i="116" s="1"/>
  <c r="E3" i="116" s="1"/>
  <c r="F3" i="116" s="1"/>
  <c r="B3" i="116"/>
  <c r="C17" i="115"/>
  <c r="AM15" i="115"/>
  <c r="AL15" i="115"/>
  <c r="AK15" i="115"/>
  <c r="AJ15" i="115"/>
  <c r="AI15" i="115"/>
  <c r="AH15" i="115"/>
  <c r="AG15" i="115"/>
  <c r="AF15" i="115"/>
  <c r="AD15" i="115"/>
  <c r="AC15" i="115"/>
  <c r="AB15" i="115"/>
  <c r="AA15" i="115"/>
  <c r="Z15" i="115"/>
  <c r="X15" i="115"/>
  <c r="W15" i="115"/>
  <c r="V15" i="115"/>
  <c r="U15" i="115"/>
  <c r="T15" i="115"/>
  <c r="S15" i="115"/>
  <c r="R15" i="115"/>
  <c r="Q15" i="115"/>
  <c r="P15" i="115"/>
  <c r="N15" i="115"/>
  <c r="M15" i="115"/>
  <c r="L15" i="115"/>
  <c r="K15" i="115"/>
  <c r="J15" i="115"/>
  <c r="AM14" i="115"/>
  <c r="AL14" i="115"/>
  <c r="AK14" i="115"/>
  <c r="AJ14" i="115"/>
  <c r="AI14" i="115"/>
  <c r="AH14" i="115"/>
  <c r="AG14" i="115"/>
  <c r="AF14" i="115"/>
  <c r="AD14" i="115"/>
  <c r="AC14" i="115"/>
  <c r="AB14" i="115"/>
  <c r="AA14" i="115"/>
  <c r="Z14" i="115"/>
  <c r="X14" i="115"/>
  <c r="W14" i="115"/>
  <c r="V14" i="115"/>
  <c r="U14" i="115"/>
  <c r="T14" i="115"/>
  <c r="S14" i="115"/>
  <c r="R14" i="115"/>
  <c r="Q14" i="115"/>
  <c r="P14" i="115"/>
  <c r="N14" i="115"/>
  <c r="M14" i="115"/>
  <c r="L14" i="115"/>
  <c r="K14" i="115"/>
  <c r="J14" i="115"/>
  <c r="AM13" i="115"/>
  <c r="AL13" i="115"/>
  <c r="AK13" i="115"/>
  <c r="AJ13" i="115"/>
  <c r="AI13" i="115"/>
  <c r="AH13" i="115"/>
  <c r="AG13" i="115"/>
  <c r="AF13" i="115"/>
  <c r="AD13" i="115"/>
  <c r="AC13" i="115"/>
  <c r="AB13" i="115"/>
  <c r="AA13" i="115"/>
  <c r="Z13" i="115"/>
  <c r="X13" i="115"/>
  <c r="W13" i="115"/>
  <c r="V13" i="115"/>
  <c r="U13" i="115"/>
  <c r="T13" i="115"/>
  <c r="S13" i="115"/>
  <c r="R13" i="115"/>
  <c r="Q13" i="115"/>
  <c r="P13" i="115"/>
  <c r="N13" i="115"/>
  <c r="M13" i="115"/>
  <c r="L13" i="115"/>
  <c r="K13" i="115"/>
  <c r="J13" i="115"/>
  <c r="AM12" i="115"/>
  <c r="AL12" i="115"/>
  <c r="AK12" i="115"/>
  <c r="AJ12" i="115"/>
  <c r="AI12" i="115"/>
  <c r="AH12" i="115"/>
  <c r="AG12" i="115"/>
  <c r="AF12" i="115"/>
  <c r="AD12" i="115"/>
  <c r="AC12" i="115"/>
  <c r="AB12" i="115"/>
  <c r="AA12" i="115"/>
  <c r="Z12" i="115"/>
  <c r="X12" i="115"/>
  <c r="W12" i="115"/>
  <c r="V12" i="115"/>
  <c r="U12" i="115"/>
  <c r="T12" i="115"/>
  <c r="S12" i="115"/>
  <c r="R12" i="115"/>
  <c r="Q12" i="115"/>
  <c r="P12" i="115"/>
  <c r="N12" i="115"/>
  <c r="M12" i="115"/>
  <c r="L12" i="115"/>
  <c r="K12" i="115"/>
  <c r="J12" i="115"/>
  <c r="AM11" i="115"/>
  <c r="AL11" i="115"/>
  <c r="AK11" i="115"/>
  <c r="AJ11" i="115"/>
  <c r="AI11" i="115"/>
  <c r="AH11" i="115"/>
  <c r="AG11" i="115"/>
  <c r="AF11" i="115"/>
  <c r="AD11" i="115"/>
  <c r="AC11" i="115"/>
  <c r="AB11" i="115"/>
  <c r="AA11" i="115"/>
  <c r="Z11" i="115"/>
  <c r="X11" i="115"/>
  <c r="W11" i="115"/>
  <c r="V11" i="115"/>
  <c r="U11" i="115"/>
  <c r="T11" i="115"/>
  <c r="S11" i="115"/>
  <c r="R11" i="115"/>
  <c r="Q11" i="115"/>
  <c r="P11" i="115"/>
  <c r="N11" i="115"/>
  <c r="M11" i="115"/>
  <c r="L11" i="115"/>
  <c r="K11" i="115"/>
  <c r="J11" i="115"/>
  <c r="AM10" i="115"/>
  <c r="AL10" i="115"/>
  <c r="AK10" i="115"/>
  <c r="AJ10" i="115"/>
  <c r="AI10" i="115"/>
  <c r="AH10" i="115"/>
  <c r="AG10" i="115"/>
  <c r="AF10" i="115"/>
  <c r="AD10" i="115"/>
  <c r="AC10" i="115"/>
  <c r="AB10" i="115"/>
  <c r="AA10" i="115"/>
  <c r="Z10" i="115"/>
  <c r="X10" i="115"/>
  <c r="W10" i="115"/>
  <c r="V10" i="115"/>
  <c r="U10" i="115"/>
  <c r="T10" i="115"/>
  <c r="S10" i="115"/>
  <c r="R10" i="115"/>
  <c r="Q10" i="115"/>
  <c r="P10" i="115"/>
  <c r="N10" i="115"/>
  <c r="M10" i="115"/>
  <c r="L10" i="115"/>
  <c r="K10" i="115"/>
  <c r="J10" i="115"/>
  <c r="AM9" i="115"/>
  <c r="AL9" i="115"/>
  <c r="AK9" i="115"/>
  <c r="AJ9" i="115"/>
  <c r="AI9" i="115"/>
  <c r="AH9" i="115"/>
  <c r="AG9" i="115"/>
  <c r="AF9" i="115"/>
  <c r="AD9" i="115"/>
  <c r="AC9" i="115"/>
  <c r="AB9" i="115"/>
  <c r="AA9" i="115"/>
  <c r="Z9" i="115"/>
  <c r="X9" i="115"/>
  <c r="W9" i="115"/>
  <c r="V9" i="115"/>
  <c r="U9" i="115"/>
  <c r="T9" i="115"/>
  <c r="S9" i="115"/>
  <c r="R9" i="115"/>
  <c r="Q9" i="115"/>
  <c r="P9" i="115"/>
  <c r="N9" i="115"/>
  <c r="M9" i="115"/>
  <c r="L9" i="115"/>
  <c r="K9" i="115"/>
  <c r="J9" i="115"/>
  <c r="AM8" i="115"/>
  <c r="AL8" i="115"/>
  <c r="AK8" i="115"/>
  <c r="AJ8" i="115"/>
  <c r="AI8" i="115"/>
  <c r="AH8" i="115"/>
  <c r="AG8" i="115"/>
  <c r="AF8" i="115"/>
  <c r="AD8" i="115"/>
  <c r="AC8" i="115"/>
  <c r="AB8" i="115"/>
  <c r="AA8" i="115"/>
  <c r="Z8" i="115"/>
  <c r="X8" i="115"/>
  <c r="W8" i="115"/>
  <c r="V8" i="115"/>
  <c r="U8" i="115"/>
  <c r="T8" i="115"/>
  <c r="S8" i="115"/>
  <c r="R8" i="115"/>
  <c r="Q8" i="115"/>
  <c r="P8" i="115"/>
  <c r="N8" i="115"/>
  <c r="M8" i="115"/>
  <c r="L8" i="115"/>
  <c r="K8" i="115"/>
  <c r="J8" i="115"/>
  <c r="AM7" i="115"/>
  <c r="AL7" i="115"/>
  <c r="AK7" i="115"/>
  <c r="AJ7" i="115"/>
  <c r="AI7" i="115"/>
  <c r="AH7" i="115"/>
  <c r="AG7" i="115"/>
  <c r="AF7" i="115"/>
  <c r="AD7" i="115"/>
  <c r="AC7" i="115"/>
  <c r="AB7" i="115"/>
  <c r="AA7" i="115"/>
  <c r="Z7" i="115"/>
  <c r="X7" i="115"/>
  <c r="W7" i="115"/>
  <c r="V7" i="115"/>
  <c r="U7" i="115"/>
  <c r="T7" i="115"/>
  <c r="S7" i="115"/>
  <c r="R7" i="115"/>
  <c r="Q7" i="115"/>
  <c r="P7" i="115"/>
  <c r="N7" i="115"/>
  <c r="M7" i="115"/>
  <c r="L7" i="115"/>
  <c r="K7" i="115"/>
  <c r="J7" i="115"/>
  <c r="AM6" i="115"/>
  <c r="AL6" i="115"/>
  <c r="AK6" i="115"/>
  <c r="AJ6" i="115"/>
  <c r="AI6" i="115"/>
  <c r="AH6" i="115"/>
  <c r="AG6" i="115"/>
  <c r="AF6" i="115"/>
  <c r="AD6" i="115"/>
  <c r="AC6" i="115"/>
  <c r="AB6" i="115"/>
  <c r="AA6" i="115"/>
  <c r="Z6" i="115"/>
  <c r="X6" i="115"/>
  <c r="W6" i="115"/>
  <c r="V6" i="115"/>
  <c r="U6" i="115"/>
  <c r="T6" i="115"/>
  <c r="S6" i="115"/>
  <c r="R6" i="115"/>
  <c r="Q6" i="115"/>
  <c r="P6" i="115"/>
  <c r="N6" i="115"/>
  <c r="M6" i="115"/>
  <c r="L6" i="115"/>
  <c r="K6" i="115"/>
  <c r="J6" i="115"/>
  <c r="AM5" i="115"/>
  <c r="AL5" i="115"/>
  <c r="AK5" i="115"/>
  <c r="AJ5" i="115"/>
  <c r="AI5" i="115"/>
  <c r="AH5" i="115"/>
  <c r="AG5" i="115"/>
  <c r="AF5" i="115"/>
  <c r="AD5" i="115"/>
  <c r="AC5" i="115"/>
  <c r="AB5" i="115"/>
  <c r="AA5" i="115"/>
  <c r="Z5" i="115"/>
  <c r="X5" i="115"/>
  <c r="W5" i="115"/>
  <c r="V5" i="115"/>
  <c r="U5" i="115"/>
  <c r="T5" i="115"/>
  <c r="S5" i="115"/>
  <c r="R5" i="115"/>
  <c r="Q5" i="115"/>
  <c r="P5" i="115"/>
  <c r="N5" i="115"/>
  <c r="M5" i="115"/>
  <c r="L5" i="115"/>
  <c r="K5" i="115"/>
  <c r="J5" i="115"/>
  <c r="B3" i="115"/>
  <c r="C3" i="115" s="1"/>
  <c r="D3" i="115" s="1"/>
  <c r="E3" i="115" s="1"/>
  <c r="F3" i="115" s="1"/>
  <c r="G3" i="115" s="1"/>
  <c r="H3" i="115" s="1"/>
  <c r="I3" i="115" s="1"/>
  <c r="J3" i="115" s="1"/>
  <c r="K3" i="115" s="1"/>
  <c r="L3" i="115" s="1"/>
  <c r="M3" i="115" s="1"/>
  <c r="N3" i="115" s="1"/>
  <c r="O3" i="115" s="1"/>
  <c r="P3" i="115" s="1"/>
  <c r="Q3" i="115" s="1"/>
  <c r="R3" i="115" s="1"/>
  <c r="S3" i="115" s="1"/>
  <c r="T3" i="115" s="1"/>
  <c r="U3" i="115" s="1"/>
  <c r="V3" i="115" s="1"/>
  <c r="W3" i="115" s="1"/>
  <c r="X3" i="115" s="1"/>
  <c r="Y3" i="115" s="1"/>
  <c r="Z3" i="115" s="1"/>
  <c r="AA3" i="115" s="1"/>
  <c r="AB3" i="115" s="1"/>
  <c r="AC3" i="115" s="1"/>
  <c r="AD3" i="115" s="1"/>
  <c r="AE3" i="115" s="1"/>
  <c r="AF3" i="115" s="1"/>
  <c r="AG3" i="115" s="1"/>
  <c r="AH3" i="115" s="1"/>
  <c r="AI3" i="115" s="1"/>
  <c r="AJ3" i="115" s="1"/>
  <c r="AK3" i="115" s="1"/>
  <c r="AL3" i="115" s="1"/>
  <c r="AM3" i="115" s="1"/>
  <c r="C15" i="114"/>
  <c r="C14" i="114"/>
  <c r="C13" i="114"/>
  <c r="C12" i="114"/>
  <c r="C11" i="114"/>
  <c r="C10" i="114"/>
  <c r="C9" i="114"/>
  <c r="C8" i="114"/>
  <c r="C7" i="114"/>
  <c r="C6" i="114"/>
  <c r="C5" i="114"/>
  <c r="B3" i="114"/>
  <c r="C3" i="114" s="1"/>
  <c r="D3" i="114" s="1"/>
  <c r="E3" i="114" s="1"/>
  <c r="F3" i="114" s="1"/>
  <c r="G3" i="114" s="1"/>
  <c r="H3" i="114" s="1"/>
  <c r="I3" i="114" s="1"/>
  <c r="J3" i="114" s="1"/>
  <c r="K3" i="114" s="1"/>
  <c r="L3" i="114" s="1"/>
  <c r="M3" i="114" s="1"/>
  <c r="C15" i="113"/>
  <c r="C14" i="113"/>
  <c r="C13" i="113"/>
  <c r="C12" i="113"/>
  <c r="C11" i="113"/>
  <c r="C10" i="113"/>
  <c r="C9" i="113"/>
  <c r="C8" i="113"/>
  <c r="C7" i="113"/>
  <c r="C6" i="113"/>
  <c r="C5" i="113"/>
  <c r="F3" i="113"/>
  <c r="G3" i="113" s="1"/>
  <c r="H3" i="113" s="1"/>
  <c r="I3" i="113" s="1"/>
  <c r="J3" i="113" s="1"/>
  <c r="K3" i="113" s="1"/>
  <c r="B3" i="113"/>
  <c r="C3" i="113" s="1"/>
  <c r="D3" i="113" s="1"/>
  <c r="E3" i="113" s="1"/>
  <c r="BU15" i="112"/>
  <c r="BT15" i="112"/>
  <c r="BP15" i="112"/>
  <c r="BS15" i="112" s="1"/>
  <c r="BO15" i="112"/>
  <c r="BI15" i="112"/>
  <c r="AN15" i="112"/>
  <c r="AG15" i="112"/>
  <c r="E15" i="112"/>
  <c r="C15" i="112"/>
  <c r="BZ14" i="112"/>
  <c r="BW14" i="112"/>
  <c r="CA14" i="112" s="1"/>
  <c r="CB14" i="112" s="1"/>
  <c r="BV14" i="112"/>
  <c r="BS14" i="112"/>
  <c r="BP14" i="112"/>
  <c r="BT14" i="112" s="1"/>
  <c r="BO14" i="112"/>
  <c r="Z14" i="112"/>
  <c r="E14" i="112"/>
  <c r="C14" i="112"/>
  <c r="BT13" i="112"/>
  <c r="BU13" i="112" s="1"/>
  <c r="BP13" i="112"/>
  <c r="BS13" i="112" s="1"/>
  <c r="BO13" i="112"/>
  <c r="AN13" i="112"/>
  <c r="AD13" i="112"/>
  <c r="AC13" i="112"/>
  <c r="Z13" i="112"/>
  <c r="Y13" i="112"/>
  <c r="C13" i="112"/>
  <c r="AU13" i="112" s="1"/>
  <c r="BP12" i="112"/>
  <c r="BT12" i="112" s="1"/>
  <c r="BU12" i="112" s="1"/>
  <c r="BO12" i="112"/>
  <c r="BB12" i="112"/>
  <c r="E12" i="112"/>
  <c r="C12" i="112"/>
  <c r="BI12" i="112" s="1"/>
  <c r="BP11" i="112"/>
  <c r="Z11" i="112"/>
  <c r="AD11" i="112" s="1"/>
  <c r="AE11" i="112" s="1"/>
  <c r="Y11" i="112"/>
  <c r="L11" i="112"/>
  <c r="C11" i="112"/>
  <c r="BW11" i="112" s="1"/>
  <c r="BZ10" i="112"/>
  <c r="BW10" i="112"/>
  <c r="CA10" i="112" s="1"/>
  <c r="CB10" i="112" s="1"/>
  <c r="BV10" i="112"/>
  <c r="BP10" i="112"/>
  <c r="BT10" i="112" s="1"/>
  <c r="BU10" i="112" s="1"/>
  <c r="BO10" i="112"/>
  <c r="Z10" i="112"/>
  <c r="E10" i="112"/>
  <c r="C10" i="112"/>
  <c r="AG10" i="112" s="1"/>
  <c r="AN9" i="112"/>
  <c r="Z9" i="112"/>
  <c r="AD9" i="112" s="1"/>
  <c r="AE9" i="112" s="1"/>
  <c r="Y9" i="112"/>
  <c r="C9" i="112"/>
  <c r="AU9" i="112" s="1"/>
  <c r="BZ8" i="112"/>
  <c r="BW8" i="112"/>
  <c r="BV8" i="112"/>
  <c r="BP8" i="112"/>
  <c r="BT8" i="112" s="1"/>
  <c r="BU8" i="112" s="1"/>
  <c r="BO8" i="112"/>
  <c r="BB8" i="112"/>
  <c r="C8" i="112"/>
  <c r="BI8" i="112" s="1"/>
  <c r="BW7" i="112"/>
  <c r="CA7" i="112" s="1"/>
  <c r="BV7" i="112"/>
  <c r="BP7" i="112"/>
  <c r="BO7" i="112"/>
  <c r="S7" i="112"/>
  <c r="C7" i="112"/>
  <c r="BS6" i="112"/>
  <c r="BP6" i="112"/>
  <c r="BT6" i="112" s="1"/>
  <c r="BU6" i="112" s="1"/>
  <c r="BO6" i="112"/>
  <c r="AG6" i="112"/>
  <c r="E6" i="112"/>
  <c r="C6" i="112"/>
  <c r="AN6" i="112" s="1"/>
  <c r="CA5" i="112"/>
  <c r="CB5" i="112" s="1"/>
  <c r="BW5" i="112"/>
  <c r="BV5" i="112"/>
  <c r="BT5" i="112"/>
  <c r="BS5" i="112"/>
  <c r="BP5" i="112"/>
  <c r="BO5" i="112"/>
  <c r="AU5" i="112"/>
  <c r="AT5" i="112"/>
  <c r="AC5" i="112"/>
  <c r="Z5" i="112"/>
  <c r="Y5" i="112"/>
  <c r="P5" i="112"/>
  <c r="O5" i="112"/>
  <c r="L5" i="112"/>
  <c r="K5" i="112"/>
  <c r="C5" i="112"/>
  <c r="H3" i="112"/>
  <c r="I3" i="112" s="1"/>
  <c r="J3" i="112" s="1"/>
  <c r="K3" i="112" s="1"/>
  <c r="L3" i="112" s="1"/>
  <c r="M3" i="112" s="1"/>
  <c r="N3" i="112" s="1"/>
  <c r="O3" i="112" s="1"/>
  <c r="P3" i="112" s="1"/>
  <c r="Q3" i="112" s="1"/>
  <c r="R3" i="112" s="1"/>
  <c r="S3" i="112" s="1"/>
  <c r="T3" i="112" s="1"/>
  <c r="U3" i="112" s="1"/>
  <c r="V3" i="112" s="1"/>
  <c r="W3" i="112" s="1"/>
  <c r="X3" i="112" s="1"/>
  <c r="Y3" i="112" s="1"/>
  <c r="Z3" i="112" s="1"/>
  <c r="AA3" i="112" s="1"/>
  <c r="AB3" i="112" s="1"/>
  <c r="AC3" i="112" s="1"/>
  <c r="AD3" i="112" s="1"/>
  <c r="AE3" i="112" s="1"/>
  <c r="AF3" i="112" s="1"/>
  <c r="AG3" i="112" s="1"/>
  <c r="AH3" i="112" s="1"/>
  <c r="AI3" i="112" s="1"/>
  <c r="AJ3" i="112" s="1"/>
  <c r="AK3" i="112" s="1"/>
  <c r="AL3" i="112" s="1"/>
  <c r="AM3" i="112" s="1"/>
  <c r="AN3" i="112" s="1"/>
  <c r="AO3" i="112" s="1"/>
  <c r="AP3" i="112" s="1"/>
  <c r="AQ3" i="112" s="1"/>
  <c r="AR3" i="112" s="1"/>
  <c r="AS3" i="112" s="1"/>
  <c r="AT3" i="112" s="1"/>
  <c r="AU3" i="112" s="1"/>
  <c r="AV3" i="112" s="1"/>
  <c r="AW3" i="112" s="1"/>
  <c r="AX3" i="112" s="1"/>
  <c r="AY3" i="112" s="1"/>
  <c r="AZ3" i="112" s="1"/>
  <c r="BA3" i="112" s="1"/>
  <c r="BB3" i="112" s="1"/>
  <c r="BC3" i="112" s="1"/>
  <c r="BD3" i="112" s="1"/>
  <c r="BE3" i="112" s="1"/>
  <c r="BF3" i="112" s="1"/>
  <c r="BG3" i="112" s="1"/>
  <c r="BH3" i="112" s="1"/>
  <c r="BI3" i="112" s="1"/>
  <c r="BJ3" i="112" s="1"/>
  <c r="BK3" i="112" s="1"/>
  <c r="BL3" i="112" s="1"/>
  <c r="BM3" i="112" s="1"/>
  <c r="BN3" i="112" s="1"/>
  <c r="B3" i="112"/>
  <c r="C3" i="112" s="1"/>
  <c r="D3" i="112" s="1"/>
  <c r="E3" i="112" s="1"/>
  <c r="F3" i="112" s="1"/>
  <c r="G3" i="112" s="1"/>
  <c r="BT15" i="111"/>
  <c r="BS15" i="111"/>
  <c r="BP15" i="111"/>
  <c r="BO15" i="111"/>
  <c r="AU15" i="111"/>
  <c r="C15" i="111"/>
  <c r="BB15" i="111" s="1"/>
  <c r="BW14" i="111"/>
  <c r="BV14" i="111"/>
  <c r="BT14" i="111"/>
  <c r="BS14" i="111"/>
  <c r="BP14" i="111"/>
  <c r="BO14" i="111"/>
  <c r="BI14" i="111"/>
  <c r="AG14" i="111"/>
  <c r="E14" i="111"/>
  <c r="C14" i="111"/>
  <c r="BS13" i="111"/>
  <c r="BP13" i="111"/>
  <c r="BT13" i="111" s="1"/>
  <c r="BO13" i="111"/>
  <c r="AE13" i="111"/>
  <c r="AD13" i="111"/>
  <c r="AC13" i="111"/>
  <c r="Z13" i="111"/>
  <c r="Y13" i="111"/>
  <c r="S13" i="111"/>
  <c r="E13" i="111"/>
  <c r="C13" i="111"/>
  <c r="BP12" i="111"/>
  <c r="BT12" i="111" s="1"/>
  <c r="BU12" i="111" s="1"/>
  <c r="BO12" i="111"/>
  <c r="Z12" i="111"/>
  <c r="C12" i="111"/>
  <c r="BI11" i="111"/>
  <c r="AN11" i="111"/>
  <c r="AG11" i="111"/>
  <c r="AD11" i="111"/>
  <c r="AE11" i="111" s="1"/>
  <c r="AC11" i="111"/>
  <c r="Z11" i="111"/>
  <c r="Y11" i="111"/>
  <c r="L11" i="111"/>
  <c r="E11" i="111"/>
  <c r="C11" i="111"/>
  <c r="AU11" i="111" s="1"/>
  <c r="BZ10" i="111"/>
  <c r="BW10" i="111"/>
  <c r="BV10" i="111"/>
  <c r="BS10" i="111"/>
  <c r="BP10" i="111"/>
  <c r="BO10" i="111"/>
  <c r="BB10" i="111"/>
  <c r="C10" i="111"/>
  <c r="BI10" i="111" s="1"/>
  <c r="BP9" i="111"/>
  <c r="BI9" i="111"/>
  <c r="AN9" i="111"/>
  <c r="AG9" i="111"/>
  <c r="AC9" i="111"/>
  <c r="Z9" i="111"/>
  <c r="AD9" i="111" s="1"/>
  <c r="AE9" i="111" s="1"/>
  <c r="Y9" i="111"/>
  <c r="L9" i="111"/>
  <c r="E9" i="111"/>
  <c r="C9" i="111"/>
  <c r="BW9" i="111" s="1"/>
  <c r="CA8" i="111"/>
  <c r="CB8" i="111" s="1"/>
  <c r="BW8" i="111"/>
  <c r="BZ8" i="111" s="1"/>
  <c r="BV8" i="111"/>
  <c r="BT8" i="111"/>
  <c r="BU8" i="111" s="1"/>
  <c r="BS8" i="111"/>
  <c r="BP8" i="111"/>
  <c r="BO8" i="111"/>
  <c r="AU8" i="111"/>
  <c r="Z8" i="111"/>
  <c r="C8" i="111"/>
  <c r="AG8" i="111" s="1"/>
  <c r="CB7" i="111"/>
  <c r="BW7" i="111"/>
  <c r="CA7" i="111" s="1"/>
  <c r="BV7" i="111"/>
  <c r="BT7" i="111"/>
  <c r="BU7" i="111" s="1"/>
  <c r="BP7" i="111"/>
  <c r="BS7" i="111" s="1"/>
  <c r="BO7" i="111"/>
  <c r="BI7" i="111"/>
  <c r="AN7" i="111"/>
  <c r="E7" i="111"/>
  <c r="C7" i="111"/>
  <c r="AU7" i="111" s="1"/>
  <c r="BS6" i="111"/>
  <c r="BP6" i="111"/>
  <c r="BO6" i="111"/>
  <c r="BB6" i="111"/>
  <c r="C6" i="111"/>
  <c r="BI6" i="111" s="1"/>
  <c r="CA5" i="111"/>
  <c r="BW5" i="111"/>
  <c r="BZ5" i="111" s="1"/>
  <c r="BV5" i="111"/>
  <c r="BP5" i="111"/>
  <c r="BO5" i="111"/>
  <c r="AU5" i="111"/>
  <c r="AT5" i="111"/>
  <c r="AN5" i="111"/>
  <c r="AG5" i="111"/>
  <c r="AC5" i="111"/>
  <c r="Z5" i="111"/>
  <c r="AD5" i="111" s="1"/>
  <c r="AE5" i="111" s="1"/>
  <c r="Y5" i="111"/>
  <c r="L5" i="111"/>
  <c r="K5" i="111"/>
  <c r="E5" i="111"/>
  <c r="C5" i="111"/>
  <c r="CB5" i="111" s="1"/>
  <c r="B3" i="111"/>
  <c r="C3" i="111" s="1"/>
  <c r="D3" i="111" s="1"/>
  <c r="E3" i="111" s="1"/>
  <c r="F3" i="111" s="1"/>
  <c r="G3" i="111" s="1"/>
  <c r="H3" i="111" s="1"/>
  <c r="I3" i="111" s="1"/>
  <c r="J3" i="111" s="1"/>
  <c r="K3" i="111" s="1"/>
  <c r="L3" i="111" s="1"/>
  <c r="M3" i="111" s="1"/>
  <c r="N3" i="111" s="1"/>
  <c r="O3" i="111" s="1"/>
  <c r="P3" i="111" s="1"/>
  <c r="Q3" i="111" s="1"/>
  <c r="R3" i="111" s="1"/>
  <c r="S3" i="111" s="1"/>
  <c r="T3" i="111" s="1"/>
  <c r="U3" i="111" s="1"/>
  <c r="V3" i="111" s="1"/>
  <c r="W3" i="111" s="1"/>
  <c r="X3" i="111" s="1"/>
  <c r="Y3" i="111" s="1"/>
  <c r="Z3" i="111" s="1"/>
  <c r="AA3" i="111" s="1"/>
  <c r="AB3" i="111" s="1"/>
  <c r="AC3" i="111" s="1"/>
  <c r="AD3" i="111" s="1"/>
  <c r="AE3" i="111" s="1"/>
  <c r="AF3" i="111" s="1"/>
  <c r="AG3" i="111" s="1"/>
  <c r="AH3" i="111" s="1"/>
  <c r="AI3" i="111" s="1"/>
  <c r="AJ3" i="111" s="1"/>
  <c r="AK3" i="111" s="1"/>
  <c r="AL3" i="111" s="1"/>
  <c r="AM3" i="111" s="1"/>
  <c r="AN3" i="111" s="1"/>
  <c r="AO3" i="111" s="1"/>
  <c r="AP3" i="111" s="1"/>
  <c r="AQ3" i="111" s="1"/>
  <c r="AR3" i="111" s="1"/>
  <c r="AS3" i="111" s="1"/>
  <c r="AT3" i="111" s="1"/>
  <c r="AU3" i="111" s="1"/>
  <c r="AV3" i="111" s="1"/>
  <c r="AW3" i="111" s="1"/>
  <c r="AX3" i="111" s="1"/>
  <c r="AY3" i="111" s="1"/>
  <c r="AZ3" i="111" s="1"/>
  <c r="BA3" i="111" s="1"/>
  <c r="BB3" i="111" s="1"/>
  <c r="BC3" i="111" s="1"/>
  <c r="BD3" i="111" s="1"/>
  <c r="BE3" i="111" s="1"/>
  <c r="BF3" i="111" s="1"/>
  <c r="BG3" i="111" s="1"/>
  <c r="BH3" i="111" s="1"/>
  <c r="BI3" i="111" s="1"/>
  <c r="BJ3" i="111" s="1"/>
  <c r="BK3" i="111" s="1"/>
  <c r="BL3" i="111" s="1"/>
  <c r="BM3" i="111" s="1"/>
  <c r="BN3" i="111" s="1"/>
  <c r="H15" i="110"/>
  <c r="G15" i="110"/>
  <c r="F15" i="110"/>
  <c r="E15" i="110"/>
  <c r="D15" i="110"/>
  <c r="C15" i="110"/>
  <c r="H14" i="110"/>
  <c r="G14" i="110"/>
  <c r="F14" i="110"/>
  <c r="E14" i="110"/>
  <c r="D14" i="110"/>
  <c r="C14" i="110"/>
  <c r="H13" i="110"/>
  <c r="G13" i="110"/>
  <c r="F13" i="110"/>
  <c r="E13" i="110"/>
  <c r="D13" i="110"/>
  <c r="C13" i="110"/>
  <c r="H12" i="110"/>
  <c r="G12" i="110"/>
  <c r="F12" i="110"/>
  <c r="E12" i="110"/>
  <c r="D12" i="110"/>
  <c r="C12" i="110"/>
  <c r="H11" i="110"/>
  <c r="G11" i="110"/>
  <c r="F11" i="110"/>
  <c r="E11" i="110"/>
  <c r="D11" i="110"/>
  <c r="C11" i="110"/>
  <c r="H10" i="110"/>
  <c r="G10" i="110"/>
  <c r="F10" i="110"/>
  <c r="E10" i="110"/>
  <c r="D10" i="110"/>
  <c r="C10" i="110"/>
  <c r="H9" i="110"/>
  <c r="G9" i="110"/>
  <c r="F9" i="110"/>
  <c r="E9" i="110"/>
  <c r="D9" i="110"/>
  <c r="C9" i="110"/>
  <c r="H8" i="110"/>
  <c r="G8" i="110"/>
  <c r="F8" i="110"/>
  <c r="E8" i="110"/>
  <c r="D8" i="110"/>
  <c r="C8" i="110"/>
  <c r="H7" i="110"/>
  <c r="G7" i="110"/>
  <c r="F7" i="110"/>
  <c r="E7" i="110"/>
  <c r="D7" i="110"/>
  <c r="C7" i="110"/>
  <c r="H6" i="110"/>
  <c r="G6" i="110"/>
  <c r="F6" i="110"/>
  <c r="E6" i="110"/>
  <c r="D6" i="110"/>
  <c r="C6" i="110"/>
  <c r="H5" i="110"/>
  <c r="G5" i="110"/>
  <c r="F5" i="110"/>
  <c r="E5" i="110"/>
  <c r="D5" i="110"/>
  <c r="C5" i="110"/>
  <c r="B3" i="110"/>
  <c r="C3" i="110" s="1"/>
  <c r="D3" i="110" s="1"/>
  <c r="E3" i="110" s="1"/>
  <c r="F3" i="110" s="1"/>
  <c r="G3" i="110" s="1"/>
  <c r="H3" i="110" s="1"/>
  <c r="I3" i="110" s="1"/>
  <c r="J3" i="110" s="1"/>
  <c r="K3" i="110" s="1"/>
  <c r="L3" i="110" s="1"/>
  <c r="M3" i="110" s="1"/>
  <c r="N3" i="110" s="1"/>
  <c r="O3" i="110" s="1"/>
  <c r="P3" i="110" s="1"/>
  <c r="Q3" i="110" s="1"/>
  <c r="R3" i="110" s="1"/>
  <c r="S3" i="110" s="1"/>
  <c r="T3" i="110" s="1"/>
  <c r="U3" i="110" s="1"/>
  <c r="V3" i="110" s="1"/>
  <c r="W3" i="110" s="1"/>
  <c r="X3" i="110" s="1"/>
  <c r="Y3" i="110" s="1"/>
  <c r="Z3" i="110" s="1"/>
  <c r="AA3" i="110" s="1"/>
  <c r="AB3" i="110" s="1"/>
  <c r="AC3" i="110" s="1"/>
  <c r="AD3" i="110" s="1"/>
  <c r="R17" i="109"/>
  <c r="Q17" i="109"/>
  <c r="P17" i="109"/>
  <c r="O17" i="109"/>
  <c r="N17" i="109"/>
  <c r="M17" i="109"/>
  <c r="L17" i="109"/>
  <c r="K17" i="109"/>
  <c r="J17" i="109"/>
  <c r="H17" i="109"/>
  <c r="G17" i="109"/>
  <c r="F17" i="109"/>
  <c r="E17" i="109"/>
  <c r="D17" i="109"/>
  <c r="I15" i="109"/>
  <c r="C15" i="109" s="1"/>
  <c r="I14" i="109"/>
  <c r="C14" i="109"/>
  <c r="I13" i="109"/>
  <c r="C13" i="109" s="1"/>
  <c r="I12" i="109"/>
  <c r="C12" i="109"/>
  <c r="I11" i="109"/>
  <c r="C11" i="109" s="1"/>
  <c r="I10" i="109"/>
  <c r="C10" i="109"/>
  <c r="I9" i="109"/>
  <c r="C9" i="109" s="1"/>
  <c r="I8" i="109"/>
  <c r="C8" i="109"/>
  <c r="I7" i="109"/>
  <c r="C7" i="109" s="1"/>
  <c r="I6" i="109"/>
  <c r="C6" i="109"/>
  <c r="I5" i="109"/>
  <c r="I17" i="109" s="1"/>
  <c r="H3" i="109"/>
  <c r="I3" i="109" s="1"/>
  <c r="J3" i="109" s="1"/>
  <c r="K3" i="109" s="1"/>
  <c r="L3" i="109" s="1"/>
  <c r="M3" i="109" s="1"/>
  <c r="N3" i="109" s="1"/>
  <c r="O3" i="109" s="1"/>
  <c r="P3" i="109" s="1"/>
  <c r="Q3" i="109" s="1"/>
  <c r="R3" i="109" s="1"/>
  <c r="D3" i="109"/>
  <c r="E3" i="109" s="1"/>
  <c r="F3" i="109" s="1"/>
  <c r="G3" i="109" s="1"/>
  <c r="R17" i="108"/>
  <c r="Q17" i="108"/>
  <c r="AM17" i="115" s="1"/>
  <c r="P17" i="108"/>
  <c r="AL17" i="115" s="1"/>
  <c r="O17" i="108"/>
  <c r="N17" i="108"/>
  <c r="M17" i="108"/>
  <c r="AI17" i="115" s="1"/>
  <c r="L17" i="108"/>
  <c r="AH17" i="115" s="1"/>
  <c r="K17" i="108"/>
  <c r="AG17" i="115" s="1"/>
  <c r="J17" i="108"/>
  <c r="AF17" i="115" s="1"/>
  <c r="H17" i="108"/>
  <c r="AD17" i="115" s="1"/>
  <c r="G17" i="108"/>
  <c r="F17" i="108"/>
  <c r="AB17" i="115" s="1"/>
  <c r="E17" i="108"/>
  <c r="AA17" i="115" s="1"/>
  <c r="D17" i="108"/>
  <c r="Z17" i="115" s="1"/>
  <c r="I15" i="108"/>
  <c r="C15" i="108" s="1"/>
  <c r="E15" i="113" s="1"/>
  <c r="I14" i="108"/>
  <c r="AE14" i="115" s="1"/>
  <c r="C14" i="108"/>
  <c r="E14" i="113" s="1"/>
  <c r="I13" i="108"/>
  <c r="AE13" i="115" s="1"/>
  <c r="I12" i="108"/>
  <c r="AE12" i="115" s="1"/>
  <c r="C12" i="108"/>
  <c r="E12" i="113" s="1"/>
  <c r="I11" i="108"/>
  <c r="C11" i="108" s="1"/>
  <c r="E11" i="113" s="1"/>
  <c r="I10" i="108"/>
  <c r="AE10" i="115" s="1"/>
  <c r="C10" i="108"/>
  <c r="E10" i="113" s="1"/>
  <c r="I9" i="108"/>
  <c r="AE9" i="115" s="1"/>
  <c r="I8" i="108"/>
  <c r="AE8" i="115" s="1"/>
  <c r="C8" i="108"/>
  <c r="E8" i="113" s="1"/>
  <c r="I7" i="108"/>
  <c r="C7" i="108" s="1"/>
  <c r="E7" i="113" s="1"/>
  <c r="I6" i="108"/>
  <c r="AE6" i="115" s="1"/>
  <c r="C6" i="108"/>
  <c r="E6" i="113" s="1"/>
  <c r="I5" i="108"/>
  <c r="AE5" i="115" s="1"/>
  <c r="M3" i="108"/>
  <c r="N3" i="108" s="1"/>
  <c r="O3" i="108" s="1"/>
  <c r="P3" i="108" s="1"/>
  <c r="Q3" i="108" s="1"/>
  <c r="R3" i="108" s="1"/>
  <c r="E3" i="108"/>
  <c r="F3" i="108" s="1"/>
  <c r="G3" i="108" s="1"/>
  <c r="H3" i="108" s="1"/>
  <c r="I3" i="108" s="1"/>
  <c r="J3" i="108" s="1"/>
  <c r="K3" i="108" s="1"/>
  <c r="L3" i="108" s="1"/>
  <c r="D3" i="108"/>
  <c r="R17" i="107"/>
  <c r="Q17" i="107"/>
  <c r="P17" i="107"/>
  <c r="O17" i="107"/>
  <c r="N17" i="107"/>
  <c r="M17" i="107"/>
  <c r="E15" i="104" s="1"/>
  <c r="L17" i="107"/>
  <c r="E14" i="104" s="1"/>
  <c r="K17" i="107"/>
  <c r="J17" i="107"/>
  <c r="H17" i="107"/>
  <c r="G17" i="107"/>
  <c r="F17" i="107"/>
  <c r="E17" i="107"/>
  <c r="E7" i="104" s="1"/>
  <c r="D17" i="107"/>
  <c r="E6" i="104" s="1"/>
  <c r="I15" i="107"/>
  <c r="C15" i="107" s="1"/>
  <c r="I14" i="107"/>
  <c r="C14" i="107" s="1"/>
  <c r="I13" i="107"/>
  <c r="C13" i="107"/>
  <c r="I12" i="107"/>
  <c r="C12" i="107" s="1"/>
  <c r="I11" i="107"/>
  <c r="C11" i="107" s="1"/>
  <c r="I10" i="107"/>
  <c r="C10" i="107" s="1"/>
  <c r="I9" i="107"/>
  <c r="C9" i="107"/>
  <c r="I8" i="107"/>
  <c r="C8" i="107" s="1"/>
  <c r="I7" i="107"/>
  <c r="C7" i="107" s="1"/>
  <c r="I6" i="107"/>
  <c r="I5" i="107"/>
  <c r="C5" i="107"/>
  <c r="J3" i="107"/>
  <c r="K3" i="107" s="1"/>
  <c r="L3" i="107" s="1"/>
  <c r="M3" i="107" s="1"/>
  <c r="N3" i="107" s="1"/>
  <c r="O3" i="107" s="1"/>
  <c r="P3" i="107" s="1"/>
  <c r="Q3" i="107" s="1"/>
  <c r="R3" i="107" s="1"/>
  <c r="C3" i="107"/>
  <c r="D3" i="107" s="1"/>
  <c r="E3" i="107" s="1"/>
  <c r="F3" i="107" s="1"/>
  <c r="G3" i="107" s="1"/>
  <c r="H3" i="107" s="1"/>
  <c r="I3" i="107" s="1"/>
  <c r="R17" i="106"/>
  <c r="Q17" i="106"/>
  <c r="W17" i="115" s="1"/>
  <c r="P17" i="106"/>
  <c r="V17" i="115" s="1"/>
  <c r="O17" i="106"/>
  <c r="U17" i="115" s="1"/>
  <c r="N17" i="106"/>
  <c r="T17" i="115" s="1"/>
  <c r="M17" i="106"/>
  <c r="L17" i="106"/>
  <c r="K17" i="106"/>
  <c r="Q17" i="115" s="1"/>
  <c r="J17" i="106"/>
  <c r="P17" i="115" s="1"/>
  <c r="H17" i="106"/>
  <c r="N17" i="115" s="1"/>
  <c r="G17" i="106"/>
  <c r="M17" i="115" s="1"/>
  <c r="F17" i="106"/>
  <c r="L17" i="115" s="1"/>
  <c r="E17" i="106"/>
  <c r="D17" i="106"/>
  <c r="I15" i="106"/>
  <c r="I14" i="106"/>
  <c r="O14" i="115" s="1"/>
  <c r="I13" i="106"/>
  <c r="O13" i="115" s="1"/>
  <c r="I12" i="106"/>
  <c r="C12" i="106"/>
  <c r="I11" i="106"/>
  <c r="I10" i="106"/>
  <c r="O10" i="115" s="1"/>
  <c r="I9" i="106"/>
  <c r="O9" i="115" s="1"/>
  <c r="I8" i="106"/>
  <c r="C8" i="106"/>
  <c r="I7" i="106"/>
  <c r="I6" i="106"/>
  <c r="O6" i="115" s="1"/>
  <c r="I5" i="106"/>
  <c r="O5" i="115" s="1"/>
  <c r="I3" i="106"/>
  <c r="J3" i="106" s="1"/>
  <c r="K3" i="106" s="1"/>
  <c r="L3" i="106" s="1"/>
  <c r="M3" i="106" s="1"/>
  <c r="N3" i="106" s="1"/>
  <c r="O3" i="106" s="1"/>
  <c r="P3" i="106" s="1"/>
  <c r="Q3" i="106" s="1"/>
  <c r="R3" i="106" s="1"/>
  <c r="E18" i="105"/>
  <c r="E16" i="105"/>
  <c r="E15" i="105"/>
  <c r="E14" i="105"/>
  <c r="E13" i="105"/>
  <c r="E10" i="105"/>
  <c r="E8" i="105"/>
  <c r="E7" i="105"/>
  <c r="E6" i="105"/>
  <c r="D4" i="105"/>
  <c r="E4" i="105" s="1"/>
  <c r="C4" i="105"/>
  <c r="B4" i="105"/>
  <c r="E17" i="104"/>
  <c r="E16" i="104"/>
  <c r="E9" i="104"/>
  <c r="E8" i="104"/>
  <c r="B4" i="104"/>
  <c r="C4" i="104" s="1"/>
  <c r="D4" i="104" s="1"/>
  <c r="E4" i="104" s="1"/>
  <c r="B3" i="103"/>
  <c r="C3" i="103" s="1"/>
  <c r="D3" i="103" s="1"/>
  <c r="N17" i="102"/>
  <c r="T15" i="102"/>
  <c r="S15" i="102"/>
  <c r="R15" i="102"/>
  <c r="D15" i="113" s="1"/>
  <c r="Q15" i="102"/>
  <c r="P15" i="102"/>
  <c r="O15" i="102"/>
  <c r="N15" i="102"/>
  <c r="M15" i="102"/>
  <c r="L15" i="102"/>
  <c r="K15" i="102"/>
  <c r="J15" i="102"/>
  <c r="H15" i="102"/>
  <c r="G15" i="102"/>
  <c r="F15" i="102"/>
  <c r="E15" i="102"/>
  <c r="D15" i="102"/>
  <c r="T14" i="102"/>
  <c r="S14" i="102"/>
  <c r="R14" i="102"/>
  <c r="Q14" i="102"/>
  <c r="P14" i="102"/>
  <c r="O14" i="102"/>
  <c r="N14" i="102"/>
  <c r="M14" i="102"/>
  <c r="L14" i="102"/>
  <c r="K14" i="102"/>
  <c r="J14" i="102"/>
  <c r="I14" i="102"/>
  <c r="H14" i="102"/>
  <c r="G14" i="102"/>
  <c r="F14" i="102"/>
  <c r="E14" i="102"/>
  <c r="D14" i="102"/>
  <c r="T13" i="102"/>
  <c r="S13" i="102"/>
  <c r="R13" i="102"/>
  <c r="D13" i="113" s="1"/>
  <c r="Q13" i="102"/>
  <c r="P13" i="102"/>
  <c r="O13" i="102"/>
  <c r="N13" i="102"/>
  <c r="M13" i="102"/>
  <c r="L13" i="102"/>
  <c r="K13" i="102"/>
  <c r="J13" i="102"/>
  <c r="H13" i="102"/>
  <c r="G13" i="102"/>
  <c r="F13" i="102"/>
  <c r="E13" i="102"/>
  <c r="D13" i="102"/>
  <c r="T12" i="102"/>
  <c r="S12" i="102"/>
  <c r="R12" i="102"/>
  <c r="D12" i="113" s="1"/>
  <c r="F12" i="113" s="1"/>
  <c r="Q12" i="102"/>
  <c r="P12" i="102"/>
  <c r="O12" i="102"/>
  <c r="N12" i="102"/>
  <c r="M12" i="102"/>
  <c r="L12" i="102"/>
  <c r="K12" i="102"/>
  <c r="J12" i="102"/>
  <c r="H12" i="102"/>
  <c r="G12" i="102"/>
  <c r="F12" i="102"/>
  <c r="E12" i="102"/>
  <c r="D12" i="102"/>
  <c r="T11" i="102"/>
  <c r="S11" i="102"/>
  <c r="R11" i="102"/>
  <c r="D11" i="113" s="1"/>
  <c r="Q11" i="102"/>
  <c r="P11" i="102"/>
  <c r="O11" i="102"/>
  <c r="N11" i="102"/>
  <c r="M11" i="102"/>
  <c r="L11" i="102"/>
  <c r="K11" i="102"/>
  <c r="J11" i="102"/>
  <c r="I11" i="102" s="1"/>
  <c r="H11" i="102"/>
  <c r="G11" i="102"/>
  <c r="F11" i="102"/>
  <c r="E11" i="102"/>
  <c r="D11" i="102"/>
  <c r="T10" i="102"/>
  <c r="S10" i="102"/>
  <c r="R10" i="102"/>
  <c r="Q10" i="102"/>
  <c r="P10" i="102"/>
  <c r="O10" i="102"/>
  <c r="N10" i="102"/>
  <c r="M10" i="102"/>
  <c r="L10" i="102"/>
  <c r="K10" i="102"/>
  <c r="J10" i="102"/>
  <c r="I10" i="102" s="1"/>
  <c r="H10" i="102"/>
  <c r="G10" i="102"/>
  <c r="F10" i="102"/>
  <c r="E10" i="102"/>
  <c r="D10" i="102"/>
  <c r="T9" i="102"/>
  <c r="S9" i="102"/>
  <c r="R9" i="102"/>
  <c r="D9" i="113" s="1"/>
  <c r="Q9" i="102"/>
  <c r="P9" i="102"/>
  <c r="O9" i="102"/>
  <c r="N9" i="102"/>
  <c r="M9" i="102"/>
  <c r="L9" i="102"/>
  <c r="K9" i="102"/>
  <c r="J9" i="102"/>
  <c r="H9" i="102"/>
  <c r="G9" i="102"/>
  <c r="F9" i="102"/>
  <c r="E9" i="102"/>
  <c r="D9" i="102"/>
  <c r="T8" i="102"/>
  <c r="S8" i="102"/>
  <c r="R8" i="102"/>
  <c r="D8" i="113" s="1"/>
  <c r="F8" i="113" s="1"/>
  <c r="Q8" i="102"/>
  <c r="P8" i="102"/>
  <c r="O8" i="102"/>
  <c r="N8" i="102"/>
  <c r="M8" i="102"/>
  <c r="L8" i="102"/>
  <c r="K8" i="102"/>
  <c r="J8" i="102"/>
  <c r="H8" i="102"/>
  <c r="G8" i="102"/>
  <c r="F8" i="102"/>
  <c r="E8" i="102"/>
  <c r="D8" i="102"/>
  <c r="T7" i="102"/>
  <c r="S7" i="102"/>
  <c r="R7" i="102"/>
  <c r="D7" i="113" s="1"/>
  <c r="Q7" i="102"/>
  <c r="P7" i="102"/>
  <c r="O7" i="102"/>
  <c r="N7" i="102"/>
  <c r="M7" i="102"/>
  <c r="M17" i="102" s="1"/>
  <c r="B25" i="99" s="1"/>
  <c r="C25" i="99" s="1"/>
  <c r="L7" i="102"/>
  <c r="K7" i="102"/>
  <c r="J7" i="102"/>
  <c r="H7" i="102"/>
  <c r="G7" i="102"/>
  <c r="F7" i="102"/>
  <c r="E7" i="102"/>
  <c r="E17" i="102" s="1"/>
  <c r="D7" i="102"/>
  <c r="T6" i="102"/>
  <c r="S6" i="102"/>
  <c r="R6" i="102"/>
  <c r="Q6" i="102"/>
  <c r="P6" i="102"/>
  <c r="O6" i="102"/>
  <c r="N6" i="102"/>
  <c r="M6" i="102"/>
  <c r="L6" i="102"/>
  <c r="K6" i="102"/>
  <c r="J6" i="102"/>
  <c r="H6" i="102"/>
  <c r="G6" i="102"/>
  <c r="F6" i="102"/>
  <c r="E6" i="102"/>
  <c r="D6" i="102"/>
  <c r="T5" i="102"/>
  <c r="S5" i="102"/>
  <c r="R5" i="102"/>
  <c r="Q5" i="102"/>
  <c r="P5" i="102"/>
  <c r="P17" i="102" s="1"/>
  <c r="O5" i="102"/>
  <c r="N5" i="102"/>
  <c r="M5" i="102"/>
  <c r="L5" i="102"/>
  <c r="I5" i="102" s="1"/>
  <c r="K5" i="102"/>
  <c r="J5" i="102"/>
  <c r="H5" i="102"/>
  <c r="H17" i="102" s="1"/>
  <c r="E5" i="102"/>
  <c r="D5" i="102"/>
  <c r="D17" i="102" s="1"/>
  <c r="B3" i="102"/>
  <c r="C3" i="102" s="1"/>
  <c r="D3" i="102" s="1"/>
  <c r="E3" i="102" s="1"/>
  <c r="F3" i="102" s="1"/>
  <c r="G3" i="102" s="1"/>
  <c r="H3" i="102" s="1"/>
  <c r="I3" i="102" s="1"/>
  <c r="J3" i="102" s="1"/>
  <c r="K3" i="102" s="1"/>
  <c r="L3" i="102" s="1"/>
  <c r="M3" i="102" s="1"/>
  <c r="N3" i="102" s="1"/>
  <c r="O3" i="102" s="1"/>
  <c r="P3" i="102" s="1"/>
  <c r="Q3" i="102" s="1"/>
  <c r="R3" i="102" s="1"/>
  <c r="S3" i="102" s="1"/>
  <c r="T3" i="102" s="1"/>
  <c r="U3" i="102" s="1"/>
  <c r="R17" i="101"/>
  <c r="Q17" i="101"/>
  <c r="P17" i="101"/>
  <c r="O17" i="101"/>
  <c r="N17" i="101"/>
  <c r="M17" i="101"/>
  <c r="L17" i="101"/>
  <c r="K17" i="101"/>
  <c r="J17" i="101"/>
  <c r="H17" i="101"/>
  <c r="G17" i="101"/>
  <c r="F17" i="101"/>
  <c r="E17" i="101"/>
  <c r="D17" i="101"/>
  <c r="I15" i="101"/>
  <c r="C15" i="101" s="1"/>
  <c r="I14" i="101"/>
  <c r="C14" i="101"/>
  <c r="I13" i="101"/>
  <c r="C13" i="101" s="1"/>
  <c r="I12" i="101"/>
  <c r="C12" i="101"/>
  <c r="I11" i="101"/>
  <c r="C11" i="101" s="1"/>
  <c r="I10" i="101"/>
  <c r="C10" i="101" s="1"/>
  <c r="I9" i="101"/>
  <c r="C9" i="101"/>
  <c r="I8" i="101"/>
  <c r="C8" i="101"/>
  <c r="I7" i="101"/>
  <c r="C7" i="101" s="1"/>
  <c r="I6" i="101"/>
  <c r="C6" i="101"/>
  <c r="I5" i="101"/>
  <c r="C5" i="101"/>
  <c r="C17" i="101" s="1"/>
  <c r="L3" i="101"/>
  <c r="M3" i="101" s="1"/>
  <c r="N3" i="101" s="1"/>
  <c r="O3" i="101" s="1"/>
  <c r="P3" i="101" s="1"/>
  <c r="Q3" i="101" s="1"/>
  <c r="R3" i="101" s="1"/>
  <c r="S3" i="101" s="1"/>
  <c r="T3" i="101" s="1"/>
  <c r="U3" i="101" s="1"/>
  <c r="G3" i="101"/>
  <c r="H3" i="101" s="1"/>
  <c r="I3" i="101" s="1"/>
  <c r="J3" i="101" s="1"/>
  <c r="K3" i="101" s="1"/>
  <c r="F3" i="101"/>
  <c r="D3" i="101"/>
  <c r="E3" i="101" s="1"/>
  <c r="C3" i="101"/>
  <c r="B3" i="101"/>
  <c r="W17" i="100"/>
  <c r="T17" i="100"/>
  <c r="S17" i="100"/>
  <c r="R17" i="100"/>
  <c r="Q17" i="100"/>
  <c r="P17" i="100"/>
  <c r="O17" i="100"/>
  <c r="N17" i="100"/>
  <c r="M17" i="100"/>
  <c r="L17" i="100"/>
  <c r="K17" i="100"/>
  <c r="J17" i="100"/>
  <c r="H17" i="100"/>
  <c r="F17" i="100"/>
  <c r="E17" i="100"/>
  <c r="D17" i="100"/>
  <c r="V15" i="100"/>
  <c r="T15" i="116" s="1"/>
  <c r="I15" i="100"/>
  <c r="C15" i="100" s="1"/>
  <c r="I14" i="100"/>
  <c r="C14" i="100" s="1"/>
  <c r="V14" i="100" s="1"/>
  <c r="T14" i="116" s="1"/>
  <c r="I13" i="100"/>
  <c r="C13" i="100" s="1"/>
  <c r="V13" i="100" s="1"/>
  <c r="T13" i="116" s="1"/>
  <c r="I12" i="100"/>
  <c r="C12" i="100" s="1"/>
  <c r="V12" i="100" s="1"/>
  <c r="T12" i="116" s="1"/>
  <c r="I11" i="100"/>
  <c r="C11" i="100" s="1"/>
  <c r="V11" i="100" s="1"/>
  <c r="T11" i="116" s="1"/>
  <c r="I10" i="100"/>
  <c r="C10" i="100" s="1"/>
  <c r="V10" i="100" s="1"/>
  <c r="T10" i="116" s="1"/>
  <c r="I9" i="100"/>
  <c r="C9" i="100"/>
  <c r="V9" i="100" s="1"/>
  <c r="T9" i="116" s="1"/>
  <c r="I8" i="100"/>
  <c r="C8" i="100" s="1"/>
  <c r="V8" i="100" s="1"/>
  <c r="T8" i="116" s="1"/>
  <c r="I7" i="100"/>
  <c r="C7" i="100" s="1"/>
  <c r="V7" i="100" s="1"/>
  <c r="T7" i="116" s="1"/>
  <c r="I6" i="100"/>
  <c r="C6" i="100"/>
  <c r="V6" i="100" s="1"/>
  <c r="T6" i="116" s="1"/>
  <c r="I5" i="100"/>
  <c r="G5" i="100"/>
  <c r="F5" i="100"/>
  <c r="C3" i="100"/>
  <c r="D3" i="100" s="1"/>
  <c r="E3" i="100" s="1"/>
  <c r="F3" i="100" s="1"/>
  <c r="G3" i="100" s="1"/>
  <c r="H3" i="100" s="1"/>
  <c r="I3" i="100" s="1"/>
  <c r="J3" i="100" s="1"/>
  <c r="K3" i="100" s="1"/>
  <c r="L3" i="100" s="1"/>
  <c r="M3" i="100" s="1"/>
  <c r="N3" i="100" s="1"/>
  <c r="O3" i="100" s="1"/>
  <c r="P3" i="100" s="1"/>
  <c r="Q3" i="100" s="1"/>
  <c r="R3" i="100" s="1"/>
  <c r="S3" i="100" s="1"/>
  <c r="T3" i="100" s="1"/>
  <c r="U3" i="100" s="1"/>
  <c r="V3" i="100" s="1"/>
  <c r="W3" i="100" s="1"/>
  <c r="X3" i="100" s="1"/>
  <c r="Y3" i="100" s="1"/>
  <c r="B3" i="100"/>
  <c r="C5" i="99"/>
  <c r="B5" i="99"/>
  <c r="B4" i="99"/>
  <c r="C4" i="99" s="1"/>
  <c r="S17" i="98"/>
  <c r="AM15" i="98"/>
  <c r="W15" i="98"/>
  <c r="C15" i="98"/>
  <c r="AM14" i="98"/>
  <c r="X14" i="98"/>
  <c r="W14" i="98"/>
  <c r="C14" i="98"/>
  <c r="AM13" i="98"/>
  <c r="AE13" i="98"/>
  <c r="W13" i="98"/>
  <c r="O13" i="98"/>
  <c r="C13" i="98"/>
  <c r="AM12" i="98"/>
  <c r="W12" i="98"/>
  <c r="C12" i="98"/>
  <c r="AE11" i="98"/>
  <c r="O11" i="98"/>
  <c r="C11" i="98"/>
  <c r="X10" i="98"/>
  <c r="W10" i="98"/>
  <c r="C10" i="98"/>
  <c r="AE9" i="98"/>
  <c r="O9" i="98"/>
  <c r="C9" i="98"/>
  <c r="AN8" i="98"/>
  <c r="AM8" i="98"/>
  <c r="W8" i="98"/>
  <c r="C8" i="98"/>
  <c r="AN7" i="98"/>
  <c r="AM7" i="98"/>
  <c r="X7" i="98"/>
  <c r="C7" i="98"/>
  <c r="W6" i="98"/>
  <c r="C6" i="98"/>
  <c r="AN5" i="98"/>
  <c r="AE5" i="98"/>
  <c r="X5" i="98"/>
  <c r="W5" i="98"/>
  <c r="M5" i="98"/>
  <c r="C5" i="98"/>
  <c r="H3" i="98"/>
  <c r="I3" i="98" s="1"/>
  <c r="J3" i="98" s="1"/>
  <c r="K3" i="98" s="1"/>
  <c r="L3" i="98" s="1"/>
  <c r="M3" i="98" s="1"/>
  <c r="N3" i="98" s="1"/>
  <c r="O3" i="98" s="1"/>
  <c r="P3" i="98" s="1"/>
  <c r="Q3" i="98" s="1"/>
  <c r="R3" i="98" s="1"/>
  <c r="S3" i="98" s="1"/>
  <c r="T3" i="98" s="1"/>
  <c r="U3" i="98" s="1"/>
  <c r="V3" i="98" s="1"/>
  <c r="W3" i="98" s="1"/>
  <c r="X3" i="98" s="1"/>
  <c r="Y3" i="98" s="1"/>
  <c r="Z3" i="98" s="1"/>
  <c r="AA3" i="98" s="1"/>
  <c r="AB3" i="98" s="1"/>
  <c r="AC3" i="98" s="1"/>
  <c r="AD3" i="98" s="1"/>
  <c r="AE3" i="98" s="1"/>
  <c r="AF3" i="98" s="1"/>
  <c r="AG3" i="98" s="1"/>
  <c r="AH3" i="98" s="1"/>
  <c r="AI3" i="98" s="1"/>
  <c r="AJ3" i="98" s="1"/>
  <c r="AK3" i="98" s="1"/>
  <c r="AL3" i="98" s="1"/>
  <c r="AM3" i="98" s="1"/>
  <c r="AN3" i="98" s="1"/>
  <c r="AO3" i="98" s="1"/>
  <c r="AP3" i="98" s="1"/>
  <c r="AQ3" i="98" s="1"/>
  <c r="AR3" i="98" s="1"/>
  <c r="AS3" i="98" s="1"/>
  <c r="AT3" i="98" s="1"/>
  <c r="AU3" i="98" s="1"/>
  <c r="AV3" i="98" s="1"/>
  <c r="E3" i="98"/>
  <c r="F3" i="98" s="1"/>
  <c r="G3" i="98" s="1"/>
  <c r="D3" i="98"/>
  <c r="C3" i="98"/>
  <c r="B3" i="98"/>
  <c r="B3" i="97"/>
  <c r="C7" i="104" l="1"/>
  <c r="C7" i="105"/>
  <c r="B6" i="99"/>
  <c r="BO3" i="111"/>
  <c r="BP3" i="111" s="1"/>
  <c r="BQ3" i="111" s="1"/>
  <c r="BR3" i="111" s="1"/>
  <c r="BS3" i="111"/>
  <c r="BT3" i="111" s="1"/>
  <c r="BU3" i="111" s="1"/>
  <c r="BV3" i="111" s="1"/>
  <c r="BW3" i="111" s="1"/>
  <c r="BX3" i="111" s="1"/>
  <c r="BY3" i="111" s="1"/>
  <c r="BZ3" i="111" s="1"/>
  <c r="CA3" i="111" s="1"/>
  <c r="CB3" i="111" s="1"/>
  <c r="CC3" i="111" s="1"/>
  <c r="CD3" i="111" s="1"/>
  <c r="CE3" i="111" s="1"/>
  <c r="B17" i="105"/>
  <c r="D17" i="105" s="1"/>
  <c r="B15" i="105"/>
  <c r="D15" i="105" s="1"/>
  <c r="B13" i="105"/>
  <c r="D13" i="105" s="1"/>
  <c r="B9" i="105"/>
  <c r="D9" i="105" s="1"/>
  <c r="B7" i="105"/>
  <c r="D7" i="105" s="1"/>
  <c r="B17" i="104"/>
  <c r="D17" i="104" s="1"/>
  <c r="B15" i="104"/>
  <c r="D15" i="104" s="1"/>
  <c r="B13" i="104"/>
  <c r="B9" i="104"/>
  <c r="D9" i="104" s="1"/>
  <c r="B7" i="104"/>
  <c r="D7" i="104" s="1"/>
  <c r="B18" i="105"/>
  <c r="D18" i="105" s="1"/>
  <c r="B16" i="105"/>
  <c r="D16" i="105" s="1"/>
  <c r="B14" i="105"/>
  <c r="D14" i="105" s="1"/>
  <c r="B10" i="105"/>
  <c r="D10" i="105" s="1"/>
  <c r="B6" i="105"/>
  <c r="D6" i="105" s="1"/>
  <c r="B14" i="104"/>
  <c r="D14" i="104" s="1"/>
  <c r="B6" i="104"/>
  <c r="D6" i="104" s="1"/>
  <c r="B18" i="104"/>
  <c r="B10" i="104"/>
  <c r="B16" i="104"/>
  <c r="D16" i="104" s="1"/>
  <c r="C16" i="104"/>
  <c r="O11" i="115"/>
  <c r="C11" i="106"/>
  <c r="J13" i="110"/>
  <c r="J9" i="110"/>
  <c r="J5" i="110"/>
  <c r="J15" i="110"/>
  <c r="J11" i="110"/>
  <c r="J7" i="110"/>
  <c r="C18" i="105"/>
  <c r="C18" i="104"/>
  <c r="B28" i="99"/>
  <c r="C28" i="99" s="1"/>
  <c r="C10" i="105"/>
  <c r="C10" i="104"/>
  <c r="B9" i="99"/>
  <c r="C9" i="99" s="1"/>
  <c r="I17" i="100"/>
  <c r="I6" i="102"/>
  <c r="I17" i="102" s="1"/>
  <c r="B13" i="99" s="1"/>
  <c r="C6" i="104"/>
  <c r="C15" i="104"/>
  <c r="C15" i="105"/>
  <c r="Q17" i="102"/>
  <c r="C11" i="102"/>
  <c r="I17" i="107"/>
  <c r="AC17" i="115"/>
  <c r="E9" i="105"/>
  <c r="V10" i="110"/>
  <c r="F5" i="102"/>
  <c r="C5" i="100"/>
  <c r="J17" i="102"/>
  <c r="D5" i="113"/>
  <c r="R17" i="102"/>
  <c r="B14" i="99" s="1"/>
  <c r="C14" i="99" s="1"/>
  <c r="C17" i="110"/>
  <c r="G12" i="114"/>
  <c r="G8" i="114"/>
  <c r="G5" i="102"/>
  <c r="G17" i="102" s="1"/>
  <c r="G17" i="100"/>
  <c r="K17" i="102"/>
  <c r="S17" i="102"/>
  <c r="B15" i="99" s="1"/>
  <c r="C15" i="99" s="1"/>
  <c r="D6" i="113"/>
  <c r="F6" i="113" s="1"/>
  <c r="C6" i="102"/>
  <c r="I7" i="102"/>
  <c r="O7" i="115"/>
  <c r="C7" i="106"/>
  <c r="X17" i="115"/>
  <c r="E20" i="104"/>
  <c r="V14" i="110"/>
  <c r="AK17" i="115"/>
  <c r="E17" i="105"/>
  <c r="E13" i="114"/>
  <c r="L17" i="102"/>
  <c r="T17" i="102"/>
  <c r="B16" i="99" s="1"/>
  <c r="C16" i="99" s="1"/>
  <c r="I8" i="102"/>
  <c r="C8" i="102" s="1"/>
  <c r="I9" i="102"/>
  <c r="C9" i="102" s="1"/>
  <c r="E5" i="114"/>
  <c r="D10" i="113"/>
  <c r="F10" i="113" s="1"/>
  <c r="C10" i="102"/>
  <c r="C16" i="105"/>
  <c r="B26" i="99"/>
  <c r="C26" i="99" s="1"/>
  <c r="O15" i="115"/>
  <c r="C15" i="106"/>
  <c r="J8" i="110"/>
  <c r="C6" i="105"/>
  <c r="I12" i="102"/>
  <c r="C12" i="102" s="1"/>
  <c r="E9" i="114"/>
  <c r="BS3" i="112"/>
  <c r="BT3" i="112" s="1"/>
  <c r="BU3" i="112" s="1"/>
  <c r="BV3" i="112" s="1"/>
  <c r="BW3" i="112" s="1"/>
  <c r="BX3" i="112" s="1"/>
  <c r="BY3" i="112" s="1"/>
  <c r="BZ3" i="112" s="1"/>
  <c r="CA3" i="112" s="1"/>
  <c r="CB3" i="112" s="1"/>
  <c r="CC3" i="112" s="1"/>
  <c r="CD3" i="112" s="1"/>
  <c r="CE3" i="112" s="1"/>
  <c r="BO3" i="112"/>
  <c r="BP3" i="112" s="1"/>
  <c r="BQ3" i="112" s="1"/>
  <c r="BR3" i="112" s="1"/>
  <c r="I17" i="101"/>
  <c r="O17" i="102"/>
  <c r="C7" i="102"/>
  <c r="I13" i="102"/>
  <c r="C13" i="102" s="1"/>
  <c r="D14" i="113"/>
  <c r="F14" i="113" s="1"/>
  <c r="C14" i="102"/>
  <c r="I15" i="102"/>
  <c r="C15" i="102" s="1"/>
  <c r="V6" i="110"/>
  <c r="J12" i="110"/>
  <c r="F5" i="114"/>
  <c r="D6" i="114"/>
  <c r="I6" i="114" s="1"/>
  <c r="H8" i="114"/>
  <c r="F9" i="114"/>
  <c r="D10" i="114"/>
  <c r="I10" i="114" s="1"/>
  <c r="H12" i="114"/>
  <c r="F13" i="114"/>
  <c r="D14" i="114"/>
  <c r="I14" i="114" s="1"/>
  <c r="BP17" i="111"/>
  <c r="BT5" i="111"/>
  <c r="BS5" i="111"/>
  <c r="D10" i="104"/>
  <c r="D18" i="104"/>
  <c r="O8" i="115"/>
  <c r="O12" i="115"/>
  <c r="J17" i="115"/>
  <c r="R17" i="115"/>
  <c r="I17" i="108"/>
  <c r="G5" i="114"/>
  <c r="E6" i="114"/>
  <c r="G9" i="114"/>
  <c r="E10" i="114"/>
  <c r="G13" i="114"/>
  <c r="E14" i="114"/>
  <c r="F7" i="113"/>
  <c r="F11" i="113"/>
  <c r="F15" i="113"/>
  <c r="E10" i="104"/>
  <c r="E18" i="104"/>
  <c r="C5" i="106"/>
  <c r="C9" i="106"/>
  <c r="C13" i="106"/>
  <c r="K17" i="115"/>
  <c r="S17" i="115"/>
  <c r="C6" i="107"/>
  <c r="C17" i="107" s="1"/>
  <c r="AE7" i="115"/>
  <c r="AE11" i="115"/>
  <c r="AE15" i="115"/>
  <c r="C5" i="109"/>
  <c r="C17" i="109" s="1"/>
  <c r="H5" i="114"/>
  <c r="F6" i="114"/>
  <c r="D7" i="114"/>
  <c r="I7" i="114" s="1"/>
  <c r="H9" i="114"/>
  <c r="F10" i="114"/>
  <c r="D11" i="114"/>
  <c r="I11" i="114" s="1"/>
  <c r="H13" i="114"/>
  <c r="F14" i="114"/>
  <c r="D15" i="114"/>
  <c r="I15" i="114" s="1"/>
  <c r="G6" i="114"/>
  <c r="E7" i="114"/>
  <c r="G10" i="114"/>
  <c r="E11" i="114"/>
  <c r="G14" i="114"/>
  <c r="E15" i="114"/>
  <c r="C6" i="106"/>
  <c r="C10" i="106"/>
  <c r="C14" i="106"/>
  <c r="H6" i="114"/>
  <c r="F7" i="114"/>
  <c r="D8" i="114"/>
  <c r="I8" i="114" s="1"/>
  <c r="H10" i="114"/>
  <c r="F11" i="114"/>
  <c r="D12" i="114"/>
  <c r="I12" i="114" s="1"/>
  <c r="H14" i="114"/>
  <c r="F15" i="114"/>
  <c r="P5" i="111"/>
  <c r="O5" i="111"/>
  <c r="D13" i="104"/>
  <c r="C5" i="108"/>
  <c r="C9" i="108"/>
  <c r="E9" i="113" s="1"/>
  <c r="C13" i="108"/>
  <c r="E13" i="113" s="1"/>
  <c r="J6" i="110"/>
  <c r="G7" i="114"/>
  <c r="E8" i="114"/>
  <c r="V8" i="110"/>
  <c r="J10" i="110"/>
  <c r="G11" i="114"/>
  <c r="E12" i="114"/>
  <c r="V12" i="110"/>
  <c r="J14" i="110"/>
  <c r="G15" i="114"/>
  <c r="F9" i="113"/>
  <c r="F13" i="113"/>
  <c r="E13" i="104"/>
  <c r="I17" i="106"/>
  <c r="AJ17" i="115"/>
  <c r="D5" i="114"/>
  <c r="I5" i="114" s="1"/>
  <c r="H7" i="114"/>
  <c r="F8" i="114"/>
  <c r="D9" i="114"/>
  <c r="I9" i="114" s="1"/>
  <c r="H11" i="114"/>
  <c r="F12" i="114"/>
  <c r="D13" i="114"/>
  <c r="I13" i="114" s="1"/>
  <c r="H15" i="114"/>
  <c r="BQ9" i="111"/>
  <c r="BI5" i="111"/>
  <c r="AM6" i="111"/>
  <c r="AU6" i="111"/>
  <c r="AG7" i="111"/>
  <c r="AH7" i="111" s="1"/>
  <c r="S8" i="111"/>
  <c r="AM10" i="111"/>
  <c r="AU10" i="111"/>
  <c r="CA10" i="111"/>
  <c r="AN12" i="111"/>
  <c r="BB12" i="111"/>
  <c r="S12" i="111"/>
  <c r="BA12" i="111"/>
  <c r="BW12" i="111"/>
  <c r="BB5" i="111"/>
  <c r="AN6" i="111"/>
  <c r="BT6" i="111"/>
  <c r="Z7" i="111"/>
  <c r="L8" i="111"/>
  <c r="BB9" i="111"/>
  <c r="AN10" i="111"/>
  <c r="BT10" i="111"/>
  <c r="L12" i="111"/>
  <c r="BU13" i="111"/>
  <c r="AU17" i="111"/>
  <c r="AG6" i="111"/>
  <c r="AG17" i="111" s="1"/>
  <c r="K7" i="111"/>
  <c r="S7" i="111"/>
  <c r="E8" i="111"/>
  <c r="F8" i="111" s="1"/>
  <c r="BI8" i="111"/>
  <c r="AU9" i="111"/>
  <c r="AG10" i="111"/>
  <c r="S11" i="111"/>
  <c r="BW11" i="111"/>
  <c r="E12" i="111"/>
  <c r="Z6" i="111"/>
  <c r="L7" i="111"/>
  <c r="BB8" i="111"/>
  <c r="Z10" i="111"/>
  <c r="BH11" i="111"/>
  <c r="BP11" i="111"/>
  <c r="AU12" i="111"/>
  <c r="BV13" i="111"/>
  <c r="AG13" i="111"/>
  <c r="AN13" i="111"/>
  <c r="BB13" i="111"/>
  <c r="BI13" i="111"/>
  <c r="BA13" i="111"/>
  <c r="L13" i="111"/>
  <c r="AU13" i="111"/>
  <c r="BW13" i="111"/>
  <c r="AY5" i="112"/>
  <c r="AX5" i="112"/>
  <c r="BI7" i="112"/>
  <c r="Z7" i="112"/>
  <c r="R7" i="112"/>
  <c r="AG7" i="112"/>
  <c r="Y7" i="112"/>
  <c r="AN7" i="112"/>
  <c r="AF7" i="112"/>
  <c r="AU7" i="112"/>
  <c r="BB7" i="112"/>
  <c r="AT7" i="112"/>
  <c r="E7" i="112"/>
  <c r="L7" i="112"/>
  <c r="L17" i="112" s="1"/>
  <c r="D7" i="112"/>
  <c r="S6" i="111"/>
  <c r="BW6" i="111"/>
  <c r="S10" i="111"/>
  <c r="AV15" i="111"/>
  <c r="AX5" i="111"/>
  <c r="L6" i="111"/>
  <c r="L17" i="111" s="1"/>
  <c r="BB7" i="111"/>
  <c r="BZ7" i="111"/>
  <c r="AF8" i="111"/>
  <c r="AN8" i="111"/>
  <c r="L10" i="111"/>
  <c r="BB11" i="111"/>
  <c r="AF12" i="111"/>
  <c r="BS12" i="111"/>
  <c r="C17" i="111"/>
  <c r="AM5" i="111" s="1"/>
  <c r="S5" i="111"/>
  <c r="AY5" i="111"/>
  <c r="E6" i="111"/>
  <c r="S9" i="111"/>
  <c r="BO9" i="111"/>
  <c r="E10" i="111"/>
  <c r="E17" i="111" s="1"/>
  <c r="AG12" i="111"/>
  <c r="BI12" i="111"/>
  <c r="BB14" i="111"/>
  <c r="BZ14" i="111"/>
  <c r="AN15" i="111"/>
  <c r="AF5" i="112"/>
  <c r="AN5" i="112"/>
  <c r="Z6" i="112"/>
  <c r="BV6" i="112"/>
  <c r="AU14" i="111"/>
  <c r="CA14" i="111"/>
  <c r="AG15" i="111"/>
  <c r="AH15" i="111" s="1"/>
  <c r="BU15" i="111"/>
  <c r="Q5" i="112"/>
  <c r="AG5" i="112"/>
  <c r="BU5" i="112"/>
  <c r="S6" i="112"/>
  <c r="BW6" i="112"/>
  <c r="BW17" i="112" s="1"/>
  <c r="BS7" i="112"/>
  <c r="C5" i="116"/>
  <c r="C17" i="116" s="1"/>
  <c r="F17" i="116"/>
  <c r="F5" i="117"/>
  <c r="F17" i="117" s="1"/>
  <c r="AN14" i="111"/>
  <c r="Z15" i="111"/>
  <c r="D6" i="112"/>
  <c r="L6" i="112"/>
  <c r="BT7" i="112"/>
  <c r="BU14" i="111"/>
  <c r="K15" i="111"/>
  <c r="S15" i="111"/>
  <c r="BW15" i="111"/>
  <c r="C17" i="112"/>
  <c r="BA7" i="112" s="1"/>
  <c r="S5" i="112"/>
  <c r="BA6" i="112"/>
  <c r="BI6" i="112"/>
  <c r="Z14" i="111"/>
  <c r="D15" i="111"/>
  <c r="L15" i="111"/>
  <c r="M15" i="111" s="1"/>
  <c r="D5" i="112"/>
  <c r="BH5" i="112"/>
  <c r="AT6" i="112"/>
  <c r="BB6" i="112"/>
  <c r="CB7" i="112"/>
  <c r="S14" i="111"/>
  <c r="E15" i="111"/>
  <c r="BI15" i="111"/>
  <c r="E5" i="112"/>
  <c r="BI5" i="112"/>
  <c r="AM6" i="112"/>
  <c r="AU6" i="112"/>
  <c r="AU17" i="112" s="1"/>
  <c r="D14" i="111"/>
  <c r="L14" i="111"/>
  <c r="M14" i="111" s="1"/>
  <c r="AD5" i="112"/>
  <c r="BB5" i="112"/>
  <c r="BZ5" i="112"/>
  <c r="AF6" i="112"/>
  <c r="AM8" i="112"/>
  <c r="AU8" i="112"/>
  <c r="BS8" i="112"/>
  <c r="CA8" i="112"/>
  <c r="AG9" i="112"/>
  <c r="K10" i="112"/>
  <c r="S10" i="112"/>
  <c r="E11" i="112"/>
  <c r="AC11" i="112"/>
  <c r="BA11" i="112"/>
  <c r="BI11" i="112"/>
  <c r="AM12" i="112"/>
  <c r="AU12" i="112"/>
  <c r="BS12" i="112"/>
  <c r="AG13" i="112"/>
  <c r="BI14" i="112"/>
  <c r="BH14" i="112"/>
  <c r="K14" i="112"/>
  <c r="S14" i="112"/>
  <c r="C17" i="114"/>
  <c r="I11" i="117"/>
  <c r="C11" i="117" s="1"/>
  <c r="C8" i="117"/>
  <c r="BZ7" i="112"/>
  <c r="AF8" i="112"/>
  <c r="AN8" i="112"/>
  <c r="BV9" i="112"/>
  <c r="L10" i="112"/>
  <c r="BH10" i="112"/>
  <c r="AT11" i="112"/>
  <c r="BB11" i="112"/>
  <c r="AN12" i="112"/>
  <c r="R13" i="112"/>
  <c r="BV13" i="112"/>
  <c r="L14" i="112"/>
  <c r="M14" i="112" s="1"/>
  <c r="BV15" i="112"/>
  <c r="C17" i="113"/>
  <c r="I5" i="117"/>
  <c r="Y8" i="112"/>
  <c r="AG8" i="112"/>
  <c r="K9" i="112"/>
  <c r="S9" i="112"/>
  <c r="BO9" i="112"/>
  <c r="BO17" i="112" s="1"/>
  <c r="BW9" i="112"/>
  <c r="BA10" i="112"/>
  <c r="BI10" i="112"/>
  <c r="AM11" i="112"/>
  <c r="AU11" i="112"/>
  <c r="AG12" i="112"/>
  <c r="K13" i="112"/>
  <c r="S13" i="112"/>
  <c r="BW13" i="112"/>
  <c r="BA14" i="112"/>
  <c r="BU14" i="112"/>
  <c r="U17" i="116"/>
  <c r="I15" i="117"/>
  <c r="C15" i="117"/>
  <c r="Z8" i="112"/>
  <c r="D9" i="112"/>
  <c r="L9" i="112"/>
  <c r="BH9" i="112"/>
  <c r="BP9" i="112"/>
  <c r="BP17" i="112" s="1"/>
  <c r="AT10" i="112"/>
  <c r="BB10" i="112"/>
  <c r="AN11" i="112"/>
  <c r="Z12" i="112"/>
  <c r="BV12" i="112"/>
  <c r="D13" i="112"/>
  <c r="L13" i="112"/>
  <c r="M13" i="112" s="1"/>
  <c r="BH13" i="112"/>
  <c r="AT14" i="112"/>
  <c r="BB14" i="112"/>
  <c r="I9" i="117"/>
  <c r="C9" i="117" s="1"/>
  <c r="K8" i="112"/>
  <c r="S8" i="112"/>
  <c r="E9" i="112"/>
  <c r="AC9" i="112"/>
  <c r="BA9" i="112"/>
  <c r="BI9" i="112"/>
  <c r="AM10" i="112"/>
  <c r="AU10" i="112"/>
  <c r="BS10" i="112"/>
  <c r="AG11" i="112"/>
  <c r="K12" i="112"/>
  <c r="S12" i="112"/>
  <c r="BW12" i="112"/>
  <c r="E13" i="112"/>
  <c r="BA13" i="112"/>
  <c r="BI13" i="112"/>
  <c r="AM14" i="112"/>
  <c r="AU14" i="112"/>
  <c r="C6" i="117"/>
  <c r="C10" i="117"/>
  <c r="D8" i="112"/>
  <c r="L8" i="112"/>
  <c r="M8" i="112" s="1"/>
  <c r="BH8" i="112"/>
  <c r="AT9" i="112"/>
  <c r="BB9" i="112"/>
  <c r="AF10" i="112"/>
  <c r="AN10" i="112"/>
  <c r="R11" i="112"/>
  <c r="BV11" i="112"/>
  <c r="BV17" i="112" s="1"/>
  <c r="D12" i="112"/>
  <c r="L12" i="112"/>
  <c r="BH12" i="112"/>
  <c r="AT13" i="112"/>
  <c r="BB13" i="112"/>
  <c r="AF14" i="112"/>
  <c r="AN14" i="112"/>
  <c r="I13" i="117"/>
  <c r="E8" i="112"/>
  <c r="BA8" i="112"/>
  <c r="AM9" i="112"/>
  <c r="K11" i="112"/>
  <c r="S11" i="112"/>
  <c r="BO11" i="112"/>
  <c r="BA12" i="112"/>
  <c r="AE13" i="112"/>
  <c r="AM13" i="112"/>
  <c r="Y14" i="112"/>
  <c r="AG14" i="112"/>
  <c r="I7" i="117"/>
  <c r="C7" i="117" s="1"/>
  <c r="C13" i="117"/>
  <c r="R17" i="117"/>
  <c r="S15" i="112"/>
  <c r="BW15" i="112"/>
  <c r="D15" i="112"/>
  <c r="L15" i="112"/>
  <c r="M15" i="112" s="1"/>
  <c r="BH15" i="112"/>
  <c r="AT15" i="112"/>
  <c r="BB15" i="112"/>
  <c r="G17" i="116"/>
  <c r="AM15" i="112"/>
  <c r="AU15" i="112"/>
  <c r="I6" i="117"/>
  <c r="I8" i="117"/>
  <c r="I10" i="117"/>
  <c r="I12" i="117"/>
  <c r="C12" i="117" s="1"/>
  <c r="I14" i="117"/>
  <c r="C14" i="117" s="1"/>
  <c r="R15" i="112"/>
  <c r="Z15" i="112"/>
  <c r="I1" i="10"/>
  <c r="BQ12" i="112" l="1"/>
  <c r="BQ8" i="112"/>
  <c r="BQ15" i="112"/>
  <c r="BQ5" i="112"/>
  <c r="BQ6" i="112"/>
  <c r="BQ13" i="112"/>
  <c r="BQ11" i="112"/>
  <c r="BQ7" i="112"/>
  <c r="BQ10" i="112"/>
  <c r="BQ14" i="112"/>
  <c r="AH8" i="111"/>
  <c r="AH9" i="111"/>
  <c r="AH5" i="111"/>
  <c r="AH11" i="111"/>
  <c r="AH13" i="111"/>
  <c r="AH14" i="111"/>
  <c r="AV5" i="112"/>
  <c r="AV13" i="112"/>
  <c r="AV9" i="112"/>
  <c r="BX11" i="112"/>
  <c r="BX7" i="112"/>
  <c r="BX8" i="112"/>
  <c r="BX10" i="112"/>
  <c r="BX5" i="112"/>
  <c r="BX14" i="112"/>
  <c r="M5" i="112"/>
  <c r="M11" i="112"/>
  <c r="M9" i="112"/>
  <c r="M12" i="112"/>
  <c r="T6" i="112"/>
  <c r="M9" i="111"/>
  <c r="M11" i="111"/>
  <c r="M5" i="111"/>
  <c r="M7" i="111"/>
  <c r="M8" i="111"/>
  <c r="C13" i="99"/>
  <c r="C17" i="99" s="1"/>
  <c r="B17" i="99"/>
  <c r="F5" i="111"/>
  <c r="F15" i="111"/>
  <c r="F9" i="111"/>
  <c r="F11" i="111"/>
  <c r="F7" i="111"/>
  <c r="F14" i="111"/>
  <c r="F13" i="111"/>
  <c r="AV12" i="112"/>
  <c r="AZ5" i="111"/>
  <c r="AJ5" i="98"/>
  <c r="E5" i="113"/>
  <c r="E17" i="113" s="1"/>
  <c r="C17" i="108"/>
  <c r="BU5" i="111"/>
  <c r="AM5" i="98"/>
  <c r="C17" i="104"/>
  <c r="C17" i="105"/>
  <c r="B27" i="99"/>
  <c r="C27" i="99" s="1"/>
  <c r="CB8" i="112"/>
  <c r="X8" i="98"/>
  <c r="Z17" i="112"/>
  <c r="AF15" i="111"/>
  <c r="Z17" i="111"/>
  <c r="AA14" i="111" s="1"/>
  <c r="D12" i="111"/>
  <c r="BI17" i="111"/>
  <c r="Q5" i="111"/>
  <c r="AC5" i="98"/>
  <c r="J11" i="114"/>
  <c r="K11" i="114" s="1"/>
  <c r="L11" i="114" s="1"/>
  <c r="M11" i="114" s="1"/>
  <c r="BQ15" i="111"/>
  <c r="BQ13" i="111"/>
  <c r="BQ12" i="111"/>
  <c r="BQ7" i="111"/>
  <c r="BQ8" i="111"/>
  <c r="BQ14" i="111"/>
  <c r="C13" i="104"/>
  <c r="B23" i="99"/>
  <c r="C13" i="105"/>
  <c r="C17" i="100"/>
  <c r="C17" i="102" s="1"/>
  <c r="V5" i="100"/>
  <c r="AH10" i="111"/>
  <c r="I18" i="102"/>
  <c r="BJ15" i="111"/>
  <c r="K13" i="111"/>
  <c r="AZ5" i="112"/>
  <c r="T5" i="98"/>
  <c r="AV12" i="111"/>
  <c r="BH7" i="111"/>
  <c r="Y10" i="111"/>
  <c r="AT9" i="111"/>
  <c r="K15" i="112"/>
  <c r="Y10" i="112"/>
  <c r="BC14" i="112"/>
  <c r="AF11" i="112"/>
  <c r="R8" i="112"/>
  <c r="BX13" i="112"/>
  <c r="BJ10" i="112"/>
  <c r="I17" i="117"/>
  <c r="AF12" i="112"/>
  <c r="R9" i="112"/>
  <c r="BJ11" i="112"/>
  <c r="BA15" i="111"/>
  <c r="R14" i="111"/>
  <c r="BV15" i="111"/>
  <c r="K9" i="111"/>
  <c r="S17" i="111"/>
  <c r="T15" i="111" s="1"/>
  <c r="AT11" i="111"/>
  <c r="AT13" i="111"/>
  <c r="BQ11" i="111"/>
  <c r="AT12" i="111"/>
  <c r="AV9" i="111"/>
  <c r="Y6" i="111"/>
  <c r="BV11" i="111"/>
  <c r="AF6" i="111"/>
  <c r="K12" i="111"/>
  <c r="BA5" i="111"/>
  <c r="I17" i="114"/>
  <c r="J12" i="114" s="1"/>
  <c r="K12" i="114" s="1"/>
  <c r="L12" i="114" s="1"/>
  <c r="M12" i="114" s="1"/>
  <c r="J5" i="114"/>
  <c r="AV11" i="111"/>
  <c r="M7" i="112"/>
  <c r="BQ10" i="111"/>
  <c r="T10" i="111"/>
  <c r="C5" i="102"/>
  <c r="F17" i="102"/>
  <c r="K11" i="110"/>
  <c r="L11" i="110" s="1"/>
  <c r="Z11" i="110" s="1"/>
  <c r="E11" i="98" s="1"/>
  <c r="J17" i="110"/>
  <c r="K7" i="110" s="1"/>
  <c r="L7" i="110" s="1"/>
  <c r="Z7" i="110" s="1"/>
  <c r="E7" i="98" s="1"/>
  <c r="K5" i="110"/>
  <c r="C6" i="99"/>
  <c r="J7" i="114"/>
  <c r="K7" i="114" s="1"/>
  <c r="L7" i="114" s="1"/>
  <c r="M7" i="114" s="1"/>
  <c r="J6" i="114"/>
  <c r="K6" i="114" s="1"/>
  <c r="L6" i="114" s="1"/>
  <c r="M6" i="114" s="1"/>
  <c r="BX12" i="112"/>
  <c r="BC10" i="112"/>
  <c r="BB17" i="112"/>
  <c r="BC5" i="112"/>
  <c r="BV6" i="111"/>
  <c r="BV17" i="111" s="1"/>
  <c r="AM9" i="111"/>
  <c r="R11" i="111"/>
  <c r="BH8" i="111"/>
  <c r="BB17" i="111"/>
  <c r="BC5" i="111"/>
  <c r="K8" i="111"/>
  <c r="E21" i="105"/>
  <c r="F10" i="111"/>
  <c r="C9" i="104"/>
  <c r="C9" i="105"/>
  <c r="B8" i="99"/>
  <c r="C8" i="99" s="1"/>
  <c r="K15" i="110"/>
  <c r="L15" i="110" s="1"/>
  <c r="Z15" i="110" s="1"/>
  <c r="E15" i="98" s="1"/>
  <c r="K9" i="110"/>
  <c r="L9" i="110" s="1"/>
  <c r="Z9" i="110" s="1"/>
  <c r="E9" i="98" s="1"/>
  <c r="BX9" i="112"/>
  <c r="BC11" i="112"/>
  <c r="BU7" i="112"/>
  <c r="W7" i="98"/>
  <c r="R15" i="111"/>
  <c r="Y15" i="111"/>
  <c r="AT14" i="111"/>
  <c r="Y12" i="111"/>
  <c r="AM7" i="111"/>
  <c r="AM17" i="111" s="1"/>
  <c r="BH6" i="111"/>
  <c r="AV13" i="111"/>
  <c r="AF13" i="111"/>
  <c r="BU10" i="111"/>
  <c r="AM10" i="98"/>
  <c r="J13" i="114"/>
  <c r="K13" i="114" s="1"/>
  <c r="L13" i="114" s="1"/>
  <c r="M13" i="114" s="1"/>
  <c r="J9" i="114"/>
  <c r="K9" i="114" s="1"/>
  <c r="L9" i="114" s="1"/>
  <c r="M9" i="114" s="1"/>
  <c r="M12" i="111"/>
  <c r="K6" i="110"/>
  <c r="L6" i="110" s="1"/>
  <c r="Z6" i="110" s="1"/>
  <c r="E6" i="98" s="1"/>
  <c r="T9" i="111"/>
  <c r="T14" i="111"/>
  <c r="C17" i="106"/>
  <c r="D22" i="104" s="1"/>
  <c r="M10" i="111"/>
  <c r="J10" i="114"/>
  <c r="K10" i="114" s="1"/>
  <c r="L10" i="114" s="1"/>
  <c r="M10" i="114" s="1"/>
  <c r="V15" i="110"/>
  <c r="V11" i="110"/>
  <c r="V7" i="110"/>
  <c r="V13" i="110"/>
  <c r="V9" i="110"/>
  <c r="V5" i="110"/>
  <c r="K13" i="110"/>
  <c r="L13" i="110" s="1"/>
  <c r="Z13" i="110" s="1"/>
  <c r="E13" i="98" s="1"/>
  <c r="BX15" i="112"/>
  <c r="AV10" i="112"/>
  <c r="BU6" i="111"/>
  <c r="AM6" i="98"/>
  <c r="J8" i="114"/>
  <c r="K8" i="114" s="1"/>
  <c r="L8" i="114" s="1"/>
  <c r="M8" i="114" s="1"/>
  <c r="AV8" i="112"/>
  <c r="S17" i="112"/>
  <c r="T13" i="112" s="1"/>
  <c r="BX6" i="112"/>
  <c r="Y14" i="111"/>
  <c r="R9" i="111"/>
  <c r="R5" i="111"/>
  <c r="BA14" i="111"/>
  <c r="AM12" i="111"/>
  <c r="BA11" i="111"/>
  <c r="AM8" i="111"/>
  <c r="BA7" i="111"/>
  <c r="AM15" i="111"/>
  <c r="D11" i="111"/>
  <c r="AF9" i="111"/>
  <c r="D7" i="111"/>
  <c r="AF5" i="111"/>
  <c r="BA9" i="111"/>
  <c r="AT10" i="111"/>
  <c r="BV12" i="111"/>
  <c r="R12" i="111"/>
  <c r="BH5" i="111"/>
  <c r="BH9" i="111"/>
  <c r="AT6" i="111"/>
  <c r="AF11" i="111"/>
  <c r="AF7" i="111"/>
  <c r="D5" i="111"/>
  <c r="D9" i="111"/>
  <c r="R8" i="111"/>
  <c r="BC12" i="111"/>
  <c r="BC9" i="112"/>
  <c r="AV14" i="112"/>
  <c r="BQ9" i="112"/>
  <c r="BJ14" i="112"/>
  <c r="AE5" i="112"/>
  <c r="O5" i="98"/>
  <c r="BI17" i="112"/>
  <c r="BJ9" i="112" s="1"/>
  <c r="BJ5" i="112"/>
  <c r="K14" i="111"/>
  <c r="BA15" i="112"/>
  <c r="AF15" i="112"/>
  <c r="AF17" i="112" s="1"/>
  <c r="R12" i="112"/>
  <c r="Y15" i="112"/>
  <c r="D10" i="112"/>
  <c r="D17" i="112" s="1"/>
  <c r="AT12" i="112"/>
  <c r="R10" i="112"/>
  <c r="AF13" i="112"/>
  <c r="AT8" i="112"/>
  <c r="AT17" i="112" s="1"/>
  <c r="BH11" i="112"/>
  <c r="BH17" i="112" s="1"/>
  <c r="AF9" i="112"/>
  <c r="D11" i="112"/>
  <c r="R14" i="112"/>
  <c r="K7" i="112"/>
  <c r="Y6" i="112"/>
  <c r="Y17" i="112" s="1"/>
  <c r="AM5" i="112"/>
  <c r="BH6" i="112"/>
  <c r="K6" i="112"/>
  <c r="K17" i="112" s="1"/>
  <c r="CB14" i="111"/>
  <c r="AN14" i="98"/>
  <c r="R6" i="112"/>
  <c r="AM11" i="111"/>
  <c r="BA6" i="111"/>
  <c r="D10" i="111"/>
  <c r="AM7" i="112"/>
  <c r="BH7" i="112"/>
  <c r="D13" i="111"/>
  <c r="R10" i="111"/>
  <c r="R6" i="111"/>
  <c r="BO11" i="111"/>
  <c r="BO17" i="111" s="1"/>
  <c r="BA8" i="111"/>
  <c r="D8" i="111"/>
  <c r="AM13" i="111"/>
  <c r="T12" i="111"/>
  <c r="O17" i="115"/>
  <c r="AA15" i="111"/>
  <c r="F12" i="111"/>
  <c r="AA6" i="111"/>
  <c r="T14" i="112"/>
  <c r="M10" i="112"/>
  <c r="M6" i="111"/>
  <c r="BQ6" i="111"/>
  <c r="C14" i="105"/>
  <c r="B24" i="99"/>
  <c r="C24" i="99" s="1"/>
  <c r="C14" i="104"/>
  <c r="E17" i="112"/>
  <c r="AO8" i="112"/>
  <c r="AV6" i="112"/>
  <c r="BC14" i="111"/>
  <c r="AH12" i="111"/>
  <c r="Y8" i="111"/>
  <c r="BH10" i="111"/>
  <c r="AT7" i="111"/>
  <c r="K10" i="111"/>
  <c r="AV5" i="111"/>
  <c r="C5" i="117"/>
  <c r="C17" i="117" s="1"/>
  <c r="Y12" i="112"/>
  <c r="D14" i="112"/>
  <c r="AT15" i="111"/>
  <c r="BA5" i="112"/>
  <c r="BA17" i="112" s="1"/>
  <c r="BH15" i="111"/>
  <c r="AF14" i="111"/>
  <c r="AV14" i="111"/>
  <c r="AN17" i="112"/>
  <c r="R5" i="112"/>
  <c r="BA10" i="111"/>
  <c r="F6" i="111"/>
  <c r="BV9" i="111"/>
  <c r="D6" i="111"/>
  <c r="K6" i="111"/>
  <c r="AV7" i="112"/>
  <c r="BJ7" i="112"/>
  <c r="BC8" i="111"/>
  <c r="AN17" i="111"/>
  <c r="AF10" i="111"/>
  <c r="CB10" i="111"/>
  <c r="AN10" i="98"/>
  <c r="Y7" i="111"/>
  <c r="AH6" i="111"/>
  <c r="AV8" i="111"/>
  <c r="M6" i="112"/>
  <c r="AE17" i="115"/>
  <c r="BQ5" i="111"/>
  <c r="AH12" i="112"/>
  <c r="AV7" i="111"/>
  <c r="K8" i="110"/>
  <c r="L8" i="110" s="1"/>
  <c r="Z8" i="110" s="1"/>
  <c r="E8" i="98" s="1"/>
  <c r="AV15" i="112"/>
  <c r="AV11" i="112"/>
  <c r="BC6" i="112"/>
  <c r="BJ6" i="112"/>
  <c r="B8" i="105"/>
  <c r="D8" i="105" s="1"/>
  <c r="B8" i="104"/>
  <c r="D8" i="104" s="1"/>
  <c r="AG17" i="112"/>
  <c r="AM14" i="111"/>
  <c r="BW17" i="111"/>
  <c r="BH12" i="111"/>
  <c r="AO8" i="111"/>
  <c r="BH14" i="111"/>
  <c r="BH13" i="111"/>
  <c r="R13" i="111"/>
  <c r="AT8" i="111"/>
  <c r="K11" i="111"/>
  <c r="R7" i="111"/>
  <c r="BX12" i="111"/>
  <c r="AV10" i="111"/>
  <c r="AV6" i="111"/>
  <c r="T12" i="112"/>
  <c r="T8" i="112"/>
  <c r="AA15" i="112"/>
  <c r="K10" i="110"/>
  <c r="L10" i="110" s="1"/>
  <c r="Z10" i="110" s="1"/>
  <c r="E10" i="98" s="1"/>
  <c r="T15" i="112"/>
  <c r="AA6" i="112"/>
  <c r="J14" i="114"/>
  <c r="K14" i="114" s="1"/>
  <c r="L14" i="114" s="1"/>
  <c r="M14" i="114" s="1"/>
  <c r="T9" i="112"/>
  <c r="K12" i="110"/>
  <c r="L12" i="110" s="1"/>
  <c r="Z12" i="110" s="1"/>
  <c r="E12" i="98" s="1"/>
  <c r="M13" i="111"/>
  <c r="D17" i="113"/>
  <c r="F17" i="113" s="1"/>
  <c r="F5" i="113"/>
  <c r="C5" i="10"/>
  <c r="C6" i="10" s="1"/>
  <c r="C11" i="10"/>
  <c r="C12" i="10" s="1"/>
  <c r="C9" i="10"/>
  <c r="C10" i="10" s="1"/>
  <c r="C13" i="10"/>
  <c r="C14" i="10" s="1"/>
  <c r="W11" i="110" l="1"/>
  <c r="X11" i="110" s="1"/>
  <c r="AD11" i="110" s="1"/>
  <c r="I11" i="98" s="1"/>
  <c r="K5" i="114"/>
  <c r="BJ10" i="111"/>
  <c r="BJ7" i="111"/>
  <c r="BJ9" i="111"/>
  <c r="BJ6" i="111"/>
  <c r="BJ11" i="111"/>
  <c r="BJ14" i="111"/>
  <c r="AH10" i="112"/>
  <c r="AH15" i="112"/>
  <c r="AH14" i="112"/>
  <c r="AH5" i="112"/>
  <c r="AH7" i="112"/>
  <c r="AH6" i="112"/>
  <c r="R17" i="112"/>
  <c r="AF17" i="111"/>
  <c r="V17" i="110"/>
  <c r="W5" i="110"/>
  <c r="W15" i="110"/>
  <c r="X15" i="110" s="1"/>
  <c r="AD15" i="110" s="1"/>
  <c r="I15" i="98" s="1"/>
  <c r="BC9" i="111"/>
  <c r="BC13" i="111"/>
  <c r="BC15" i="112"/>
  <c r="BJ13" i="111"/>
  <c r="AO12" i="112"/>
  <c r="J15" i="114"/>
  <c r="K15" i="114" s="1"/>
  <c r="L15" i="114" s="1"/>
  <c r="M15" i="114" s="1"/>
  <c r="AO6" i="111"/>
  <c r="F17" i="111"/>
  <c r="T5" i="112"/>
  <c r="AV17" i="112"/>
  <c r="F9" i="112"/>
  <c r="S13" i="110"/>
  <c r="S9" i="110"/>
  <c r="S5" i="110"/>
  <c r="S15" i="110"/>
  <c r="S11" i="110"/>
  <c r="S7" i="110"/>
  <c r="H17" i="98"/>
  <c r="S12" i="110"/>
  <c r="S10" i="110"/>
  <c r="S14" i="110"/>
  <c r="S6" i="110"/>
  <c r="S8" i="110"/>
  <c r="BX5" i="111"/>
  <c r="BX9" i="111"/>
  <c r="BX14" i="111"/>
  <c r="BX7" i="111"/>
  <c r="BX8" i="111"/>
  <c r="BX10" i="111"/>
  <c r="K17" i="111"/>
  <c r="AO5" i="112"/>
  <c r="AM17" i="112"/>
  <c r="AT17" i="111"/>
  <c r="AO12" i="111"/>
  <c r="BX11" i="111"/>
  <c r="BC15" i="111"/>
  <c r="BC10" i="111"/>
  <c r="BC6" i="111"/>
  <c r="M14" i="110"/>
  <c r="M10" i="110"/>
  <c r="M6" i="110"/>
  <c r="G17" i="98"/>
  <c r="F17" i="98"/>
  <c r="I17" i="98"/>
  <c r="M7" i="110"/>
  <c r="M13" i="110"/>
  <c r="M11" i="110"/>
  <c r="M9" i="110"/>
  <c r="M15" i="110"/>
  <c r="M12" i="110"/>
  <c r="M5" i="110"/>
  <c r="M8" i="110"/>
  <c r="AH8" i="112"/>
  <c r="F13" i="112"/>
  <c r="Y17" i="111"/>
  <c r="BJ12" i="111"/>
  <c r="AO10" i="112"/>
  <c r="BC11" i="111"/>
  <c r="BC17" i="111" s="1"/>
  <c r="T5" i="116"/>
  <c r="T17" i="116" s="1"/>
  <c r="V17" i="100"/>
  <c r="AA10" i="112"/>
  <c r="AA11" i="112"/>
  <c r="AA5" i="112"/>
  <c r="AA14" i="112"/>
  <c r="AA9" i="112"/>
  <c r="AA13" i="112"/>
  <c r="AA7" i="112"/>
  <c r="AA8" i="112"/>
  <c r="AO7" i="112"/>
  <c r="R17" i="111"/>
  <c r="T7" i="112"/>
  <c r="T11" i="112"/>
  <c r="K17" i="110"/>
  <c r="L5" i="110"/>
  <c r="Z5" i="110" s="1"/>
  <c r="E5" i="98" s="1"/>
  <c r="BC7" i="111"/>
  <c r="AA12" i="112"/>
  <c r="AH11" i="112"/>
  <c r="T6" i="111"/>
  <c r="F5" i="112"/>
  <c r="BQ17" i="111"/>
  <c r="F11" i="112"/>
  <c r="AO9" i="111"/>
  <c r="AO5" i="111"/>
  <c r="AO7" i="111"/>
  <c r="AO11" i="111"/>
  <c r="BH17" i="111"/>
  <c r="BX6" i="111"/>
  <c r="BX13" i="111"/>
  <c r="BA17" i="111"/>
  <c r="D21" i="105"/>
  <c r="C18" i="108"/>
  <c r="BJ13" i="112"/>
  <c r="AH13" i="112"/>
  <c r="M17" i="112"/>
  <c r="T10" i="112"/>
  <c r="AH17" i="111"/>
  <c r="W13" i="110"/>
  <c r="X13" i="110" s="1"/>
  <c r="AD13" i="110" s="1"/>
  <c r="I13" i="98" s="1"/>
  <c r="AO9" i="112"/>
  <c r="AO15" i="112"/>
  <c r="AO6" i="112"/>
  <c r="AO13" i="112"/>
  <c r="AV17" i="111"/>
  <c r="AO11" i="112"/>
  <c r="AO15" i="111"/>
  <c r="B29" i="99"/>
  <c r="C23" i="99"/>
  <c r="AA13" i="111"/>
  <c r="AA7" i="111"/>
  <c r="AA8" i="111"/>
  <c r="AA10" i="111"/>
  <c r="AA5" i="111"/>
  <c r="AA11" i="111"/>
  <c r="AA9" i="111"/>
  <c r="AA12" i="111"/>
  <c r="M17" i="111"/>
  <c r="E22" i="104"/>
  <c r="BX15" i="111"/>
  <c r="AO10" i="111"/>
  <c r="AO14" i="111"/>
  <c r="BC12" i="112"/>
  <c r="BC8" i="112"/>
  <c r="K14" i="110"/>
  <c r="L14" i="110" s="1"/>
  <c r="Z14" i="110" s="1"/>
  <c r="E14" i="98" s="1"/>
  <c r="BJ5" i="111"/>
  <c r="F12" i="112"/>
  <c r="F6" i="112"/>
  <c r="F14" i="112"/>
  <c r="F10" i="112"/>
  <c r="F15" i="112"/>
  <c r="F7" i="112"/>
  <c r="AO13" i="111"/>
  <c r="BJ12" i="112"/>
  <c r="BJ8" i="112"/>
  <c r="BJ17" i="112" s="1"/>
  <c r="BJ15" i="112"/>
  <c r="D17" i="111"/>
  <c r="W9" i="110"/>
  <c r="X9" i="110" s="1"/>
  <c r="AD9" i="110" s="1"/>
  <c r="I9" i="98" s="1"/>
  <c r="W7" i="110"/>
  <c r="X7" i="110" s="1"/>
  <c r="AD7" i="110" s="1"/>
  <c r="I7" i="98" s="1"/>
  <c r="BJ8" i="111"/>
  <c r="BC7" i="112"/>
  <c r="BC17" i="112" s="1"/>
  <c r="BC13" i="112"/>
  <c r="C8" i="105"/>
  <c r="B7" i="99"/>
  <c r="C8" i="104"/>
  <c r="T13" i="111"/>
  <c r="T8" i="111"/>
  <c r="T7" i="111"/>
  <c r="T5" i="111"/>
  <c r="AO14" i="112"/>
  <c r="T11" i="111"/>
  <c r="BX17" i="112"/>
  <c r="AH9" i="112"/>
  <c r="BQ17" i="112"/>
  <c r="F8" i="112"/>
  <c r="BK15" i="112" l="1"/>
  <c r="BL15" i="112" s="1"/>
  <c r="BK13" i="112"/>
  <c r="BL13" i="112" s="1"/>
  <c r="BK9" i="112"/>
  <c r="BL9" i="112" s="1"/>
  <c r="BK10" i="112"/>
  <c r="BL10" i="112" s="1"/>
  <c r="BK11" i="112"/>
  <c r="BL11" i="112" s="1"/>
  <c r="BK7" i="112"/>
  <c r="BL7" i="112" s="1"/>
  <c r="BK14" i="112"/>
  <c r="BL14" i="112" s="1"/>
  <c r="BK12" i="112"/>
  <c r="BL12" i="112" s="1"/>
  <c r="BK8" i="112"/>
  <c r="BL8" i="112" s="1"/>
  <c r="BK6" i="112"/>
  <c r="BL6" i="112" s="1"/>
  <c r="BK5" i="112"/>
  <c r="BL5" i="112" s="1"/>
  <c r="BD15" i="112"/>
  <c r="BE15" i="112" s="1"/>
  <c r="BD14" i="112"/>
  <c r="BE14" i="112" s="1"/>
  <c r="BD10" i="112"/>
  <c r="BE10" i="112" s="1"/>
  <c r="BD11" i="112"/>
  <c r="BE11" i="112" s="1"/>
  <c r="BD12" i="112"/>
  <c r="BE12" i="112" s="1"/>
  <c r="BD8" i="112"/>
  <c r="BE8" i="112" s="1"/>
  <c r="BD9" i="112"/>
  <c r="BE9" i="112" s="1"/>
  <c r="BD6" i="112"/>
  <c r="BE6" i="112" s="1"/>
  <c r="BD7" i="112"/>
  <c r="BE7" i="112" s="1"/>
  <c r="BD5" i="112"/>
  <c r="BE5" i="112" s="1"/>
  <c r="BD13" i="112"/>
  <c r="BE13" i="112" s="1"/>
  <c r="BD12" i="111"/>
  <c r="BE12" i="111" s="1"/>
  <c r="BD13" i="111"/>
  <c r="BE13" i="111" s="1"/>
  <c r="BD14" i="111"/>
  <c r="BE14" i="111" s="1"/>
  <c r="BD15" i="111"/>
  <c r="BE15" i="111" s="1"/>
  <c r="BD8" i="111"/>
  <c r="BE8" i="111" s="1"/>
  <c r="BD9" i="111"/>
  <c r="BE9" i="111" s="1"/>
  <c r="BD5" i="111"/>
  <c r="BE5" i="111" s="1"/>
  <c r="BD10" i="111"/>
  <c r="BE10" i="111" s="1"/>
  <c r="BD6" i="111"/>
  <c r="BE6" i="111" s="1"/>
  <c r="BD11" i="111"/>
  <c r="BE11" i="111" s="1"/>
  <c r="BD7" i="111"/>
  <c r="BE7" i="111" s="1"/>
  <c r="BY14" i="112"/>
  <c r="BY12" i="112"/>
  <c r="BZ12" i="112" s="1"/>
  <c r="BY8" i="112"/>
  <c r="BY13" i="112"/>
  <c r="BZ13" i="112" s="1"/>
  <c r="BY9" i="112"/>
  <c r="BZ9" i="112" s="1"/>
  <c r="BY10" i="112"/>
  <c r="BY11" i="112"/>
  <c r="BZ11" i="112" s="1"/>
  <c r="BY7" i="112"/>
  <c r="BY15" i="112"/>
  <c r="BZ15" i="112" s="1"/>
  <c r="BY5" i="112"/>
  <c r="BY6" i="112"/>
  <c r="BZ6" i="112" s="1"/>
  <c r="C29" i="99"/>
  <c r="BR15" i="111"/>
  <c r="BR12" i="111"/>
  <c r="BR13" i="111"/>
  <c r="BR14" i="111"/>
  <c r="BR11" i="111"/>
  <c r="BS11" i="111" s="1"/>
  <c r="BR7" i="111"/>
  <c r="BR8" i="111"/>
  <c r="BR9" i="111"/>
  <c r="BS9" i="111" s="1"/>
  <c r="BR5" i="111"/>
  <c r="BR10" i="111"/>
  <c r="BR6" i="111"/>
  <c r="AO17" i="112"/>
  <c r="BX17" i="111"/>
  <c r="AW14" i="112"/>
  <c r="AX14" i="112" s="1"/>
  <c r="AW10" i="112"/>
  <c r="AX10" i="112" s="1"/>
  <c r="AW11" i="112"/>
  <c r="AX11" i="112" s="1"/>
  <c r="AW15" i="112"/>
  <c r="AX15" i="112" s="1"/>
  <c r="AW12" i="112"/>
  <c r="AX12" i="112" s="1"/>
  <c r="AW8" i="112"/>
  <c r="AX8" i="112" s="1"/>
  <c r="AW13" i="112"/>
  <c r="AX13" i="112" s="1"/>
  <c r="AW9" i="112"/>
  <c r="AX9" i="112" s="1"/>
  <c r="AW7" i="112"/>
  <c r="AX7" i="112" s="1"/>
  <c r="AW5" i="112"/>
  <c r="AW6" i="112"/>
  <c r="AX6" i="112" s="1"/>
  <c r="AX17" i="112" s="1"/>
  <c r="W6" i="110"/>
  <c r="X6" i="110" s="1"/>
  <c r="AD6" i="110" s="1"/>
  <c r="I6" i="98" s="1"/>
  <c r="W14" i="110"/>
  <c r="X14" i="110" s="1"/>
  <c r="AD14" i="110" s="1"/>
  <c r="I14" i="98" s="1"/>
  <c r="W12" i="110"/>
  <c r="X12" i="110" s="1"/>
  <c r="AD12" i="110" s="1"/>
  <c r="I12" i="98" s="1"/>
  <c r="W8" i="110"/>
  <c r="X8" i="110" s="1"/>
  <c r="AD8" i="110" s="1"/>
  <c r="I8" i="98" s="1"/>
  <c r="W10" i="110"/>
  <c r="X10" i="110" s="1"/>
  <c r="AD10" i="110" s="1"/>
  <c r="I10" i="98" s="1"/>
  <c r="C7" i="99"/>
  <c r="B10" i="99"/>
  <c r="B19" i="99" s="1"/>
  <c r="C19" i="99" s="1"/>
  <c r="BJ17" i="111"/>
  <c r="AA17" i="111"/>
  <c r="F17" i="112"/>
  <c r="G18" i="108"/>
  <c r="H18" i="108"/>
  <c r="E18" i="108"/>
  <c r="D18" i="108"/>
  <c r="F18" i="108"/>
  <c r="I18" i="108"/>
  <c r="T10" i="110"/>
  <c r="U10" i="110" s="1"/>
  <c r="AC10" i="110" s="1"/>
  <c r="H10" i="98" s="1"/>
  <c r="T17" i="112"/>
  <c r="T17" i="111"/>
  <c r="G12" i="113"/>
  <c r="G10" i="113"/>
  <c r="G5" i="113"/>
  <c r="G17" i="113"/>
  <c r="H17" i="113" s="1"/>
  <c r="G9" i="113"/>
  <c r="G8" i="113"/>
  <c r="G11" i="113"/>
  <c r="G14" i="113"/>
  <c r="G15" i="113"/>
  <c r="G6" i="113"/>
  <c r="G7" i="113"/>
  <c r="G13" i="113"/>
  <c r="T5" i="110"/>
  <c r="S17" i="110"/>
  <c r="T7" i="110" s="1"/>
  <c r="U7" i="110" s="1"/>
  <c r="AC7" i="110" s="1"/>
  <c r="H7" i="98" s="1"/>
  <c r="G15" i="111"/>
  <c r="H15" i="111" s="1"/>
  <c r="G11" i="111"/>
  <c r="H11" i="111" s="1"/>
  <c r="G8" i="111"/>
  <c r="H8" i="111" s="1"/>
  <c r="G12" i="111"/>
  <c r="H12" i="111" s="1"/>
  <c r="G6" i="111"/>
  <c r="H6" i="111" s="1"/>
  <c r="G7" i="111"/>
  <c r="H7" i="111" s="1"/>
  <c r="G13" i="111"/>
  <c r="H13" i="111" s="1"/>
  <c r="G14" i="111"/>
  <c r="H14" i="111" s="1"/>
  <c r="G5" i="111"/>
  <c r="H5" i="111" s="1"/>
  <c r="G10" i="111"/>
  <c r="H10" i="111" s="1"/>
  <c r="G9" i="111"/>
  <c r="H9" i="111" s="1"/>
  <c r="X5" i="110"/>
  <c r="AD5" i="110" s="1"/>
  <c r="I5" i="98" s="1"/>
  <c r="N9" i="111"/>
  <c r="O9" i="111" s="1"/>
  <c r="N11" i="111"/>
  <c r="O11" i="111" s="1"/>
  <c r="N5" i="111"/>
  <c r="N12" i="111"/>
  <c r="O12" i="111" s="1"/>
  <c r="N15" i="111"/>
  <c r="O15" i="111" s="1"/>
  <c r="N6" i="111"/>
  <c r="O6" i="111" s="1"/>
  <c r="O17" i="111" s="1"/>
  <c r="N10" i="111"/>
  <c r="O10" i="111" s="1"/>
  <c r="N14" i="111"/>
  <c r="O14" i="111" s="1"/>
  <c r="N8" i="111"/>
  <c r="O8" i="111" s="1"/>
  <c r="N7" i="111"/>
  <c r="O7" i="111" s="1"/>
  <c r="N13" i="111"/>
  <c r="O13" i="111" s="1"/>
  <c r="T9" i="110"/>
  <c r="U9" i="110" s="1"/>
  <c r="AC9" i="110" s="1"/>
  <c r="H9" i="98" s="1"/>
  <c r="AH17" i="112"/>
  <c r="T8" i="110"/>
  <c r="U8" i="110" s="1"/>
  <c r="AC8" i="110" s="1"/>
  <c r="H8" i="98" s="1"/>
  <c r="T13" i="110"/>
  <c r="U13" i="110" s="1"/>
  <c r="AC13" i="110" s="1"/>
  <c r="H13" i="98" s="1"/>
  <c r="AP13" i="111"/>
  <c r="AQ13" i="111" s="1"/>
  <c r="AP14" i="111"/>
  <c r="AQ14" i="111" s="1"/>
  <c r="AP15" i="111"/>
  <c r="AQ15" i="111" s="1"/>
  <c r="AP12" i="111"/>
  <c r="AQ12" i="111" s="1"/>
  <c r="AP9" i="111"/>
  <c r="AQ9" i="111" s="1"/>
  <c r="AP5" i="111"/>
  <c r="AQ5" i="111" s="1"/>
  <c r="AP10" i="111"/>
  <c r="AQ10" i="111" s="1"/>
  <c r="AP6" i="111"/>
  <c r="AQ6" i="111" s="1"/>
  <c r="AP11" i="111"/>
  <c r="AQ11" i="111" s="1"/>
  <c r="AP7" i="111"/>
  <c r="AQ7" i="111" s="1"/>
  <c r="AP8" i="111"/>
  <c r="AQ8" i="111" s="1"/>
  <c r="AI5" i="111"/>
  <c r="AJ5" i="111" s="1"/>
  <c r="AI6" i="111"/>
  <c r="AJ6" i="111" s="1"/>
  <c r="AI12" i="111"/>
  <c r="AJ12" i="111" s="1"/>
  <c r="AI13" i="111"/>
  <c r="AJ13" i="111" s="1"/>
  <c r="AI7" i="111"/>
  <c r="AJ7" i="111" s="1"/>
  <c r="AI11" i="111"/>
  <c r="AJ11" i="111" s="1"/>
  <c r="AI15" i="111"/>
  <c r="AJ15" i="111" s="1"/>
  <c r="AI14" i="111"/>
  <c r="AJ14" i="111" s="1"/>
  <c r="AI9" i="111"/>
  <c r="AJ9" i="111" s="1"/>
  <c r="AI8" i="111"/>
  <c r="AJ8" i="111" s="1"/>
  <c r="AI10" i="111"/>
  <c r="AJ10" i="111" s="1"/>
  <c r="AA17" i="112"/>
  <c r="AO17" i="111"/>
  <c r="J17" i="98"/>
  <c r="N10" i="110"/>
  <c r="O10" i="110" s="1"/>
  <c r="AA10" i="110" s="1"/>
  <c r="F10" i="98" s="1"/>
  <c r="J17" i="114"/>
  <c r="BR15" i="112"/>
  <c r="BR13" i="112"/>
  <c r="BR9" i="112"/>
  <c r="BS9" i="112" s="1"/>
  <c r="BR14" i="112"/>
  <c r="BR10" i="112"/>
  <c r="BR11" i="112"/>
  <c r="BS11" i="112" s="1"/>
  <c r="BR7" i="112"/>
  <c r="BR5" i="112"/>
  <c r="BR6" i="112"/>
  <c r="BR12" i="112"/>
  <c r="BR8" i="112"/>
  <c r="AW13" i="111"/>
  <c r="AX13" i="111" s="1"/>
  <c r="AW14" i="111"/>
  <c r="AX14" i="111" s="1"/>
  <c r="AW15" i="111"/>
  <c r="AX15" i="111" s="1"/>
  <c r="AW8" i="111"/>
  <c r="AX8" i="111" s="1"/>
  <c r="AW12" i="111"/>
  <c r="AX12" i="111" s="1"/>
  <c r="AW9" i="111"/>
  <c r="AX9" i="111" s="1"/>
  <c r="AW10" i="111"/>
  <c r="AX10" i="111" s="1"/>
  <c r="AW6" i="111"/>
  <c r="AX6" i="111" s="1"/>
  <c r="AW11" i="111"/>
  <c r="AX11" i="111" s="1"/>
  <c r="AW7" i="111"/>
  <c r="AX7" i="111" s="1"/>
  <c r="AW5" i="111"/>
  <c r="N6" i="112"/>
  <c r="O6" i="112" s="1"/>
  <c r="N5" i="112"/>
  <c r="N10" i="112"/>
  <c r="O10" i="112" s="1"/>
  <c r="N15" i="112"/>
  <c r="O15" i="112" s="1"/>
  <c r="N12" i="112"/>
  <c r="O12" i="112" s="1"/>
  <c r="N14" i="112"/>
  <c r="O14" i="112" s="1"/>
  <c r="N7" i="112"/>
  <c r="O7" i="112" s="1"/>
  <c r="N8" i="112"/>
  <c r="O8" i="112" s="1"/>
  <c r="N13" i="112"/>
  <c r="O13" i="112" s="1"/>
  <c r="N9" i="112"/>
  <c r="O9" i="112" s="1"/>
  <c r="N11" i="112"/>
  <c r="O11" i="112" s="1"/>
  <c r="M17" i="110"/>
  <c r="N15" i="110" s="1"/>
  <c r="O15" i="110" s="1"/>
  <c r="AA15" i="110" s="1"/>
  <c r="F15" i="98" s="1"/>
  <c r="T6" i="110"/>
  <c r="U6" i="110" s="1"/>
  <c r="AC6" i="110" s="1"/>
  <c r="H6" i="98" s="1"/>
  <c r="K17" i="114"/>
  <c r="L5" i="114"/>
  <c r="C54" i="96"/>
  <c r="C30" i="96"/>
  <c r="C47" i="96"/>
  <c r="C40" i="96"/>
  <c r="B1" i="96"/>
  <c r="B1" i="44"/>
  <c r="B1" i="1"/>
  <c r="B1" i="94"/>
  <c r="H5" i="113" l="1"/>
  <c r="I5" i="113"/>
  <c r="H6" i="113"/>
  <c r="I6" i="113"/>
  <c r="H10" i="113"/>
  <c r="I10" i="113"/>
  <c r="AP15" i="112"/>
  <c r="AQ15" i="112" s="1"/>
  <c r="AP11" i="112"/>
  <c r="AQ11" i="112" s="1"/>
  <c r="AP12" i="112"/>
  <c r="AQ12" i="112" s="1"/>
  <c r="AP8" i="112"/>
  <c r="AQ8" i="112" s="1"/>
  <c r="AP13" i="112"/>
  <c r="AQ13" i="112" s="1"/>
  <c r="AP9" i="112"/>
  <c r="AQ9" i="112" s="1"/>
  <c r="AP7" i="112"/>
  <c r="AQ7" i="112" s="1"/>
  <c r="AP14" i="112"/>
  <c r="AQ14" i="112" s="1"/>
  <c r="AP5" i="112"/>
  <c r="AQ5" i="112" s="1"/>
  <c r="AP10" i="112"/>
  <c r="AQ10" i="112" s="1"/>
  <c r="AP6" i="112"/>
  <c r="AQ6" i="112" s="1"/>
  <c r="AI12" i="112"/>
  <c r="AJ12" i="112" s="1"/>
  <c r="AI11" i="112"/>
  <c r="AJ11" i="112" s="1"/>
  <c r="AI15" i="112"/>
  <c r="AJ15" i="112" s="1"/>
  <c r="AI7" i="112"/>
  <c r="AJ7" i="112" s="1"/>
  <c r="AI8" i="112"/>
  <c r="AJ8" i="112" s="1"/>
  <c r="AI13" i="112"/>
  <c r="AJ13" i="112" s="1"/>
  <c r="AI14" i="112"/>
  <c r="AJ14" i="112" s="1"/>
  <c r="AI9" i="112"/>
  <c r="AJ9" i="112" s="1"/>
  <c r="AI10" i="112"/>
  <c r="AJ10" i="112" s="1"/>
  <c r="AI5" i="112"/>
  <c r="AJ5" i="112" s="1"/>
  <c r="AI6" i="112"/>
  <c r="AJ6" i="112" s="1"/>
  <c r="N14" i="110"/>
  <c r="O14" i="110" s="1"/>
  <c r="AA14" i="110" s="1"/>
  <c r="F14" i="98" s="1"/>
  <c r="N7" i="110"/>
  <c r="O7" i="110" s="1"/>
  <c r="AA7" i="110" s="1"/>
  <c r="F7" i="98" s="1"/>
  <c r="H17" i="111"/>
  <c r="H15" i="113"/>
  <c r="I15" i="113"/>
  <c r="H12" i="113"/>
  <c r="I12" i="113"/>
  <c r="D19" i="108"/>
  <c r="P10" i="110"/>
  <c r="P6" i="110"/>
  <c r="P12" i="110"/>
  <c r="P8" i="110"/>
  <c r="P13" i="110"/>
  <c r="P7" i="110"/>
  <c r="P14" i="110"/>
  <c r="P15" i="110"/>
  <c r="P9" i="110"/>
  <c r="P5" i="110"/>
  <c r="P11" i="110"/>
  <c r="C10" i="99"/>
  <c r="BZ17" i="112"/>
  <c r="P14" i="111"/>
  <c r="P13" i="111"/>
  <c r="P6" i="111"/>
  <c r="P8" i="111"/>
  <c r="P15" i="111"/>
  <c r="P10" i="111"/>
  <c r="P12" i="111"/>
  <c r="P9" i="111"/>
  <c r="P11" i="111"/>
  <c r="P7" i="111"/>
  <c r="BK14" i="111"/>
  <c r="BL14" i="111" s="1"/>
  <c r="BK15" i="111"/>
  <c r="BL15" i="111" s="1"/>
  <c r="BK11" i="111"/>
  <c r="BL11" i="111" s="1"/>
  <c r="BK7" i="111"/>
  <c r="BL7" i="111" s="1"/>
  <c r="BK8" i="111"/>
  <c r="BL8" i="111" s="1"/>
  <c r="BK9" i="111"/>
  <c r="BL9" i="111" s="1"/>
  <c r="BK5" i="111"/>
  <c r="BL5" i="111" s="1"/>
  <c r="BK10" i="111"/>
  <c r="BL10" i="111" s="1"/>
  <c r="BK6" i="111"/>
  <c r="BL6" i="111" s="1"/>
  <c r="BK12" i="111"/>
  <c r="BL12" i="111" s="1"/>
  <c r="BK13" i="111"/>
  <c r="BL13" i="111" s="1"/>
  <c r="N5" i="110"/>
  <c r="AX17" i="111"/>
  <c r="H14" i="113"/>
  <c r="I14" i="113"/>
  <c r="U8" i="111"/>
  <c r="V8" i="111" s="1"/>
  <c r="U12" i="111"/>
  <c r="V12" i="111" s="1"/>
  <c r="U9" i="111"/>
  <c r="V9" i="111" s="1"/>
  <c r="U15" i="111"/>
  <c r="V15" i="111" s="1"/>
  <c r="U10" i="111"/>
  <c r="V10" i="111" s="1"/>
  <c r="U11" i="111"/>
  <c r="V11" i="111" s="1"/>
  <c r="U6" i="111"/>
  <c r="V6" i="111" s="1"/>
  <c r="U7" i="111"/>
  <c r="V7" i="111" s="1"/>
  <c r="U5" i="111"/>
  <c r="V5" i="111" s="1"/>
  <c r="U13" i="111"/>
  <c r="V13" i="111" s="1"/>
  <c r="U14" i="111"/>
  <c r="V14" i="111" s="1"/>
  <c r="T11" i="110"/>
  <c r="U11" i="110" s="1"/>
  <c r="AC11" i="110" s="1"/>
  <c r="H11" i="98" s="1"/>
  <c r="BS17" i="111"/>
  <c r="BE17" i="111"/>
  <c r="BE17" i="112"/>
  <c r="BS17" i="112"/>
  <c r="AB10" i="112"/>
  <c r="AC10" i="112" s="1"/>
  <c r="AB6" i="112"/>
  <c r="AC6" i="112" s="1"/>
  <c r="AC17" i="112" s="1"/>
  <c r="AB14" i="112"/>
  <c r="AC14" i="112" s="1"/>
  <c r="AB5" i="112"/>
  <c r="AB12" i="112"/>
  <c r="AC12" i="112" s="1"/>
  <c r="AB9" i="112"/>
  <c r="AB11" i="112"/>
  <c r="AB13" i="112"/>
  <c r="AB7" i="112"/>
  <c r="AC7" i="112" s="1"/>
  <c r="AB8" i="112"/>
  <c r="AC8" i="112" s="1"/>
  <c r="AB15" i="112"/>
  <c r="AC15" i="112" s="1"/>
  <c r="U5" i="110"/>
  <c r="AC5" i="110" s="1"/>
  <c r="H5" i="98" s="1"/>
  <c r="H11" i="113"/>
  <c r="I11" i="113"/>
  <c r="U14" i="112"/>
  <c r="V14" i="112" s="1"/>
  <c r="U10" i="112"/>
  <c r="V10" i="112" s="1"/>
  <c r="U11" i="112"/>
  <c r="V11" i="112" s="1"/>
  <c r="U15" i="112"/>
  <c r="V15" i="112" s="1"/>
  <c r="U6" i="112"/>
  <c r="V6" i="112" s="1"/>
  <c r="U7" i="112"/>
  <c r="V7" i="112" s="1"/>
  <c r="U5" i="112"/>
  <c r="V5" i="112" s="1"/>
  <c r="U13" i="112"/>
  <c r="V13" i="112" s="1"/>
  <c r="U9" i="112"/>
  <c r="V9" i="112" s="1"/>
  <c r="U8" i="112"/>
  <c r="V8" i="112" s="1"/>
  <c r="U12" i="112"/>
  <c r="V12" i="112" s="1"/>
  <c r="T14" i="110"/>
  <c r="U14" i="110" s="1"/>
  <c r="AC14" i="110" s="1"/>
  <c r="H14" i="98" s="1"/>
  <c r="AY15" i="112"/>
  <c r="AY14" i="112"/>
  <c r="AY11" i="112"/>
  <c r="AY6" i="112"/>
  <c r="AY13" i="112"/>
  <c r="AY9" i="112"/>
  <c r="AY12" i="112"/>
  <c r="AY8" i="112"/>
  <c r="AY10" i="112"/>
  <c r="AY7" i="112"/>
  <c r="AQ17" i="111"/>
  <c r="N6" i="110"/>
  <c r="O6" i="110" s="1"/>
  <c r="AA6" i="110" s="1"/>
  <c r="F6" i="98" s="1"/>
  <c r="T12" i="110"/>
  <c r="U12" i="110" s="1"/>
  <c r="AC12" i="110" s="1"/>
  <c r="H12" i="98" s="1"/>
  <c r="H8" i="113"/>
  <c r="I8" i="113"/>
  <c r="T15" i="110"/>
  <c r="U15" i="110" s="1"/>
  <c r="AC15" i="110" s="1"/>
  <c r="H15" i="98" s="1"/>
  <c r="BY15" i="111"/>
  <c r="BZ15" i="111" s="1"/>
  <c r="BY13" i="111"/>
  <c r="BZ13" i="111" s="1"/>
  <c r="BY10" i="111"/>
  <c r="BY6" i="111"/>
  <c r="BZ6" i="111" s="1"/>
  <c r="BY14" i="111"/>
  <c r="BY11" i="111"/>
  <c r="BZ11" i="111" s="1"/>
  <c r="BY7" i="111"/>
  <c r="BY8" i="111"/>
  <c r="BY12" i="111"/>
  <c r="BZ12" i="111" s="1"/>
  <c r="BY9" i="111"/>
  <c r="BZ9" i="111" s="1"/>
  <c r="BY5" i="111"/>
  <c r="BL17" i="112"/>
  <c r="N11" i="110"/>
  <c r="O11" i="110" s="1"/>
  <c r="AA11" i="110" s="1"/>
  <c r="F11" i="98" s="1"/>
  <c r="H9" i="113"/>
  <c r="I9" i="113"/>
  <c r="G5" i="112"/>
  <c r="H5" i="112" s="1"/>
  <c r="G6" i="112"/>
  <c r="H6" i="112" s="1"/>
  <c r="G7" i="112"/>
  <c r="H7" i="112" s="1"/>
  <c r="G8" i="112"/>
  <c r="H8" i="112" s="1"/>
  <c r="G14" i="112"/>
  <c r="H14" i="112" s="1"/>
  <c r="G11" i="112"/>
  <c r="H11" i="112" s="1"/>
  <c r="G12" i="112"/>
  <c r="H12" i="112" s="1"/>
  <c r="G10" i="112"/>
  <c r="H10" i="112" s="1"/>
  <c r="G15" i="112"/>
  <c r="H15" i="112" s="1"/>
  <c r="G9" i="112"/>
  <c r="H9" i="112" s="1"/>
  <c r="G13" i="112"/>
  <c r="H13" i="112" s="1"/>
  <c r="N12" i="110"/>
  <c r="O12" i="110" s="1"/>
  <c r="AA12" i="110" s="1"/>
  <c r="F12" i="98" s="1"/>
  <c r="H7" i="113"/>
  <c r="I7" i="113"/>
  <c r="N13" i="110"/>
  <c r="O13" i="110" s="1"/>
  <c r="AA13" i="110" s="1"/>
  <c r="F13" i="98" s="1"/>
  <c r="L17" i="114"/>
  <c r="M5" i="114"/>
  <c r="M17" i="114" s="1"/>
  <c r="O17" i="112"/>
  <c r="AJ17" i="111"/>
  <c r="N8" i="110"/>
  <c r="O8" i="110" s="1"/>
  <c r="AA8" i="110" s="1"/>
  <c r="F8" i="98" s="1"/>
  <c r="W17" i="110"/>
  <c r="H13" i="113"/>
  <c r="I13" i="113"/>
  <c r="N9" i="110"/>
  <c r="O9" i="110" s="1"/>
  <c r="AA9" i="110" s="1"/>
  <c r="F9" i="98" s="1"/>
  <c r="AB8" i="111"/>
  <c r="AC8" i="111" s="1"/>
  <c r="AB5" i="111"/>
  <c r="AB6" i="111"/>
  <c r="AC6" i="111" s="1"/>
  <c r="AB15" i="111"/>
  <c r="AC15" i="111" s="1"/>
  <c r="AB10" i="111"/>
  <c r="AC10" i="111" s="1"/>
  <c r="AB11" i="111"/>
  <c r="AB9" i="111"/>
  <c r="AB13" i="111"/>
  <c r="AB14" i="111"/>
  <c r="AC14" i="111" s="1"/>
  <c r="AB7" i="111"/>
  <c r="AC7" i="111" s="1"/>
  <c r="AB12" i="111"/>
  <c r="AC12" i="111" s="1"/>
  <c r="B3" i="93"/>
  <c r="C3" i="93" s="1"/>
  <c r="D3" i="93" s="1"/>
  <c r="E3" i="93" s="1"/>
  <c r="F3" i="93" s="1"/>
  <c r="G3" i="93" s="1"/>
  <c r="H3" i="93" s="1"/>
  <c r="V17" i="111" l="1"/>
  <c r="Q7" i="111"/>
  <c r="AC7" i="98"/>
  <c r="Q13" i="111"/>
  <c r="AC13" i="98"/>
  <c r="Q10" i="110"/>
  <c r="R10" i="110" s="1"/>
  <c r="AB10" i="110" s="1"/>
  <c r="G10" i="98" s="1"/>
  <c r="J10" i="98" s="1"/>
  <c r="AZ13" i="112"/>
  <c r="T13" i="98"/>
  <c r="BT9" i="112"/>
  <c r="BT11" i="112"/>
  <c r="BL17" i="111"/>
  <c r="Q11" i="111"/>
  <c r="AC11" i="98"/>
  <c r="Q14" i="111"/>
  <c r="AC14" i="98"/>
  <c r="P17" i="110"/>
  <c r="Q5" i="110" s="1"/>
  <c r="Q6" i="111"/>
  <c r="AC6" i="98"/>
  <c r="AZ9" i="112"/>
  <c r="T9" i="98"/>
  <c r="BM12" i="112"/>
  <c r="BM8" i="112"/>
  <c r="BM15" i="112"/>
  <c r="BM6" i="112"/>
  <c r="BM7" i="112"/>
  <c r="BM14" i="112"/>
  <c r="BM5" i="112"/>
  <c r="BM9" i="112"/>
  <c r="BM13" i="112"/>
  <c r="BM10" i="112"/>
  <c r="BM11" i="112"/>
  <c r="BZ17" i="111"/>
  <c r="AZ6" i="112"/>
  <c r="T6" i="98"/>
  <c r="BF8" i="112"/>
  <c r="BF12" i="112"/>
  <c r="BF10" i="112"/>
  <c r="BF13" i="112"/>
  <c r="BF9" i="112"/>
  <c r="BF11" i="112"/>
  <c r="BF5" i="112"/>
  <c r="BF6" i="112"/>
  <c r="BF14" i="112"/>
  <c r="BF15" i="112"/>
  <c r="BF7" i="112"/>
  <c r="Q9" i="111"/>
  <c r="AC9" i="98"/>
  <c r="CA11" i="112"/>
  <c r="CA15" i="112"/>
  <c r="CA13" i="112"/>
  <c r="CA12" i="112"/>
  <c r="CA9" i="112"/>
  <c r="CA6" i="112"/>
  <c r="AJ17" i="112"/>
  <c r="AD14" i="112"/>
  <c r="AD8" i="112"/>
  <c r="AD7" i="112"/>
  <c r="AD10" i="112"/>
  <c r="AD6" i="112"/>
  <c r="AD12" i="112"/>
  <c r="AD15" i="112"/>
  <c r="AR5" i="111"/>
  <c r="AR8" i="111"/>
  <c r="AR6" i="111"/>
  <c r="AR7" i="111"/>
  <c r="AR14" i="111"/>
  <c r="AR10" i="111"/>
  <c r="AR11" i="111"/>
  <c r="AR13" i="111"/>
  <c r="AR12" i="111"/>
  <c r="AR15" i="111"/>
  <c r="AR9" i="111"/>
  <c r="AZ11" i="112"/>
  <c r="T11" i="98"/>
  <c r="V17" i="112"/>
  <c r="BF10" i="111"/>
  <c r="BF15" i="111"/>
  <c r="BF6" i="111"/>
  <c r="BF14" i="111"/>
  <c r="BF8" i="111"/>
  <c r="BF12" i="111"/>
  <c r="BF13" i="111"/>
  <c r="BF9" i="111"/>
  <c r="BF7" i="111"/>
  <c r="BF11" i="111"/>
  <c r="BF5" i="111"/>
  <c r="AY10" i="111"/>
  <c r="AY14" i="111"/>
  <c r="AY11" i="111"/>
  <c r="AY9" i="111"/>
  <c r="AY7" i="111"/>
  <c r="AY6" i="111"/>
  <c r="AY15" i="111"/>
  <c r="AY13" i="111"/>
  <c r="AY8" i="111"/>
  <c r="AY12" i="111"/>
  <c r="Q12" i="111"/>
  <c r="AC12" i="98"/>
  <c r="Q15" i="110"/>
  <c r="R15" i="110" s="1"/>
  <c r="AB15" i="110" s="1"/>
  <c r="G15" i="98" s="1"/>
  <c r="J15" i="98" s="1"/>
  <c r="AC17" i="111"/>
  <c r="AK5" i="111"/>
  <c r="AK9" i="111"/>
  <c r="AK10" i="111"/>
  <c r="AK8" i="111"/>
  <c r="AK7" i="111"/>
  <c r="AK12" i="111"/>
  <c r="AK6" i="111"/>
  <c r="AK11" i="111"/>
  <c r="AK14" i="111"/>
  <c r="AK13" i="111"/>
  <c r="AK15" i="111"/>
  <c r="AZ7" i="112"/>
  <c r="T7" i="98"/>
  <c r="AZ14" i="112"/>
  <c r="T14" i="98"/>
  <c r="BT11" i="111"/>
  <c r="BT9" i="111"/>
  <c r="O5" i="110"/>
  <c r="AA5" i="110" s="1"/>
  <c r="F5" i="98" s="1"/>
  <c r="N17" i="110"/>
  <c r="Q10" i="111"/>
  <c r="AC10" i="98"/>
  <c r="Q14" i="110"/>
  <c r="R14" i="110" s="1"/>
  <c r="AB14" i="110" s="1"/>
  <c r="G14" i="98" s="1"/>
  <c r="J14" i="98" s="1"/>
  <c r="I17" i="113"/>
  <c r="P12" i="112"/>
  <c r="P13" i="112"/>
  <c r="P9" i="112"/>
  <c r="P6" i="112"/>
  <c r="P14" i="112"/>
  <c r="P8" i="112"/>
  <c r="P15" i="112"/>
  <c r="P10" i="112"/>
  <c r="P7" i="112"/>
  <c r="P11" i="112"/>
  <c r="AZ10" i="112"/>
  <c r="T10" i="98"/>
  <c r="AZ15" i="112"/>
  <c r="T15" i="98"/>
  <c r="T17" i="110"/>
  <c r="Q15" i="111"/>
  <c r="AC15" i="98"/>
  <c r="Q12" i="110"/>
  <c r="R12" i="110" s="1"/>
  <c r="AB12" i="110" s="1"/>
  <c r="G12" i="98" s="1"/>
  <c r="J12" i="98" s="1"/>
  <c r="I14" i="111"/>
  <c r="I7" i="111"/>
  <c r="I11" i="111"/>
  <c r="I13" i="111"/>
  <c r="I5" i="111"/>
  <c r="I12" i="111"/>
  <c r="I6" i="111"/>
  <c r="I15" i="111"/>
  <c r="I9" i="111"/>
  <c r="I10" i="111"/>
  <c r="I8" i="111"/>
  <c r="AZ12" i="112"/>
  <c r="T12" i="98"/>
  <c r="H17" i="112"/>
  <c r="AZ8" i="112"/>
  <c r="T8" i="98"/>
  <c r="Q8" i="111"/>
  <c r="AC8" i="98"/>
  <c r="Q7" i="110"/>
  <c r="R7" i="110" s="1"/>
  <c r="AB7" i="110" s="1"/>
  <c r="G7" i="98" s="1"/>
  <c r="Q8" i="110"/>
  <c r="R8" i="110" s="1"/>
  <c r="AB8" i="110" s="1"/>
  <c r="G8" i="98" s="1"/>
  <c r="J8" i="98" s="1"/>
  <c r="Q6" i="110"/>
  <c r="R6" i="110" s="1"/>
  <c r="AB6" i="110" s="1"/>
  <c r="G6" i="98" s="1"/>
  <c r="J6" i="98" s="1"/>
  <c r="J7" i="98"/>
  <c r="AQ17" i="112"/>
  <c r="R5" i="110" l="1"/>
  <c r="AB5" i="110" s="1"/>
  <c r="G5" i="98" s="1"/>
  <c r="Q11" i="112"/>
  <c r="M11" i="98"/>
  <c r="AL13" i="111"/>
  <c r="AF13" i="98"/>
  <c r="BG5" i="111"/>
  <c r="AK5" i="98"/>
  <c r="AS5" i="111"/>
  <c r="AI5" i="98"/>
  <c r="CB13" i="112"/>
  <c r="X13" i="98"/>
  <c r="BN5" i="112"/>
  <c r="V5" i="98"/>
  <c r="AR12" i="112"/>
  <c r="AR9" i="112"/>
  <c r="AR7" i="112"/>
  <c r="AR6" i="112"/>
  <c r="AR14" i="112"/>
  <c r="AR10" i="112"/>
  <c r="AR5" i="112"/>
  <c r="AR13" i="112"/>
  <c r="AR8" i="112"/>
  <c r="AR15" i="112"/>
  <c r="AR11" i="112"/>
  <c r="J6" i="111"/>
  <c r="AB6" i="98"/>
  <c r="Q7" i="112"/>
  <c r="M7" i="98"/>
  <c r="Q12" i="112"/>
  <c r="M12" i="98"/>
  <c r="BU9" i="111"/>
  <c r="AM9" i="98"/>
  <c r="AL14" i="111"/>
  <c r="AF14" i="98"/>
  <c r="AL5" i="111"/>
  <c r="AF5" i="98"/>
  <c r="AZ15" i="111"/>
  <c r="AJ15" i="98"/>
  <c r="BG11" i="111"/>
  <c r="AK11" i="98"/>
  <c r="BG15" i="111"/>
  <c r="AK15" i="98"/>
  <c r="AS13" i="111"/>
  <c r="AI13" i="98"/>
  <c r="AE14" i="112"/>
  <c r="O14" i="98"/>
  <c r="CB15" i="112"/>
  <c r="X15" i="98"/>
  <c r="BG5" i="112"/>
  <c r="U5" i="98"/>
  <c r="AZ17" i="112"/>
  <c r="T17" i="98" s="1"/>
  <c r="BN14" i="112"/>
  <c r="V14" i="98"/>
  <c r="Q13" i="110"/>
  <c r="R13" i="110" s="1"/>
  <c r="AB13" i="110" s="1"/>
  <c r="G13" i="98" s="1"/>
  <c r="J13" i="98" s="1"/>
  <c r="Q11" i="110"/>
  <c r="R11" i="110" s="1"/>
  <c r="AB11" i="110" s="1"/>
  <c r="G11" i="98" s="1"/>
  <c r="J11" i="98" s="1"/>
  <c r="J5" i="98"/>
  <c r="AL9" i="111"/>
  <c r="AF9" i="98"/>
  <c r="BG6" i="111"/>
  <c r="AK6" i="98"/>
  <c r="AS12" i="111"/>
  <c r="AI12" i="98"/>
  <c r="AE8" i="112"/>
  <c r="O8" i="98"/>
  <c r="BG6" i="112"/>
  <c r="U6" i="98"/>
  <c r="I6" i="112"/>
  <c r="I10" i="112"/>
  <c r="I14" i="112"/>
  <c r="I12" i="112"/>
  <c r="I15" i="112"/>
  <c r="I7" i="112"/>
  <c r="I13" i="112"/>
  <c r="I11" i="112"/>
  <c r="I5" i="112"/>
  <c r="I8" i="112"/>
  <c r="I9" i="112"/>
  <c r="J12" i="111"/>
  <c r="AB12" i="98"/>
  <c r="Q10" i="112"/>
  <c r="M10" i="98"/>
  <c r="BU11" i="111"/>
  <c r="AM11" i="98"/>
  <c r="AL11" i="111"/>
  <c r="AF11" i="98"/>
  <c r="AD6" i="111"/>
  <c r="AD14" i="111"/>
  <c r="AD8" i="111"/>
  <c r="AD10" i="111"/>
  <c r="AD15" i="111"/>
  <c r="AD7" i="111"/>
  <c r="AD12" i="111"/>
  <c r="AZ6" i="111"/>
  <c r="AJ6" i="98"/>
  <c r="BG7" i="111"/>
  <c r="AK7" i="98"/>
  <c r="BG10" i="111"/>
  <c r="AK10" i="98"/>
  <c r="AS11" i="111"/>
  <c r="AI11" i="98"/>
  <c r="CB11" i="112"/>
  <c r="X11" i="98"/>
  <c r="BG11" i="112"/>
  <c r="U11" i="98"/>
  <c r="BN7" i="112"/>
  <c r="V7" i="98"/>
  <c r="BM11" i="111"/>
  <c r="BM7" i="111"/>
  <c r="BM6" i="111"/>
  <c r="BM14" i="111"/>
  <c r="BM10" i="111"/>
  <c r="BM15" i="111"/>
  <c r="BM5" i="111"/>
  <c r="BM13" i="111"/>
  <c r="BM12" i="111"/>
  <c r="BM9" i="111"/>
  <c r="BM8" i="111"/>
  <c r="AZ7" i="111"/>
  <c r="AJ7" i="98"/>
  <c r="BG9" i="111"/>
  <c r="AK9" i="98"/>
  <c r="W13" i="112"/>
  <c r="W14" i="112"/>
  <c r="W5" i="112"/>
  <c r="W7" i="112"/>
  <c r="W9" i="112"/>
  <c r="W11" i="112"/>
  <c r="W8" i="112"/>
  <c r="W15" i="112"/>
  <c r="W10" i="112"/>
  <c r="W12" i="112"/>
  <c r="W6" i="112"/>
  <c r="AS10" i="111"/>
  <c r="AI10" i="98"/>
  <c r="AE15" i="112"/>
  <c r="O15" i="98"/>
  <c r="AK10" i="112"/>
  <c r="AK6" i="112"/>
  <c r="AK15" i="112"/>
  <c r="AK7" i="112"/>
  <c r="AK9" i="112"/>
  <c r="AK11" i="112"/>
  <c r="AK13" i="112"/>
  <c r="AK14" i="112"/>
  <c r="AK12" i="112"/>
  <c r="AK5" i="112"/>
  <c r="AK8" i="112"/>
  <c r="BG9" i="112"/>
  <c r="U9" i="98"/>
  <c r="CA9" i="111"/>
  <c r="CA13" i="111"/>
  <c r="CA12" i="111"/>
  <c r="CA15" i="111"/>
  <c r="CA11" i="111"/>
  <c r="CA6" i="111"/>
  <c r="BN6" i="112"/>
  <c r="V6" i="98"/>
  <c r="Q17" i="111"/>
  <c r="AC17" i="98" s="1"/>
  <c r="BU11" i="112"/>
  <c r="W11" i="98"/>
  <c r="Q13" i="112"/>
  <c r="M13" i="98"/>
  <c r="J12" i="113"/>
  <c r="J8" i="113"/>
  <c r="J7" i="113"/>
  <c r="J11" i="113"/>
  <c r="J14" i="113"/>
  <c r="J9" i="113"/>
  <c r="J15" i="113"/>
  <c r="J13" i="113"/>
  <c r="J6" i="113"/>
  <c r="J10" i="113"/>
  <c r="J5" i="113"/>
  <c r="Q8" i="112"/>
  <c r="M8" i="98"/>
  <c r="AL12" i="111"/>
  <c r="AF12" i="98"/>
  <c r="AZ9" i="111"/>
  <c r="AJ9" i="98"/>
  <c r="BG13" i="111"/>
  <c r="AK13" i="98"/>
  <c r="AS14" i="111"/>
  <c r="AI14" i="98"/>
  <c r="AE12" i="112"/>
  <c r="O12" i="98"/>
  <c r="Q9" i="110"/>
  <c r="R9" i="110" s="1"/>
  <c r="AB9" i="110" s="1"/>
  <c r="G9" i="98" s="1"/>
  <c r="J9" i="98" s="1"/>
  <c r="BG13" i="112"/>
  <c r="U13" i="98"/>
  <c r="BN11" i="112"/>
  <c r="V11" i="98"/>
  <c r="BN15" i="112"/>
  <c r="V15" i="98"/>
  <c r="BU9" i="112"/>
  <c r="BU17" i="112" s="1"/>
  <c r="W17" i="98" s="1"/>
  <c r="W9" i="98"/>
  <c r="J5" i="111"/>
  <c r="AB5" i="98"/>
  <c r="Q15" i="112"/>
  <c r="M15" i="98"/>
  <c r="J13" i="111"/>
  <c r="AB13" i="98"/>
  <c r="J11" i="111"/>
  <c r="AB11" i="98"/>
  <c r="AZ11" i="111"/>
  <c r="AJ11" i="98"/>
  <c r="AS7" i="111"/>
  <c r="AI7" i="98"/>
  <c r="AE6" i="112"/>
  <c r="O6" i="98"/>
  <c r="CB6" i="112"/>
  <c r="X6" i="98"/>
  <c r="BG7" i="112"/>
  <c r="U7" i="98"/>
  <c r="BG10" i="112"/>
  <c r="U10" i="98"/>
  <c r="BN10" i="112"/>
  <c r="V10" i="98"/>
  <c r="BN8" i="112"/>
  <c r="V8" i="98"/>
  <c r="J15" i="111"/>
  <c r="AB15" i="98"/>
  <c r="AL6" i="111"/>
  <c r="AF6" i="98"/>
  <c r="J8" i="111"/>
  <c r="AB8" i="98"/>
  <c r="Q14" i="112"/>
  <c r="M14" i="98"/>
  <c r="J10" i="111"/>
  <c r="AB10" i="98"/>
  <c r="J7" i="111"/>
  <c r="AB7" i="98"/>
  <c r="Q6" i="112"/>
  <c r="M6" i="98"/>
  <c r="AL8" i="111"/>
  <c r="AF8" i="98"/>
  <c r="AZ12" i="111"/>
  <c r="AJ12" i="98"/>
  <c r="AZ14" i="111"/>
  <c r="AJ14" i="98"/>
  <c r="BG8" i="111"/>
  <c r="AK8" i="98"/>
  <c r="AS9" i="111"/>
  <c r="AI9" i="98"/>
  <c r="AS6" i="111"/>
  <c r="AI6" i="98"/>
  <c r="AE10" i="112"/>
  <c r="O10" i="98"/>
  <c r="CB9" i="112"/>
  <c r="X9" i="98"/>
  <c r="BG15" i="112"/>
  <c r="U15" i="98"/>
  <c r="BG12" i="112"/>
  <c r="U12" i="98"/>
  <c r="BN13" i="112"/>
  <c r="V13" i="98"/>
  <c r="BN12" i="112"/>
  <c r="V12" i="98"/>
  <c r="W7" i="111"/>
  <c r="W6" i="111"/>
  <c r="W5" i="111"/>
  <c r="W11" i="111"/>
  <c r="W8" i="111"/>
  <c r="W9" i="111"/>
  <c r="W12" i="111"/>
  <c r="W15" i="111"/>
  <c r="W10" i="111"/>
  <c r="W13" i="111"/>
  <c r="W14" i="111"/>
  <c r="AZ13" i="111"/>
  <c r="AJ13" i="98"/>
  <c r="AL7" i="111"/>
  <c r="AF7" i="98"/>
  <c r="BG12" i="111"/>
  <c r="AK12" i="98"/>
  <c r="J9" i="111"/>
  <c r="AB9" i="98"/>
  <c r="J14" i="111"/>
  <c r="AB14" i="98"/>
  <c r="Q9" i="112"/>
  <c r="M9" i="98"/>
  <c r="AL15" i="111"/>
  <c r="AF15" i="98"/>
  <c r="AL10" i="111"/>
  <c r="AF10" i="98"/>
  <c r="AZ8" i="111"/>
  <c r="AJ8" i="98"/>
  <c r="AZ10" i="111"/>
  <c r="AJ10" i="98"/>
  <c r="BG14" i="111"/>
  <c r="AK14" i="98"/>
  <c r="AS15" i="111"/>
  <c r="AI15" i="98"/>
  <c r="AS8" i="111"/>
  <c r="AI8" i="98"/>
  <c r="AE7" i="112"/>
  <c r="O7" i="98"/>
  <c r="CB12" i="112"/>
  <c r="X12" i="98"/>
  <c r="BG14" i="112"/>
  <c r="U14" i="98"/>
  <c r="BG8" i="112"/>
  <c r="U8" i="98"/>
  <c r="BN9" i="112"/>
  <c r="V9" i="98"/>
  <c r="C40" i="94"/>
  <c r="C30" i="94"/>
  <c r="C54" i="94"/>
  <c r="E52" i="96"/>
  <c r="E49" i="96"/>
  <c r="E50" i="96"/>
  <c r="E53" i="96"/>
  <c r="E51" i="96"/>
  <c r="C47" i="94"/>
  <c r="X15" i="111" l="1"/>
  <c r="AD15" i="98"/>
  <c r="CB12" i="111"/>
  <c r="AN12" i="98"/>
  <c r="AL14" i="112"/>
  <c r="P14" i="98"/>
  <c r="X8" i="112"/>
  <c r="N8" i="98"/>
  <c r="J13" i="112"/>
  <c r="L13" i="98"/>
  <c r="AS14" i="112"/>
  <c r="S14" i="98"/>
  <c r="Q14" i="98" s="1"/>
  <c r="X12" i="111"/>
  <c r="AD12" i="98"/>
  <c r="Q17" i="112"/>
  <c r="M17" i="98" s="1"/>
  <c r="AE17" i="112"/>
  <c r="O17" i="98" s="1"/>
  <c r="K14" i="113"/>
  <c r="AR14" i="98"/>
  <c r="CB13" i="111"/>
  <c r="AN13" i="98"/>
  <c r="AL13" i="112"/>
  <c r="P13" i="98"/>
  <c r="X11" i="112"/>
  <c r="N11" i="98"/>
  <c r="BN15" i="111"/>
  <c r="AL15" i="98"/>
  <c r="AE8" i="111"/>
  <c r="AE8" i="98"/>
  <c r="J7" i="112"/>
  <c r="L7" i="98"/>
  <c r="BG17" i="112"/>
  <c r="U17" i="98" s="1"/>
  <c r="Q17" i="98" s="1"/>
  <c r="AS6" i="112"/>
  <c r="S6" i="98"/>
  <c r="Q6" i="98" s="1"/>
  <c r="K9" i="113"/>
  <c r="AR9" i="98"/>
  <c r="BN5" i="111"/>
  <c r="AL5" i="98"/>
  <c r="AE10" i="111"/>
  <c r="AE10" i="98"/>
  <c r="X9" i="111"/>
  <c r="AD9" i="98"/>
  <c r="K11" i="113"/>
  <c r="AR11" i="98"/>
  <c r="CB9" i="111"/>
  <c r="AN9" i="98"/>
  <c r="AL11" i="112"/>
  <c r="P11" i="98"/>
  <c r="X9" i="112"/>
  <c r="N9" i="98"/>
  <c r="BN10" i="111"/>
  <c r="AL10" i="98"/>
  <c r="AG10" i="98" s="1"/>
  <c r="AP10" i="98" s="1"/>
  <c r="AE14" i="111"/>
  <c r="AE14" i="98"/>
  <c r="J15" i="112"/>
  <c r="L15" i="98"/>
  <c r="AS11" i="112"/>
  <c r="S11" i="98"/>
  <c r="Q11" i="98" s="1"/>
  <c r="AS7" i="112"/>
  <c r="S7" i="98"/>
  <c r="Q7" i="98" s="1"/>
  <c r="AG5" i="98"/>
  <c r="AP5" i="98" s="1"/>
  <c r="BU17" i="111"/>
  <c r="AM17" i="98" s="1"/>
  <c r="AS15" i="112"/>
  <c r="S15" i="98"/>
  <c r="Q15" i="98" s="1"/>
  <c r="AS9" i="112"/>
  <c r="S9" i="98"/>
  <c r="Q9" i="98" s="1"/>
  <c r="AS17" i="111"/>
  <c r="AI17" i="98" s="1"/>
  <c r="X7" i="112"/>
  <c r="N7" i="98"/>
  <c r="X11" i="111"/>
  <c r="AD11" i="98"/>
  <c r="K10" i="113"/>
  <c r="AR10" i="98"/>
  <c r="K8" i="113"/>
  <c r="AR8" i="98"/>
  <c r="AL7" i="112"/>
  <c r="P7" i="98"/>
  <c r="X6" i="112"/>
  <c r="N6" i="98"/>
  <c r="X5" i="112"/>
  <c r="N5" i="98"/>
  <c r="BN8" i="111"/>
  <c r="AL8" i="98"/>
  <c r="AG8" i="98" s="1"/>
  <c r="AP8" i="98" s="1"/>
  <c r="BN6" i="111"/>
  <c r="AL6" i="98"/>
  <c r="AZ17" i="111"/>
  <c r="AJ17" i="98" s="1"/>
  <c r="J9" i="112"/>
  <c r="L9" i="98"/>
  <c r="J14" i="112"/>
  <c r="L14" i="98"/>
  <c r="AG12" i="98"/>
  <c r="AS8" i="112"/>
  <c r="S8" i="98"/>
  <c r="Q8" i="98" s="1"/>
  <c r="AS12" i="112"/>
  <c r="S12" i="98"/>
  <c r="Q12" i="98" s="1"/>
  <c r="X14" i="111"/>
  <c r="AD14" i="98"/>
  <c r="X5" i="111"/>
  <c r="AD5" i="98"/>
  <c r="J17" i="111"/>
  <c r="AB17" i="98" s="1"/>
  <c r="K6" i="113"/>
  <c r="AR6" i="98"/>
  <c r="K12" i="113"/>
  <c r="AR12" i="98"/>
  <c r="CB6" i="111"/>
  <c r="CB17" i="111" s="1"/>
  <c r="AN17" i="98" s="1"/>
  <c r="AN6" i="98"/>
  <c r="AG6" i="98" s="1"/>
  <c r="AP6" i="98" s="1"/>
  <c r="AL8" i="112"/>
  <c r="P8" i="98"/>
  <c r="AL15" i="112"/>
  <c r="P15" i="98"/>
  <c r="X12" i="112"/>
  <c r="N12" i="98"/>
  <c r="X14" i="112"/>
  <c r="N14" i="98"/>
  <c r="BN9" i="111"/>
  <c r="AL9" i="98"/>
  <c r="BN7" i="111"/>
  <c r="AL7" i="98"/>
  <c r="AG7" i="98" s="1"/>
  <c r="AP7" i="98" s="1"/>
  <c r="AE12" i="111"/>
  <c r="AE12" i="98"/>
  <c r="J8" i="112"/>
  <c r="L8" i="98"/>
  <c r="J10" i="112"/>
  <c r="L10" i="98"/>
  <c r="AS13" i="112"/>
  <c r="S13" i="98"/>
  <c r="Q13" i="98" s="1"/>
  <c r="BG17" i="111"/>
  <c r="AK17" i="98" s="1"/>
  <c r="K5" i="113"/>
  <c r="K17" i="113" s="1"/>
  <c r="AR17" i="98" s="1"/>
  <c r="AR5" i="98"/>
  <c r="BN14" i="111"/>
  <c r="AL14" i="98"/>
  <c r="AG14" i="98" s="1"/>
  <c r="AP14" i="98" s="1"/>
  <c r="J12" i="112"/>
  <c r="L12" i="98"/>
  <c r="X13" i="111"/>
  <c r="AD13" i="98"/>
  <c r="X6" i="111"/>
  <c r="AD6" i="98"/>
  <c r="AG9" i="98"/>
  <c r="AP9" i="98" s="1"/>
  <c r="K13" i="113"/>
  <c r="AR13" i="98"/>
  <c r="CB11" i="111"/>
  <c r="AN11" i="98"/>
  <c r="AG11" i="98" s="1"/>
  <c r="AP11" i="98" s="1"/>
  <c r="AL5" i="112"/>
  <c r="P5" i="98"/>
  <c r="AL6" i="112"/>
  <c r="P6" i="98"/>
  <c r="X10" i="112"/>
  <c r="N10" i="98"/>
  <c r="X13" i="112"/>
  <c r="N13" i="98"/>
  <c r="BN12" i="111"/>
  <c r="AL12" i="98"/>
  <c r="BN11" i="111"/>
  <c r="AL11" i="98"/>
  <c r="AE7" i="111"/>
  <c r="AE7" i="98"/>
  <c r="J5" i="112"/>
  <c r="L5" i="98"/>
  <c r="J6" i="112"/>
  <c r="L6" i="98"/>
  <c r="E22" i="98" s="1"/>
  <c r="AS5" i="112"/>
  <c r="S5" i="98"/>
  <c r="Q5" i="98" s="1"/>
  <c r="Q17" i="110"/>
  <c r="X8" i="111"/>
  <c r="AD8" i="98"/>
  <c r="K7" i="113"/>
  <c r="AR7" i="98"/>
  <c r="AL9" i="112"/>
  <c r="P9" i="98"/>
  <c r="AE6" i="111"/>
  <c r="AE6" i="98"/>
  <c r="X10" i="111"/>
  <c r="AD10" i="98"/>
  <c r="X7" i="111"/>
  <c r="AD7" i="98"/>
  <c r="CB17" i="112"/>
  <c r="X17" i="98" s="1"/>
  <c r="K15" i="113"/>
  <c r="AR15" i="98"/>
  <c r="CB15" i="111"/>
  <c r="AN15" i="98"/>
  <c r="AG15" i="98" s="1"/>
  <c r="AP15" i="98" s="1"/>
  <c r="AL12" i="112"/>
  <c r="P12" i="98"/>
  <c r="AL10" i="112"/>
  <c r="P10" i="98"/>
  <c r="X15" i="112"/>
  <c r="N15" i="98"/>
  <c r="BN13" i="111"/>
  <c r="AL13" i="98"/>
  <c r="AG13" i="98" s="1"/>
  <c r="AP13" i="98" s="1"/>
  <c r="AE15" i="111"/>
  <c r="AE15" i="98"/>
  <c r="J11" i="112"/>
  <c r="L11" i="98"/>
  <c r="AL17" i="111"/>
  <c r="AF17" i="98" s="1"/>
  <c r="AS10" i="112"/>
  <c r="S10" i="98"/>
  <c r="Q10" i="98" s="1"/>
  <c r="Z10" i="98" s="1"/>
  <c r="BN17" i="112"/>
  <c r="V17" i="98" s="1"/>
  <c r="H53" i="96"/>
  <c r="H37" i="96"/>
  <c r="D10" i="96" s="1"/>
  <c r="E37" i="96"/>
  <c r="C10" i="96" s="1"/>
  <c r="H50" i="96"/>
  <c r="H51" i="96"/>
  <c r="E35" i="96"/>
  <c r="E48" i="96"/>
  <c r="D47" i="96"/>
  <c r="D54" i="96"/>
  <c r="H52" i="96"/>
  <c r="H49" i="96"/>
  <c r="H39" i="96"/>
  <c r="D12" i="96" s="1"/>
  <c r="E39" i="96"/>
  <c r="C12" i="96" s="1"/>
  <c r="E33" i="96"/>
  <c r="E32" i="96"/>
  <c r="H38" i="96"/>
  <c r="D11" i="96" s="1"/>
  <c r="E38" i="96"/>
  <c r="C11" i="96" s="1"/>
  <c r="H48" i="44"/>
  <c r="E39" i="94"/>
  <c r="E38" i="94"/>
  <c r="Z7" i="98" l="1"/>
  <c r="AV7" i="98" s="1"/>
  <c r="J17" i="112"/>
  <c r="L17" i="98" s="1"/>
  <c r="Z17" i="98" s="1"/>
  <c r="Z13" i="98"/>
  <c r="AV13" i="98" s="1"/>
  <c r="Z9" i="98"/>
  <c r="AV9" i="98" s="1"/>
  <c r="AV10" i="98"/>
  <c r="AE17" i="111"/>
  <c r="AE17" i="98" s="1"/>
  <c r="Z12" i="98"/>
  <c r="AV12" i="98" s="1"/>
  <c r="X17" i="112"/>
  <c r="N17" i="98" s="1"/>
  <c r="Z11" i="98"/>
  <c r="AV11" i="98" s="1"/>
  <c r="BN17" i="111"/>
  <c r="AL17" i="98" s="1"/>
  <c r="Z15" i="98"/>
  <c r="AV15" i="98" s="1"/>
  <c r="Z14" i="98"/>
  <c r="AV14" i="98" s="1"/>
  <c r="AL17" i="112"/>
  <c r="P17" i="98" s="1"/>
  <c r="Z5" i="98"/>
  <c r="AV5" i="98" s="1"/>
  <c r="AS17" i="112"/>
  <c r="Z8" i="98"/>
  <c r="AV8" i="98" s="1"/>
  <c r="Z6" i="98"/>
  <c r="AV6" i="98" s="1"/>
  <c r="AP12" i="98"/>
  <c r="X17" i="111"/>
  <c r="AD17" i="98" s="1"/>
  <c r="AP17" i="98" s="1"/>
  <c r="C12" i="94"/>
  <c r="C11" i="94"/>
  <c r="H36" i="96"/>
  <c r="D9" i="96" s="1"/>
  <c r="E36" i="96"/>
  <c r="C9" i="96" s="1"/>
  <c r="E19" i="96"/>
  <c r="H19" i="96"/>
  <c r="E54" i="96"/>
  <c r="E47" i="96"/>
  <c r="F54" i="96"/>
  <c r="H48" i="96"/>
  <c r="F47" i="96"/>
  <c r="E20" i="96"/>
  <c r="H20" i="96"/>
  <c r="H22" i="96"/>
  <c r="E22" i="96"/>
  <c r="F34" i="96"/>
  <c r="E34" i="96"/>
  <c r="H21" i="96"/>
  <c r="E21" i="96"/>
  <c r="AV17" i="98" l="1"/>
  <c r="C17" i="103" s="1"/>
  <c r="D17" i="103" s="1"/>
  <c r="AW14" i="98"/>
  <c r="C14" i="103"/>
  <c r="D14" i="103" s="1"/>
  <c r="AW9" i="98"/>
  <c r="C9" i="103"/>
  <c r="D9" i="103" s="1"/>
  <c r="AW5" i="98"/>
  <c r="C5" i="103"/>
  <c r="D5" i="103" s="1"/>
  <c r="AW15" i="98"/>
  <c r="C15" i="103"/>
  <c r="D15" i="103" s="1"/>
  <c r="AW13" i="98"/>
  <c r="C13" i="103"/>
  <c r="D13" i="103" s="1"/>
  <c r="AW6" i="98"/>
  <c r="C6" i="103"/>
  <c r="D6" i="103" s="1"/>
  <c r="AW8" i="98"/>
  <c r="C8" i="103"/>
  <c r="D8" i="103" s="1"/>
  <c r="AW11" i="98"/>
  <c r="C11" i="103"/>
  <c r="D11" i="103" s="1"/>
  <c r="AW7" i="98"/>
  <c r="C7" i="103"/>
  <c r="D7" i="103" s="1"/>
  <c r="AW12" i="98"/>
  <c r="C12" i="103"/>
  <c r="D12" i="103" s="1"/>
  <c r="AW10" i="98"/>
  <c r="C10" i="103"/>
  <c r="D10" i="103" s="1"/>
  <c r="C69" i="96"/>
  <c r="C69" i="94"/>
  <c r="F40" i="96"/>
  <c r="G13" i="93"/>
  <c r="G12" i="93"/>
  <c r="H54" i="96"/>
  <c r="H47" i="96"/>
  <c r="D30" i="96"/>
  <c r="E31" i="96"/>
  <c r="D40" i="96"/>
  <c r="F30" i="96"/>
  <c r="H34" i="96"/>
  <c r="H31" i="96"/>
  <c r="H32" i="96"/>
  <c r="H35" i="96"/>
  <c r="H33" i="96"/>
  <c r="E18" i="96"/>
  <c r="H18" i="96"/>
  <c r="F10" i="93"/>
  <c r="F9" i="93"/>
  <c r="F8" i="93"/>
  <c r="H11" i="93"/>
  <c r="F14" i="93"/>
  <c r="E12" i="93"/>
  <c r="AW17" i="98" l="1"/>
  <c r="D9" i="93"/>
  <c r="H40" i="96"/>
  <c r="H30" i="96"/>
  <c r="D8" i="96"/>
  <c r="E40" i="96"/>
  <c r="C8" i="96"/>
  <c r="E30" i="96"/>
  <c r="D12" i="93"/>
  <c r="F15" i="93"/>
  <c r="E53" i="94"/>
  <c r="D6" i="93"/>
  <c r="D13" i="93"/>
  <c r="E10" i="93"/>
  <c r="E15" i="93"/>
  <c r="G15" i="93"/>
  <c r="H12" i="93"/>
  <c r="G7" i="93"/>
  <c r="H9" i="93"/>
  <c r="E6" i="93"/>
  <c r="E9" i="93"/>
  <c r="H13" i="93"/>
  <c r="H6" i="93"/>
  <c r="H10" i="93"/>
  <c r="E7" i="93"/>
  <c r="E13" i="93"/>
  <c r="E11" i="93"/>
  <c r="G9" i="93"/>
  <c r="F12" i="93"/>
  <c r="H7" i="93"/>
  <c r="E8" i="93"/>
  <c r="G5" i="93"/>
  <c r="F11" i="93"/>
  <c r="H14" i="93"/>
  <c r="E14" i="93"/>
  <c r="G10" i="93"/>
  <c r="F7" i="93"/>
  <c r="H15" i="93"/>
  <c r="F13" i="93"/>
  <c r="G6" i="93"/>
  <c r="F5" i="93"/>
  <c r="H8" i="93"/>
  <c r="G14" i="93"/>
  <c r="F6" i="93"/>
  <c r="G11" i="93"/>
  <c r="G8" i="93"/>
  <c r="D10" i="93" l="1"/>
  <c r="C10" i="93" s="1"/>
  <c r="J10" i="93" s="1"/>
  <c r="D11" i="93"/>
  <c r="C11" i="93" s="1"/>
  <c r="J11" i="93" s="1"/>
  <c r="D14" i="93"/>
  <c r="C14" i="93" s="1"/>
  <c r="J14" i="93" s="1"/>
  <c r="D15" i="93"/>
  <c r="C15" i="93" s="1"/>
  <c r="J15" i="93" s="1"/>
  <c r="D7" i="93"/>
  <c r="C7" i="93" s="1"/>
  <c r="J7" i="93" s="1"/>
  <c r="C12" i="93"/>
  <c r="J12" i="93" s="1"/>
  <c r="H5" i="93"/>
  <c r="C6" i="93"/>
  <c r="J6" i="93" s="1"/>
  <c r="C9" i="93"/>
  <c r="J9" i="93" s="1"/>
  <c r="D8" i="93"/>
  <c r="C8" i="93" s="1"/>
  <c r="J8" i="93" s="1"/>
  <c r="E5" i="93"/>
  <c r="D5" i="93"/>
  <c r="C13" i="93"/>
  <c r="J13" i="93" s="1"/>
  <c r="C5" i="93" l="1"/>
  <c r="J5" i="93" s="1"/>
  <c r="E50" i="94" l="1"/>
  <c r="E33" i="94"/>
  <c r="E49" i="94"/>
  <c r="E32" i="94"/>
  <c r="E21" i="94"/>
  <c r="E34" i="94"/>
  <c r="E51" i="94"/>
  <c r="E52" i="94"/>
  <c r="E48" i="94" l="1"/>
  <c r="E19" i="94"/>
  <c r="E20" i="94"/>
  <c r="E37" i="94"/>
  <c r="E22" i="94"/>
  <c r="E35" i="94"/>
  <c r="E18" i="94"/>
  <c r="C10" i="94" l="1"/>
  <c r="D47" i="94"/>
  <c r="D54" i="94"/>
  <c r="D30" i="94"/>
  <c r="E31" i="94"/>
  <c r="E36" i="94" l="1"/>
  <c r="E40" i="94" s="1"/>
  <c r="D40" i="94"/>
  <c r="E47" i="94"/>
  <c r="E54" i="94"/>
  <c r="E30" i="94"/>
  <c r="C8" i="94"/>
  <c r="C9" i="94" l="1"/>
  <c r="H52" i="94" l="1"/>
  <c r="H50" i="94"/>
  <c r="H38" i="94"/>
  <c r="H22" i="94"/>
  <c r="H21" i="94"/>
  <c r="H51" i="94"/>
  <c r="H19" i="94"/>
  <c r="H49" i="94"/>
  <c r="H18" i="94"/>
  <c r="H39" i="94"/>
  <c r="F34" i="94"/>
  <c r="H33" i="94" s="1"/>
  <c r="H20" i="94"/>
  <c r="H53" i="94"/>
  <c r="H48" i="94"/>
  <c r="H37" i="94"/>
  <c r="H36" i="94"/>
  <c r="F54" i="94"/>
  <c r="F47" i="94"/>
  <c r="F40" i="94" l="1"/>
  <c r="H35" i="94"/>
  <c r="F30" i="94"/>
  <c r="H54" i="94"/>
  <c r="H32" i="94"/>
  <c r="D9" i="94"/>
  <c r="D12" i="94"/>
  <c r="H47" i="94"/>
  <c r="H31" i="94"/>
  <c r="H34" i="94"/>
  <c r="D10" i="94"/>
  <c r="D11" i="94"/>
  <c r="H40" i="94" l="1"/>
  <c r="D8" i="94"/>
  <c r="H30" i="94"/>
  <c r="F34" i="44"/>
  <c r="E21" i="44"/>
  <c r="E34" i="44"/>
  <c r="H21" i="44"/>
  <c r="F54" i="44"/>
  <c r="H34" i="44" l="1"/>
  <c r="E34" i="1" l="1"/>
  <c r="C47" i="44" l="1"/>
  <c r="C40" i="44"/>
  <c r="C54" i="44"/>
  <c r="C30" i="44"/>
  <c r="H33" i="44" s="1"/>
  <c r="H35" i="44" l="1"/>
  <c r="H31" i="44"/>
  <c r="H32" i="44"/>
  <c r="C40" i="1" l="1"/>
  <c r="C47" i="1"/>
  <c r="E53" i="44"/>
  <c r="E52" i="44"/>
  <c r="E51" i="44"/>
  <c r="E49" i="44"/>
  <c r="E50" i="44"/>
  <c r="C30" i="1"/>
  <c r="C54" i="1"/>
  <c r="E36" i="44" l="1"/>
  <c r="C9" i="44" s="1"/>
  <c r="E48" i="44"/>
  <c r="D54" i="44"/>
  <c r="D47" i="44"/>
  <c r="E39" i="44"/>
  <c r="C12" i="44" s="1"/>
  <c r="E38" i="44"/>
  <c r="C11" i="44" s="1"/>
  <c r="E39" i="1"/>
  <c r="C12" i="1" s="1"/>
  <c r="E38" i="1"/>
  <c r="C11" i="1" s="1"/>
  <c r="C69" i="44" l="1"/>
  <c r="E54" i="44"/>
  <c r="E47" i="44"/>
  <c r="C69" i="1"/>
  <c r="E18" i="44" l="1"/>
  <c r="E21" i="1" l="1"/>
  <c r="E35" i="44"/>
  <c r="E22" i="44"/>
  <c r="E33" i="44"/>
  <c r="E20" i="44"/>
  <c r="E19" i="44"/>
  <c r="E32" i="44"/>
  <c r="E19" i="1"/>
  <c r="E31" i="44"/>
  <c r="E37" i="44" l="1"/>
  <c r="C10" i="44" s="1"/>
  <c r="C8" i="44"/>
  <c r="D40" i="44"/>
  <c r="D30" i="44"/>
  <c r="E30" i="44"/>
  <c r="E32" i="1"/>
  <c r="E40" i="44" l="1"/>
  <c r="E49" i="1"/>
  <c r="E48" i="1"/>
  <c r="E50" i="1"/>
  <c r="E52" i="1" l="1"/>
  <c r="E53" i="1"/>
  <c r="E33" i="1"/>
  <c r="E20" i="1"/>
  <c r="E35" i="1"/>
  <c r="E22" i="1"/>
  <c r="E36" i="1"/>
  <c r="C9" i="1" s="1"/>
  <c r="F34" i="1" l="1"/>
  <c r="H50" i="1"/>
  <c r="H21" i="1"/>
  <c r="E18" i="1"/>
  <c r="D40" i="1"/>
  <c r="H53" i="44"/>
  <c r="H50" i="44"/>
  <c r="H39" i="44"/>
  <c r="D12" i="44" s="1"/>
  <c r="H37" i="44"/>
  <c r="D10" i="44" s="1"/>
  <c r="H19" i="44"/>
  <c r="H38" i="44"/>
  <c r="D11" i="44" s="1"/>
  <c r="H22" i="44"/>
  <c r="H36" i="44"/>
  <c r="D9" i="44" s="1"/>
  <c r="H51" i="44"/>
  <c r="H20" i="44"/>
  <c r="H52" i="44"/>
  <c r="H49" i="44"/>
  <c r="H18" i="44"/>
  <c r="E51" i="1"/>
  <c r="F30" i="1" l="1"/>
  <c r="H34" i="1"/>
  <c r="H31" i="1"/>
  <c r="H33" i="1"/>
  <c r="H35" i="1"/>
  <c r="H32" i="1"/>
  <c r="D8" i="44"/>
  <c r="F40" i="44"/>
  <c r="F30" i="44"/>
  <c r="F47" i="44"/>
  <c r="E31" i="1"/>
  <c r="C8" i="1" s="1"/>
  <c r="D30" i="1"/>
  <c r="D54" i="1"/>
  <c r="D47" i="1"/>
  <c r="E37" i="1"/>
  <c r="C10" i="1" s="1"/>
  <c r="H51" i="1" l="1"/>
  <c r="H52" i="1"/>
  <c r="H53" i="1"/>
  <c r="H40" i="44"/>
  <c r="H30" i="44"/>
  <c r="H54" i="44"/>
  <c r="H47" i="44"/>
  <c r="H19" i="1"/>
  <c r="H20" i="1"/>
  <c r="H49" i="1"/>
  <c r="H18" i="1"/>
  <c r="H37" i="1"/>
  <c r="D10" i="1" s="1"/>
  <c r="H22" i="1"/>
  <c r="H36" i="1"/>
  <c r="E30" i="1"/>
  <c r="E40" i="1"/>
  <c r="E54" i="1"/>
  <c r="E47" i="1"/>
  <c r="D9" i="1" l="1"/>
  <c r="H38" i="1"/>
  <c r="D11" i="1" s="1"/>
  <c r="H39" i="1"/>
  <c r="D12" i="1" s="1"/>
  <c r="D8" i="1"/>
  <c r="F54" i="1"/>
  <c r="H48" i="1"/>
  <c r="F40" i="1"/>
  <c r="H30" i="1"/>
  <c r="F47" i="1"/>
  <c r="H40" i="1" l="1"/>
  <c r="H54" i="1"/>
  <c r="H47" i="1"/>
</calcChain>
</file>

<file path=xl/sharedStrings.xml><?xml version="1.0" encoding="utf-8"?>
<sst xmlns="http://schemas.openxmlformats.org/spreadsheetml/2006/main" count="1138" uniqueCount="401">
  <si>
    <t>OSLO</t>
  </si>
  <si>
    <t>Kommune</t>
  </si>
  <si>
    <t>K.nr.</t>
  </si>
  <si>
    <t>Landet</t>
  </si>
  <si>
    <t>Administrasjon</t>
  </si>
  <si>
    <t>Hovedkostnadsnøkkel</t>
  </si>
  <si>
    <t>Netto driftsutgifter, premieavvik, konsern</t>
  </si>
  <si>
    <t>Sum avskrivninger, konsern</t>
  </si>
  <si>
    <t>Avskrivninger, premieavvik, konsern</t>
  </si>
  <si>
    <t>Private statlige skoler (1000 kr)</t>
  </si>
  <si>
    <t>Delområde</t>
  </si>
  <si>
    <t>(1000 kroner)</t>
  </si>
  <si>
    <t>(per innbygger)</t>
  </si>
  <si>
    <t>Nto driftsutg eks avskr, premieavvik, konsern</t>
  </si>
  <si>
    <t>Nto driftsutg eks avskr, fellesutgifter, konsern</t>
  </si>
  <si>
    <t>Nto driftsutg eks avskr, næring, konsern</t>
  </si>
  <si>
    <t>Nto driftsutg eks avskr, tjenester utenf ordinært komm ansvarsområde, konsern</t>
  </si>
  <si>
    <t>Korreksjon statlige private skoler, kr per innbygger</t>
  </si>
  <si>
    <t>Sum</t>
  </si>
  <si>
    <t>Netto finans og avdrag, konsern</t>
  </si>
  <si>
    <t>Netto driftsresultat, konsern</t>
  </si>
  <si>
    <t>Sum inntekt, konsern</t>
  </si>
  <si>
    <t>Inntektsgrunnlag korrigert, andel av landssnitt</t>
  </si>
  <si>
    <t>Tjenester utenfor inntektssystemet</t>
  </si>
  <si>
    <t>Netto finans og avdrag</t>
  </si>
  <si>
    <t>Netto driftsresultat</t>
  </si>
  <si>
    <t>Sum                                       Nto driftsutg eks avskr, konsern + Netto finans og avdrag + Netto driftsresultat</t>
  </si>
  <si>
    <t>Premieavvik</t>
  </si>
  <si>
    <t>Nto driftsutg eks avskr, tjenester utenfor inntektssystemet, konsern</t>
  </si>
  <si>
    <t>Sum netto driftsutgifter, tjenester utenfor inntektssystemet, konsern</t>
  </si>
  <si>
    <t>Sum avskrivninger, tjenester utenfor inntektssystemet, konsern</t>
  </si>
  <si>
    <t>Sum innenfor inntektssystemet</t>
  </si>
  <si>
    <t>Sum øvrige</t>
  </si>
  <si>
    <t>Sum totalt</t>
  </si>
  <si>
    <t>Netto driftsutgift ekskl. avskrivninger</t>
  </si>
  <si>
    <t>Ressursbruk sammenlignet med landsgjennomsnitt korrigert for utgiftsbehov, og landsgjennomsnitt korrigert for utgiftsbehov og inntektsnivå</t>
  </si>
  <si>
    <t>Tjenester utenfor inntektssystemet - spesifisert - Ressursbruk sammenlignet med landsgjennomsnitt, og landsgjennomsnitt korrigert for inntektsnivå</t>
  </si>
  <si>
    <t>Næring</t>
  </si>
  <si>
    <t>Interkommunalt samarbeid</t>
  </si>
  <si>
    <t>Tjenester utenfor ord. komm. ansvarsomr</t>
  </si>
  <si>
    <t>(kr per innb)</t>
  </si>
  <si>
    <t xml:space="preserve">Ressursbruk         </t>
  </si>
  <si>
    <t xml:space="preserve"> (kr per innb)</t>
  </si>
  <si>
    <t xml:space="preserve">Landsgjennomsnitt korrigert for utgiftsbehov og inntektsnivå </t>
  </si>
  <si>
    <t xml:space="preserve">Ressursbruk sammenlignet med landsgjennomsnitt korrigert for utgiftsbehov og inntektsnivå                     </t>
  </si>
  <si>
    <t xml:space="preserve">Landsgjennomsnitt                </t>
  </si>
  <si>
    <t xml:space="preserve">Ressursbruk sammenlignet med landsgjennomsnitt                     </t>
  </si>
  <si>
    <t xml:space="preserve">Landsgjennomsnitt korrigert for inntektsnivå </t>
  </si>
  <si>
    <t xml:space="preserve">Ressursbruk sammenlignet med landsgjennomsnitt korrigert for inntektsnivå                    </t>
  </si>
  <si>
    <t xml:space="preserve">Ressursbruk sammenlignet med landsgjennomsnitt korrigert for utgiftsbehov                     </t>
  </si>
  <si>
    <t xml:space="preserve">Ressursbruk i.f.t landsgjennomsnitt   </t>
  </si>
  <si>
    <t xml:space="preserve">Utgiftsbehov ift landsgjennnomsnitt       </t>
  </si>
  <si>
    <t>Tjenester innenfor inntektssystemet - ressursbruk sammenlignet ned landsgjennomsnitt korrigert for utgiftsbehov og inntektsnivå</t>
  </si>
  <si>
    <t>pst</t>
  </si>
  <si>
    <t xml:space="preserve"> pst</t>
  </si>
  <si>
    <t>pst poeng</t>
  </si>
  <si>
    <t xml:space="preserve">Utgiftsbehov korrigert for inntektsnivå </t>
  </si>
  <si>
    <t>Ressursbruk sammenlignet med utgiftsbehov</t>
  </si>
  <si>
    <t xml:space="preserve">Ressursbruk sammenlignet med utgiftsbehov korrigert for inntektsnivå                     </t>
  </si>
  <si>
    <t>Sum Lønnsgrunnlag, konsern</t>
  </si>
  <si>
    <t>Lønnsgrunnlag, premieavvik, konsern</t>
  </si>
  <si>
    <t>Lønnsgrunnlag, fellesutgifter, konsern</t>
  </si>
  <si>
    <t>Lønnsgrunnlag, næring, konsern</t>
  </si>
  <si>
    <t>Lønnsgrunnlag, interkommunale samarbeid (§ 27-samarbeid), konsern</t>
  </si>
  <si>
    <t>Lønnsgrunnlag, tjenester utenf ordinært komm ansvarsområde, konsern</t>
  </si>
  <si>
    <t>Sum arbeidsgiveravgift, konsern</t>
  </si>
  <si>
    <t>Arbeidsgiveravgift, premieavvik, konsern</t>
  </si>
  <si>
    <t>Arbeidsgiveravgift, fellesutgifter, konsern</t>
  </si>
  <si>
    <t>Arbeidsgiveravgift, næring, konsern</t>
  </si>
  <si>
    <t>Arbeidsgiveravgift, interkommunale samarbeid (§ 27-samarbeid), konsern</t>
  </si>
  <si>
    <t>Arbeidsgiveravgift, tjenester utenf ordinært komm ansvarsområde, konsern</t>
  </si>
  <si>
    <t>Sum lønnsgrunnlag, tjenester utenfor inntektssystemet, konsern</t>
  </si>
  <si>
    <t>Sum arbeidsgiveravgift, tjenester utenfor inntektssystemet, konsern</t>
  </si>
  <si>
    <t>Lønnsandel</t>
  </si>
  <si>
    <t>Sum utenfor inntektssystemet</t>
  </si>
  <si>
    <t>Arbeidsgiveravift av lønnsandel</t>
  </si>
  <si>
    <t>Totalt</t>
  </si>
  <si>
    <t>Tjenester utenfor inntektssystemet, konsern</t>
  </si>
  <si>
    <t>Fellesutgifter, konsern</t>
  </si>
  <si>
    <t>Næring, konsern</t>
  </si>
  <si>
    <t>Interkommunale samarbeid (§ 27-samarbeid), konsern</t>
  </si>
  <si>
    <t>Premieavvik, konsern</t>
  </si>
  <si>
    <t>Utgiftsbehovnøkler</t>
  </si>
  <si>
    <t>Korreksjon arb.avg, tjenester utenfor inntektssystemet, konsern</t>
  </si>
  <si>
    <t>Spesifikasjon tjenester utenfor inntektssystemet</t>
  </si>
  <si>
    <t>Korreksjon arb.avg  fellesutgifter, konsern</t>
  </si>
  <si>
    <t>Korreksjon arb.avg  næring, konsern</t>
  </si>
  <si>
    <t>Korreksjon arb.avg  interkommunale samarbeid (§ 27-samarbeid), konsern</t>
  </si>
  <si>
    <t>Korreksjon arb.avg  tjenester utenf ordinært komm ansvarsområde, konsern</t>
  </si>
  <si>
    <t>Inntektsgrunnlag korrigert, kroner per innbygger</t>
  </si>
  <si>
    <t>Sum korreksjon utgiftsbehov , kr per innbygger</t>
  </si>
  <si>
    <t>Sum korreksjon arb.avg, konsern</t>
  </si>
  <si>
    <t>Sum Pensjon, konsern</t>
  </si>
  <si>
    <t>Sum Pensjon, tjenester utenfor inntektssystemet, konsern</t>
  </si>
  <si>
    <t>Pensjon, fellesutgifter, konsern</t>
  </si>
  <si>
    <t>Pensjon, næring, konsern</t>
  </si>
  <si>
    <t>Pensjon, interkommunale samarbeid (§ 27-samarbeid), konsern</t>
  </si>
  <si>
    <t>Pensjon, tjenester utenf ordinært komm ansvarsområde, konsern</t>
  </si>
  <si>
    <t>Pensjon av lønnsandel</t>
  </si>
  <si>
    <t>Pensjon</t>
  </si>
  <si>
    <t>Korreksjon pensjon, tjenester utenfor inntektssystemet, konsern</t>
  </si>
  <si>
    <t>Korreksjon pensjon  næring, konsern</t>
  </si>
  <si>
    <t>Korreksjon pensjon  interkommunale samarbeid (§ 27-samarbeid), konsern</t>
  </si>
  <si>
    <t>Korreksjon pensjon  tjenester utenf ordinært komm ansvarsområde, konsern</t>
  </si>
  <si>
    <t>Sum korreksjon pensjon, konsern</t>
  </si>
  <si>
    <t>Sum korreksjon, konsern</t>
  </si>
  <si>
    <t>Pensjon, premieavvik, konsern</t>
  </si>
  <si>
    <t>Brutto driftsutgifter, premieavvik, konsern</t>
  </si>
  <si>
    <t>Sum brutto driftsutgifter, konsern</t>
  </si>
  <si>
    <t>Bto driftsutg eks avskr, tjenester utenfor inntektssystemet, konsern</t>
  </si>
  <si>
    <t>Bto driftsutg eks avskr, fellesutgifter, konsern</t>
  </si>
  <si>
    <t>Bto driftsutg eks avskr, næring, konsern</t>
  </si>
  <si>
    <t>Bto driftsutg eks avskr, interkommunale samarbeid (§ 27-samarbeid), konsern</t>
  </si>
  <si>
    <t>Bto driftsutg eks avskr, tjenester utenf ordinært komm ansvarsområde, konsern</t>
  </si>
  <si>
    <t>Bto driftsutg eks avskr, premieavvik, konsern</t>
  </si>
  <si>
    <t>Brutto driftsutgift per innb</t>
  </si>
  <si>
    <t>Netto driftsutgift per innb</t>
  </si>
  <si>
    <t>Lønnsutgiftsbehov pensjon</t>
  </si>
  <si>
    <t>Premieavvik av lønnsutgiftsbehov</t>
  </si>
  <si>
    <t>Korreksjon premieavvik per innb vektet</t>
  </si>
  <si>
    <t>Premieavvik netto driftsutgift</t>
  </si>
  <si>
    <t>Korreksjon av premieavvik</t>
  </si>
  <si>
    <t>Sum korreksjon nøkkel eiendom per innb</t>
  </si>
  <si>
    <t>Eiendom grunnskolenøkkel uvektet</t>
  </si>
  <si>
    <t>Eiendom grunnskole-nøkkel vektet</t>
  </si>
  <si>
    <t>Korr grunnskole.nøkkel eiendom per innb</t>
  </si>
  <si>
    <t>Sum korreksjon eiendom 1000 kroner</t>
  </si>
  <si>
    <t>Tjenester utenfor inntsys</t>
  </si>
  <si>
    <t>Beregnet utgiftsbehov</t>
  </si>
  <si>
    <t>Tj utenfor ord. komm. ansv.</t>
  </si>
  <si>
    <t>Ressursbruk sammenlignet med landet</t>
  </si>
  <si>
    <t>Ressursbruk utgifts- og inntektskorrigert</t>
  </si>
  <si>
    <t>Hovedkostnadsindeks</t>
  </si>
  <si>
    <t>Sum utgiftsbehov</t>
  </si>
  <si>
    <t>Variasjonsmargin</t>
  </si>
  <si>
    <t xml:space="preserve">Ressursbruk </t>
  </si>
  <si>
    <t>DISPONIBEL INNTEKT OG KOMMUNENS PRIORITERINGER</t>
  </si>
  <si>
    <t>Sum øvrige tjenester</t>
  </si>
  <si>
    <t>Interkom. samarbeid</t>
  </si>
  <si>
    <t>Frie disponible inntekter</t>
  </si>
  <si>
    <t>Sum tjenester INNTSYS</t>
  </si>
  <si>
    <t>ROGALAND</t>
  </si>
  <si>
    <t>MØRE OG ROMSDAL</t>
  </si>
  <si>
    <t>NORDLAND</t>
  </si>
  <si>
    <t>Netto driftsutg., videregående opplæring, konsern</t>
  </si>
  <si>
    <t>Netto driftsutg., fylkesveger, konsern</t>
  </si>
  <si>
    <t>Netto driftsutg., tannhelsetjeneste, konsern</t>
  </si>
  <si>
    <t>Netto driftsutg., fellesutgifter, konsern</t>
  </si>
  <si>
    <t>Netto driftsutg., administrasjon, konsern</t>
  </si>
  <si>
    <t>Netto driftsutg., lokal og reg. utvikling, natur og miljø, konsern</t>
  </si>
  <si>
    <t>Netto driftsutg., næring, konsern</t>
  </si>
  <si>
    <t>Netto driftsutg., kultur og idrett, konsern</t>
  </si>
  <si>
    <t>Netto driftsutg., interkommunale samarbeid (§ 27-samarbeid), konsern</t>
  </si>
  <si>
    <t>Netto driftsutg., tjenester utenf ordinært komm ansvarsområde, konsern</t>
  </si>
  <si>
    <t>Netto driftsutg., eiendom, konsern</t>
  </si>
  <si>
    <t>Avskrivning, videregående opplæring, konsern</t>
  </si>
  <si>
    <t>Avskrivning, fylkesveger, konsern</t>
  </si>
  <si>
    <t>Avskrivning, tannhelsetjeneste, konsern</t>
  </si>
  <si>
    <t>Avskrivning, fellesutgifter, konsern</t>
  </si>
  <si>
    <t>Avskrivning, administrasjon, konsern</t>
  </si>
  <si>
    <t>Avskrivning, lokal og reg. utvikling, natur og miljø, konsern</t>
  </si>
  <si>
    <t>Avskrivning, næring, konsern</t>
  </si>
  <si>
    <t>Avskrivning, kultur og idrett, konsern</t>
  </si>
  <si>
    <t>Avskrivning, interkommunale samarbeid (§ 27-samarbeid), konsern</t>
  </si>
  <si>
    <t>Avskrivning, tjenester utenf ordinært komm ansvarsområde, konsern</t>
  </si>
  <si>
    <t>Avskrivninger, eiendom, konsern</t>
  </si>
  <si>
    <t>Nto driftsutg eks avskr, videregående opplæring, konsern</t>
  </si>
  <si>
    <t>Nto driftsutg eks avskr, fylkesveger, konsern</t>
  </si>
  <si>
    <t>Nto driftsutg eks avskr, tannhelsetj, konsern</t>
  </si>
  <si>
    <t>Nto driftsutg administrasjon, konsern</t>
  </si>
  <si>
    <t>Nto driftsutg eks avskr, lokal og reg. utvikling, natur og miljø, konsern</t>
  </si>
  <si>
    <t>Nto driftsutg eks avskr, kultur og idrett, konsern</t>
  </si>
  <si>
    <t>Nto driftsutg eks avskr,  interkommunale samarbeid (§ 27-samarbeid), konsern</t>
  </si>
  <si>
    <t>Nto driftsutg eks avskr, eiendom, konsern</t>
  </si>
  <si>
    <t>Videregående opplæring</t>
  </si>
  <si>
    <t>Fylkesveger</t>
  </si>
  <si>
    <t>Tannhelsetjeneste</t>
  </si>
  <si>
    <t>Lokal og reg. utvikling, natur og miljø</t>
  </si>
  <si>
    <t>Kultur og idrett</t>
  </si>
  <si>
    <t>Korreksjon utg.behov videreående opplæring, kr per innbygger</t>
  </si>
  <si>
    <t>Korreksjon utg.behov fylkesveger, kr per innbygger</t>
  </si>
  <si>
    <t>Korreksjon utg.behov tannhelsetjeneste, kr per innbygger</t>
  </si>
  <si>
    <t>Korreksjon arb.avgift videregående opplæring</t>
  </si>
  <si>
    <t>Korreksjon arb.avgift fylkesveger</t>
  </si>
  <si>
    <t>Korreksjon arb.avgift tannhelsetjeneste</t>
  </si>
  <si>
    <t>Korreksjon arb.avg  administrasjon, konsern</t>
  </si>
  <si>
    <t>Korreksjon arb.avg lokal og reg. utvikling, natur og miljø, konsern</t>
  </si>
  <si>
    <t>Korreksjon arb.avg  kultur og idrett, konsern</t>
  </si>
  <si>
    <t>Korreksjon pensjon videregående opplæring</t>
  </si>
  <si>
    <t>Korreksjon pensjon fylkesveger</t>
  </si>
  <si>
    <t>Korreksjon pensjon tannhelsetjeneste</t>
  </si>
  <si>
    <t>Korreksjon pensjon  administrasjon, konsern</t>
  </si>
  <si>
    <t>Korreksjon pensjon  lokal og reg. utvikling, natur og miljø, konsern</t>
  </si>
  <si>
    <t>Korreksjon pensjon kultur og idrett, konsern</t>
  </si>
  <si>
    <t>Lønnsgrunnlag, videregående opplæring, konsern</t>
  </si>
  <si>
    <t>Lønnsgrunnlag, fylkesveger, konsern</t>
  </si>
  <si>
    <t>Lønnsgrunnlag, tannhelsetjeneste, konsern</t>
  </si>
  <si>
    <t>Lønnsgrunnlag, administrasjon, konsern</t>
  </si>
  <si>
    <t>Lønnsgrunnlag, lokal og reg. utvikling, natur og miljø, konsern</t>
  </si>
  <si>
    <t>Lønnsgrunnlag, kultur og idrett, konsern</t>
  </si>
  <si>
    <t>Lønnsgrunnlag, eiendom, konsern</t>
  </si>
  <si>
    <t>Arbeidsgiveravgift, videregående opplæring, konsern</t>
  </si>
  <si>
    <t>Arbeidsgiveravgift, fylkesveger, konsern</t>
  </si>
  <si>
    <t>Arbeidsgiveravgift, tannhelsetjeneste, konsern</t>
  </si>
  <si>
    <t>Arbeidsgiveravgift, administrasjon, konsern</t>
  </si>
  <si>
    <t>Arbeidsgiveravgift, lokal og reg. utvikling, natur og miljø, konsern</t>
  </si>
  <si>
    <t>Arbeidsgiveravgift, kultur og idrett, konsern</t>
  </si>
  <si>
    <t>Arbeidsgiveravgift, eiendom, konsern</t>
  </si>
  <si>
    <t>Pensjon, videregående opplæring, konsern</t>
  </si>
  <si>
    <t>Pensjon, fylkesveger, konsern</t>
  </si>
  <si>
    <t>Pensjon, tannhelsetjeneste, konsern</t>
  </si>
  <si>
    <t>Pensjon, administrasjon, konsern</t>
  </si>
  <si>
    <t>Pensjon, lokal og reg. utvikling, natur og miljø, konsern</t>
  </si>
  <si>
    <t>Pensjon, kultur og idrett, konsern</t>
  </si>
  <si>
    <t>Pensjon, eiendom, konsern</t>
  </si>
  <si>
    <t>Kostnadsindeks vidergående opplæring</t>
  </si>
  <si>
    <t>Kostnadsindeks fylkesveger</t>
  </si>
  <si>
    <t>Kostnadsindeks tannhelsetjeneste</t>
  </si>
  <si>
    <t>Videregående opplæring uvektet</t>
  </si>
  <si>
    <t>Videregående opplæring vektet</t>
  </si>
  <si>
    <t>Videregående opplæring vektet per innbygger</t>
  </si>
  <si>
    <t>Fylkesveger uvektet</t>
  </si>
  <si>
    <t>Fylkesveger vektet</t>
  </si>
  <si>
    <t>Fylkesveger vektet per innbygger</t>
  </si>
  <si>
    <t>Tannhelsetjeneste uvektet</t>
  </si>
  <si>
    <t>Tannhelsetjeneste vektet</t>
  </si>
  <si>
    <t>Tannhelsetjeneste vektet per innbygger</t>
  </si>
  <si>
    <t>Videregående opplæring vektet indeks</t>
  </si>
  <si>
    <t>Fylkesveger vektet indeks</t>
  </si>
  <si>
    <t>Tannhelsetjeneste vektet indeks</t>
  </si>
  <si>
    <t>Korr pensjon videregående opplæring vektet</t>
  </si>
  <si>
    <t>Korr pensjon videregående opplæring vektet per innbygger</t>
  </si>
  <si>
    <t>Korr pensjon fylkesveger vektet</t>
  </si>
  <si>
    <t>Korr pensjon fylkesveger vektet per innbygger</t>
  </si>
  <si>
    <t>Korr pensjon administrasjon vektet</t>
  </si>
  <si>
    <t>Korr pensjon administrasjon vektet per innbygger</t>
  </si>
  <si>
    <t>Korr pensjon næring vektet</t>
  </si>
  <si>
    <t>Korr pensjon næring vektet per innbygger</t>
  </si>
  <si>
    <t>Korr pensjon kultur og idrett vektet</t>
  </si>
  <si>
    <t>Korr pensjon kultur og idrett vektet per innbygger</t>
  </si>
  <si>
    <t>Tannhelse- tjenester</t>
  </si>
  <si>
    <t>Videregående opplæring, konsern</t>
  </si>
  <si>
    <t>Fylkesveger, konsern</t>
  </si>
  <si>
    <t>Tannhelse-tjenesten, konsern</t>
  </si>
  <si>
    <t>Administrasjon, konsern</t>
  </si>
  <si>
    <t xml:space="preserve"> Lokal og reg. utvikling, natur og miljø, konsern</t>
  </si>
  <si>
    <t>Kultur og idrett, konsern</t>
  </si>
  <si>
    <t>Tjenester utenf ordinært komm ansvarsområde, konsern</t>
  </si>
  <si>
    <t>Eiendom, konsern</t>
  </si>
  <si>
    <t>Arbeidsgiveravgift</t>
  </si>
  <si>
    <t>Brutto driftsutg eks avskr, videregående opplæring, konsern</t>
  </si>
  <si>
    <t>Brutto driftsutg eks avskr, fylkesveger, konsern</t>
  </si>
  <si>
    <t>Brutto driftsutg eks avskr, tannhelsetj, konsern</t>
  </si>
  <si>
    <t>Brutto driftsutg eks avskr, tjenester utenfor inntektssystemet, konsern</t>
  </si>
  <si>
    <t>Brutto driftsutg eks avskr, fellesutgifter, konsern</t>
  </si>
  <si>
    <t>Brutto driftsutg administrasjon, konsern</t>
  </si>
  <si>
    <t>Brutto driftsutg eks avskr, lokal og reg. utvikling, natur og miljø, konsern</t>
  </si>
  <si>
    <t>Brutto driftsutg eks avskr, næring, konsern</t>
  </si>
  <si>
    <t>Brutto driftsutg eks avskr, kultur og idrett, konsern</t>
  </si>
  <si>
    <t>Brutto driftsutg eks avskr,  interkommunale samarbeid (§ 27-samarbeid), konsern</t>
  </si>
  <si>
    <t>Brutto driftsutg eks avskr, tjenester utenf ordinært komm ansvarsområde, konsern</t>
  </si>
  <si>
    <t>Brutto driftsutg eks avskr, eiendom, konsern</t>
  </si>
  <si>
    <t>Bto driftsutg eks avskr, videregående opplæring, konsern</t>
  </si>
  <si>
    <t>Bto driftsutg eks avskr, fylkesveger, konsern</t>
  </si>
  <si>
    <t>Bto driftsutg eks avskr, tannhelsetjenesten, konsern</t>
  </si>
  <si>
    <t>Bto driftsutg eks avskr, administrasjon, konsern</t>
  </si>
  <si>
    <t>Bto driftsutg eks avskr, lokal og reg. utvikling, natur og miljø, konsern</t>
  </si>
  <si>
    <t>Bto driftsutg eks avskr, kultur og idrett, konsern</t>
  </si>
  <si>
    <t>Bto driftsutg eks avskr, eiendom, konsern</t>
  </si>
  <si>
    <t>Tannhelse-tjeneste</t>
  </si>
  <si>
    <t xml:space="preserve">Utgiftsbehov landsgjennnomsnitt       </t>
  </si>
  <si>
    <t>Reg. utvikling, natur og miljø</t>
  </si>
  <si>
    <t>Øvrige tjenester</t>
  </si>
  <si>
    <t>Tjenester innenfor INNTSYS</t>
  </si>
  <si>
    <t>Fylke</t>
  </si>
  <si>
    <t>Fylke utgiftskorrigert</t>
  </si>
  <si>
    <t>Fylke utgifts- og inntektskorrigert</t>
  </si>
  <si>
    <t>Sum                                       Bto driftsutg eks avskr, konsern</t>
  </si>
  <si>
    <t>Buss og bane</t>
  </si>
  <si>
    <t>Båt og ferje</t>
  </si>
  <si>
    <t>Korreksjon utg.behov buss og bane, kr per innbygger</t>
  </si>
  <si>
    <t>Korreksjon utg.behov båt og ferje, kr per innbygger</t>
  </si>
  <si>
    <t>Korreksjon arb.avgift buss og bane</t>
  </si>
  <si>
    <t>Korreksjon arb.avgift båt og ferje</t>
  </si>
  <si>
    <t>Korreksjon pensjon buss og bane</t>
  </si>
  <si>
    <t>Korreksjon pensjon båt og ferje</t>
  </si>
  <si>
    <t>Netto driftsutg., buss og bane, konsern</t>
  </si>
  <si>
    <t>Netto driftsutg., båt og ferje, konsern</t>
  </si>
  <si>
    <t>Avskrivning, buss og bane, konsern</t>
  </si>
  <si>
    <t>Avskrivning, båt og ferje, konsern</t>
  </si>
  <si>
    <t>Nto driftsutg eks avskr, buss og bane, konsern</t>
  </si>
  <si>
    <t>Nto driftsutg eks avskr, båt og ferje, konsern</t>
  </si>
  <si>
    <t>Lønnsgrunnlag, buss og bane, konsern</t>
  </si>
  <si>
    <t>Lønnsgrunnlag, båt og ferje, konsern</t>
  </si>
  <si>
    <t>Arbeidsgiveravgift, buss og bane, konsern</t>
  </si>
  <si>
    <t>Arbeidsgiveravgift, båt og ferje, konsern</t>
  </si>
  <si>
    <t>Pensjon, buss og bane, konsern</t>
  </si>
  <si>
    <t>Pensjon, båt og ferje, konsern</t>
  </si>
  <si>
    <t>Buss og bane, konsern</t>
  </si>
  <si>
    <t>Båt og ferje, konsern</t>
  </si>
  <si>
    <t>Kostnadsindeks buss og bane</t>
  </si>
  <si>
    <t>Kostnadsindeks båt og ferje</t>
  </si>
  <si>
    <t>Buss og bane uvektet</t>
  </si>
  <si>
    <t>Buss og bane vektet</t>
  </si>
  <si>
    <t>Buss og bane vektet per innbygger</t>
  </si>
  <si>
    <t>Buss og bane vektet indeks</t>
  </si>
  <si>
    <t>Båt og ferje vektet indeks</t>
  </si>
  <si>
    <t>Brutto driftsutg eks avskr, buss og bane, konsern</t>
  </si>
  <si>
    <t>Brutto driftsutg eks avskr, båt og ferje, konsern</t>
  </si>
  <si>
    <t>Bto driftsutg eks avskr, buss og bane, konsern</t>
  </si>
  <si>
    <t>Bto driftsutg eks avskr, båt og ferje, konsern</t>
  </si>
  <si>
    <t>Korr pensjon buss og bane vektet</t>
  </si>
  <si>
    <t>Korr pensjon buss og bane vektet per innbygger</t>
  </si>
  <si>
    <t>Korr pensjon båt og ferje vektet</t>
  </si>
  <si>
    <t>Korr pensjon båt og ferje vektet per innbygger</t>
  </si>
  <si>
    <t>Ressursbruk korrigert for utgiftsbehov</t>
  </si>
  <si>
    <t>Korreksjoner</t>
  </si>
  <si>
    <t>Videregående</t>
  </si>
  <si>
    <t>Båt og ferje uvektet</t>
  </si>
  <si>
    <t>Båt og ferje vektet</t>
  </si>
  <si>
    <t>Båt og ferje vektet per innbygger</t>
  </si>
  <si>
    <t>Differanse nøkkel GH</t>
  </si>
  <si>
    <t>Beregning gjennomsnitt pensjon, videregående opplæring</t>
  </si>
  <si>
    <t>Revektingsgrunnlag videregående opplæring</t>
  </si>
  <si>
    <t>Revektet kostnadsnøkkel, pensjon videregående opplæring</t>
  </si>
  <si>
    <t>Utgiftsandel pensjon, videregående opplæring</t>
  </si>
  <si>
    <t>Revektet beregning gjennomsnitt pensjon, videregående opplæring</t>
  </si>
  <si>
    <t>Beregning gjennomsnitt pensjon, fylkesveger</t>
  </si>
  <si>
    <t>Revektingsgrunnlag fylkesveger</t>
  </si>
  <si>
    <t>Utgiftsandel pensjon, fylkesveger</t>
  </si>
  <si>
    <t>Revektet kostnadsnøkkel, pensjon fylkesveger</t>
  </si>
  <si>
    <t>Revektet beregning gjennomsnitt pensjon, fylkesveger</t>
  </si>
  <si>
    <t>Beregning gjennomsnitt pensjon, buss og bane</t>
  </si>
  <si>
    <t>Revektingsgrunnlag buss og bane</t>
  </si>
  <si>
    <t>Utgiftsandel pensjon, buss og bane</t>
  </si>
  <si>
    <t>Revektet kostnadsnøkkel, pensjon buss og bane</t>
  </si>
  <si>
    <t>Revektet beregning gjennomsnitt pensjon, buss og bane</t>
  </si>
  <si>
    <t>Beregning gjennomsnitt pensjon, båt og ferje</t>
  </si>
  <si>
    <t>Revektingsgrunnlag båt og ferje</t>
  </si>
  <si>
    <t>Utgiftsandel pensjon, båt og ferje</t>
  </si>
  <si>
    <t>Revektet kostnadsnøkkel, pensjon båt og ferje</t>
  </si>
  <si>
    <t>Revektet beregning gjennomsnitt pensjon, båt og ferje</t>
  </si>
  <si>
    <t>Beregning gjennomsnitt pensjon, tannhelsetjeneste</t>
  </si>
  <si>
    <t>Revektingsgrunnlag tannhelsetjeneste</t>
  </si>
  <si>
    <t>Utgiftsandel pensjon, tannhelsetjeneste</t>
  </si>
  <si>
    <t>Revektet kostnadsnøkkel, pensjon tannhelsetjeneste</t>
  </si>
  <si>
    <t>Revektet beregning gjennomsnitt pensjon, tannhelsetjeneste</t>
  </si>
  <si>
    <t>Korr pensjon tannhelsetjeneste vektet per innbygger</t>
  </si>
  <si>
    <t>Korr pensjon tannhelsetjeneste vektet</t>
  </si>
  <si>
    <t>Beregning gjennomsnitt pensjon, administrasjon</t>
  </si>
  <si>
    <t>Revektingsgrunnlag administrasjon</t>
  </si>
  <si>
    <t>Utgiftsandel pensjon, administrasjon</t>
  </si>
  <si>
    <t>Revektet kostnadsnøkkel, pensjon administrasjon</t>
  </si>
  <si>
    <t>Revektet beregning gjennomsnitt pensjon, administrasjon</t>
  </si>
  <si>
    <t>Beregning gjennomsnitt pensjon, lokal pg reg.utvikling, natur og miljø</t>
  </si>
  <si>
    <t>Revektingsgrunnlag lokal pg reg.utvikling, natur og miljø</t>
  </si>
  <si>
    <t>Utgiftsandel pensjon, lokal pg reg.utvikling, natur og miljø</t>
  </si>
  <si>
    <t>Revektet kostnadsnøkkel, pensjon lokal pg reg.utvikling, natur og miljø</t>
  </si>
  <si>
    <t>Revektet beregning gjennomsnitt pensjon, lokal pg reg.utvikling, natur og miljø</t>
  </si>
  <si>
    <t>Korr pensjon lokal pg reg.utvikling, natur og miljø vektet per innbygger</t>
  </si>
  <si>
    <t>Korr pensjon lokal pg reg.utvikling, natur og miljø vektet</t>
  </si>
  <si>
    <t>Beregning gjennomsnitt pensjon, næring</t>
  </si>
  <si>
    <t>Revektingsgrunnlag næring</t>
  </si>
  <si>
    <t>Utgiftsandel pensjon, næring</t>
  </si>
  <si>
    <t>Revektet kostnadsnøkkel, pensjon næring</t>
  </si>
  <si>
    <t>Revektet beregning gjennomsnitt pensjon, næring</t>
  </si>
  <si>
    <t>Beregning gjennomsnitt pensjon, kultur og idrett</t>
  </si>
  <si>
    <t>Revektingsgrunnlag kultur og idrett</t>
  </si>
  <si>
    <t>Utgiftsandel pensjon, kultur og idrett</t>
  </si>
  <si>
    <t>Revektet kostnadsnøkkel, pensjon kultur og idrett</t>
  </si>
  <si>
    <t>Revektet beregning gjennomsnitt pensjon, kultur og idrett</t>
  </si>
  <si>
    <t>Beregning gjennomsnitt pensjon, interkommunale samarbeid</t>
  </si>
  <si>
    <t>Revektingsgrunnlag interkommunale samarbeid</t>
  </si>
  <si>
    <t>Utgiftsandel pensjon, interkommunale samarbeid</t>
  </si>
  <si>
    <t>Revektet kostnadsnøkkel, pensjon interkommunale samarbeid</t>
  </si>
  <si>
    <t>Revektet beregning gjennomsnitt pensjon, interkommunale samarbeid</t>
  </si>
  <si>
    <t>Korr pensjon interkommunale samarbeid vektet per innbygger</t>
  </si>
  <si>
    <t>Korr pensjon interkommunale samarbeid vektet</t>
  </si>
  <si>
    <t>Beregning gjennomsnitt pensjon, tjenester utenfor</t>
  </si>
  <si>
    <t>Revektingsgrunnlag tjenester utenfor</t>
  </si>
  <si>
    <t>Utgiftsandel pensjon, tjenester utenfor</t>
  </si>
  <si>
    <t>Revektet kostnadsnøkkel, pensjon tjenester utenfor</t>
  </si>
  <si>
    <t>Revektet beregning gjennomsnitt pensjon, tjenester utenfor</t>
  </si>
  <si>
    <t>Korr pensjon tjenester utenfor vektet per innbygger</t>
  </si>
  <si>
    <t>Korr pensjon tjenester utenfor vektet</t>
  </si>
  <si>
    <t>Lønnsutgiftsbehov kroner per innbygger</t>
  </si>
  <si>
    <t>Indeks lønnsutgiftsbehov</t>
  </si>
  <si>
    <t>Beregning av gjennomsnittlig premieavvik</t>
  </si>
  <si>
    <t>Korreksjon premieavvik, kroner</t>
  </si>
  <si>
    <t>Sammenlignes med:</t>
  </si>
  <si>
    <t>TRØNDELAG</t>
  </si>
  <si>
    <t>VIKEN</t>
  </si>
  <si>
    <t>INNLANDET</t>
  </si>
  <si>
    <t>VESTFOLD OG TELEMARK</t>
  </si>
  <si>
    <t>AGDER</t>
  </si>
  <si>
    <t>VESTLAND</t>
  </si>
  <si>
    <t>TROMS OG FINNMARK</t>
  </si>
  <si>
    <t>VESTFOLD OG TELEMRK</t>
  </si>
  <si>
    <t>Innbyggere 01.07.2021</t>
  </si>
  <si>
    <t>Innbyggere 1.7.2022</t>
  </si>
  <si>
    <t>Innbyggere 1.7.2022 korrigert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</si>
</sst>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 * #,##0.00_ ;_ * \-#,##0.00_ ;_ * &quot;-&quot;??_ ;_ @_ "/>
    <numFmt numFmtId="165" formatCode="0000"/>
    <numFmt numFmtId="166" formatCode="#,##0.000000"/>
    <numFmt numFmtId="167" formatCode="0.00000"/>
    <numFmt numFmtId="168" formatCode="0.0\ %"/>
    <numFmt numFmtId="169" formatCode="#,##0.0000"/>
    <numFmt numFmtId="170" formatCode="0.0000"/>
    <numFmt numFmtId="171" formatCode="0.000000"/>
    <numFmt numFmtId="172" formatCode="#,##0.0000000000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u/>
      <sz val="10"/>
      <color indexed="30"/>
      <name val="Arial"/>
      <family val="2"/>
    </font>
    <font>
      <sz val="10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name val="Comic Sans MS"/>
      <family val="4"/>
    </font>
    <font>
      <i/>
      <sz val="9"/>
      <name val="Comic Sans MS"/>
      <family val="4"/>
    </font>
    <font>
      <b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1">
    <xf numFmtId="0" fontId="0" fillId="0" borderId="0"/>
    <xf numFmtId="0" fontId="3" fillId="0" borderId="0"/>
    <xf numFmtId="0" fontId="4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3" applyNumberFormat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8" borderId="3" applyNumberFormat="0" applyAlignment="0" applyProtection="0"/>
    <xf numFmtId="0" fontId="14" fillId="0" borderId="4" applyNumberFormat="0" applyFill="0" applyAlignment="0" applyProtection="0"/>
    <xf numFmtId="164" fontId="4" fillId="0" borderId="0" applyFont="0" applyFill="0" applyBorder="0" applyAlignment="0" applyProtection="0"/>
    <xf numFmtId="0" fontId="15" fillId="18" borderId="5" applyNumberFormat="0" applyAlignment="0" applyProtection="0"/>
    <xf numFmtId="0" fontId="7" fillId="19" borderId="6" applyNumberFormat="0" applyFont="0" applyAlignment="0" applyProtection="0"/>
    <xf numFmtId="0" fontId="7" fillId="0" borderId="0"/>
    <xf numFmtId="0" fontId="7" fillId="0" borderId="0"/>
    <xf numFmtId="0" fontId="16" fillId="20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Alignment="0">
      <alignment horizontal="left"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7" borderId="11" applyNumberFormat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3" fontId="3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/>
    <xf numFmtId="167" fontId="0" fillId="0" borderId="0" xfId="0" applyNumberFormat="1"/>
    <xf numFmtId="3" fontId="0" fillId="0" borderId="0" xfId="0" applyNumberFormat="1"/>
    <xf numFmtId="0" fontId="3" fillId="2" borderId="0" xfId="1" applyFill="1" applyAlignment="1">
      <alignment horizontal="center" wrapText="1"/>
    </xf>
    <xf numFmtId="0" fontId="2" fillId="0" borderId="0" xfId="0" applyFont="1"/>
    <xf numFmtId="3" fontId="24" fillId="0" borderId="0" xfId="0" applyNumberFormat="1" applyFont="1"/>
    <xf numFmtId="0" fontId="24" fillId="0" borderId="0" xfId="0" applyFont="1"/>
    <xf numFmtId="167" fontId="0" fillId="27" borderId="0" xfId="0" applyNumberFormat="1" applyFill="1"/>
    <xf numFmtId="3" fontId="3" fillId="27" borderId="0" xfId="0" applyNumberFormat="1" applyFont="1" applyFill="1"/>
    <xf numFmtId="0" fontId="3" fillId="27" borderId="2" xfId="1" applyFill="1" applyBorder="1" applyAlignment="1">
      <alignment horizontal="center"/>
    </xf>
    <xf numFmtId="0" fontId="3" fillId="27" borderId="1" xfId="1" applyFill="1" applyBorder="1" applyAlignment="1">
      <alignment horizontal="center" wrapText="1"/>
    </xf>
    <xf numFmtId="3" fontId="0" fillId="0" borderId="13" xfId="0" applyNumberFormat="1" applyBorder="1"/>
    <xf numFmtId="0" fontId="0" fillId="26" borderId="14" xfId="0" applyFill="1" applyBorder="1" applyAlignment="1">
      <alignment horizontal="center" wrapText="1"/>
    </xf>
    <xf numFmtId="3" fontId="0" fillId="27" borderId="16" xfId="0" applyNumberFormat="1" applyFill="1" applyBorder="1"/>
    <xf numFmtId="3" fontId="0" fillId="27" borderId="0" xfId="0" applyNumberFormat="1" applyFill="1"/>
    <xf numFmtId="0" fontId="0" fillId="27" borderId="15" xfId="0" applyFill="1" applyBorder="1" applyAlignment="1">
      <alignment horizontal="center" wrapText="1"/>
    </xf>
    <xf numFmtId="0" fontId="0" fillId="27" borderId="1" xfId="0" applyFill="1" applyBorder="1" applyAlignment="1">
      <alignment horizontal="center" wrapText="1"/>
    </xf>
    <xf numFmtId="0" fontId="0" fillId="26" borderId="1" xfId="0" applyFill="1" applyBorder="1" applyAlignment="1">
      <alignment horizontal="center" wrapText="1"/>
    </xf>
    <xf numFmtId="0" fontId="0" fillId="27" borderId="0" xfId="0" applyFill="1"/>
    <xf numFmtId="3" fontId="0" fillId="0" borderId="2" xfId="0" applyNumberFormat="1" applyBorder="1"/>
    <xf numFmtId="0" fontId="0" fillId="0" borderId="2" xfId="0" applyBorder="1"/>
    <xf numFmtId="0" fontId="3" fillId="2" borderId="1" xfId="1" applyFill="1" applyBorder="1" applyAlignment="1">
      <alignment horizontal="center" wrapText="1"/>
    </xf>
    <xf numFmtId="3" fontId="2" fillId="0" borderId="0" xfId="0" applyNumberFormat="1" applyFont="1"/>
    <xf numFmtId="3" fontId="0" fillId="0" borderId="17" xfId="0" applyNumberFormat="1" applyBorder="1"/>
    <xf numFmtId="3" fontId="0" fillId="27" borderId="18" xfId="0" applyNumberFormat="1" applyFill="1" applyBorder="1"/>
    <xf numFmtId="0" fontId="0" fillId="0" borderId="23" xfId="0" applyBorder="1"/>
    <xf numFmtId="3" fontId="0" fillId="0" borderId="19" xfId="0" applyNumberFormat="1" applyBorder="1"/>
    <xf numFmtId="3" fontId="0" fillId="0" borderId="12" xfId="0" applyNumberFormat="1" applyBorder="1"/>
    <xf numFmtId="3" fontId="0" fillId="27" borderId="12" xfId="0" applyNumberFormat="1" applyFill="1" applyBorder="1"/>
    <xf numFmtId="0" fontId="0" fillId="0" borderId="24" xfId="0" applyBorder="1"/>
    <xf numFmtId="0" fontId="0" fillId="0" borderId="22" xfId="0" applyBorder="1"/>
    <xf numFmtId="3" fontId="0" fillId="27" borderId="20" xfId="0" applyNumberFormat="1" applyFill="1" applyBorder="1"/>
    <xf numFmtId="0" fontId="0" fillId="26" borderId="2" xfId="0" applyFill="1" applyBorder="1" applyAlignment="1">
      <alignment horizontal="center" wrapText="1"/>
    </xf>
    <xf numFmtId="0" fontId="0" fillId="27" borderId="2" xfId="0" applyFill="1" applyBorder="1" applyAlignment="1">
      <alignment horizontal="center" wrapText="1"/>
    </xf>
    <xf numFmtId="0" fontId="0" fillId="27" borderId="18" xfId="0" applyFill="1" applyBorder="1" applyAlignment="1">
      <alignment horizontal="center" wrapText="1"/>
    </xf>
    <xf numFmtId="0" fontId="0" fillId="26" borderId="21" xfId="0" applyFill="1" applyBorder="1"/>
    <xf numFmtId="0" fontId="0" fillId="26" borderId="22" xfId="0" applyFill="1" applyBorder="1"/>
    <xf numFmtId="3" fontId="0" fillId="27" borderId="2" xfId="0" applyNumberFormat="1" applyFill="1" applyBorder="1"/>
    <xf numFmtId="0" fontId="0" fillId="26" borderId="17" xfId="0" applyFill="1" applyBorder="1" applyAlignment="1">
      <alignment horizontal="center" wrapText="1"/>
    </xf>
    <xf numFmtId="0" fontId="25" fillId="0" borderId="0" xfId="0" applyFont="1"/>
    <xf numFmtId="165" fontId="3" fillId="0" borderId="0" xfId="31" applyNumberFormat="1" applyFont="1" applyAlignment="1">
      <alignment horizontal="left"/>
    </xf>
    <xf numFmtId="3" fontId="3" fillId="0" borderId="0" xfId="31" applyNumberFormat="1" applyFont="1"/>
    <xf numFmtId="0" fontId="7" fillId="0" borderId="0" xfId="31"/>
    <xf numFmtId="168" fontId="0" fillId="0" borderId="0" xfId="0" applyNumberFormat="1"/>
    <xf numFmtId="0" fontId="3" fillId="28" borderId="1" xfId="1" applyFill="1" applyBorder="1" applyAlignment="1">
      <alignment horizontal="center" wrapText="1"/>
    </xf>
    <xf numFmtId="0" fontId="3" fillId="28" borderId="2" xfId="1" applyFill="1" applyBorder="1" applyAlignment="1">
      <alignment horizontal="center"/>
    </xf>
    <xf numFmtId="0" fontId="0" fillId="28" borderId="0" xfId="0" applyFill="1"/>
    <xf numFmtId="3" fontId="3" fillId="28" borderId="0" xfId="0" applyNumberFormat="1" applyFont="1" applyFill="1"/>
    <xf numFmtId="167" fontId="0" fillId="28" borderId="0" xfId="0" applyNumberFormat="1" applyFill="1"/>
    <xf numFmtId="0" fontId="3" fillId="0" borderId="1" xfId="1" applyBorder="1" applyAlignment="1">
      <alignment horizontal="center" wrapText="1"/>
    </xf>
    <xf numFmtId="0" fontId="3" fillId="0" borderId="2" xfId="1" applyBorder="1" applyAlignment="1">
      <alignment horizontal="center"/>
    </xf>
    <xf numFmtId="3" fontId="0" fillId="29" borderId="0" xfId="0" applyNumberFormat="1" applyFill="1"/>
    <xf numFmtId="0" fontId="26" fillId="2" borderId="2" xfId="0" applyFont="1" applyFill="1" applyBorder="1" applyAlignment="1">
      <alignment horizontal="center" wrapText="1"/>
    </xf>
    <xf numFmtId="10" fontId="27" fillId="30" borderId="0" xfId="38" applyNumberFormat="1" applyFont="1" applyFill="1"/>
    <xf numFmtId="3" fontId="0" fillId="0" borderId="0" xfId="0" applyNumberFormat="1" applyAlignment="1">
      <alignment horizontal="center"/>
    </xf>
    <xf numFmtId="0" fontId="0" fillId="0" borderId="0" xfId="0" quotePrefix="1"/>
    <xf numFmtId="169" fontId="0" fillId="0" borderId="0" xfId="0" applyNumberFormat="1"/>
    <xf numFmtId="166" fontId="0" fillId="0" borderId="0" xfId="0" applyNumberFormat="1"/>
    <xf numFmtId="0" fontId="0" fillId="31" borderId="22" xfId="0" applyFill="1" applyBorder="1"/>
    <xf numFmtId="0" fontId="0" fillId="0" borderId="13" xfId="0" applyBorder="1"/>
    <xf numFmtId="0" fontId="0" fillId="0" borderId="17" xfId="0" applyBorder="1"/>
    <xf numFmtId="3" fontId="0" fillId="27" borderId="21" xfId="0" applyNumberFormat="1" applyFill="1" applyBorder="1"/>
    <xf numFmtId="3" fontId="0" fillId="27" borderId="24" xfId="0" applyNumberFormat="1" applyFill="1" applyBorder="1"/>
    <xf numFmtId="3" fontId="0" fillId="27" borderId="22" xfId="0" applyNumberFormat="1" applyFill="1" applyBorder="1"/>
    <xf numFmtId="0" fontId="0" fillId="26" borderId="15" xfId="0" applyFill="1" applyBorder="1" applyAlignment="1">
      <alignment horizontal="center" wrapText="1"/>
    </xf>
    <xf numFmtId="170" fontId="0" fillId="0" borderId="16" xfId="0" applyNumberFormat="1" applyBorder="1"/>
    <xf numFmtId="170" fontId="0" fillId="0" borderId="18" xfId="0" applyNumberFormat="1" applyBorder="1"/>
    <xf numFmtId="170" fontId="0" fillId="0" borderId="13" xfId="0" applyNumberFormat="1" applyBorder="1"/>
    <xf numFmtId="170" fontId="0" fillId="0" borderId="17" xfId="0" applyNumberFormat="1" applyBorder="1"/>
    <xf numFmtId="0" fontId="28" fillId="0" borderId="0" xfId="0" applyFont="1"/>
    <xf numFmtId="0" fontId="0" fillId="26" borderId="23" xfId="0" applyFill="1" applyBorder="1"/>
    <xf numFmtId="3" fontId="0" fillId="0" borderId="24" xfId="0" applyNumberFormat="1" applyBorder="1"/>
    <xf numFmtId="3" fontId="0" fillId="0" borderId="22" xfId="0" applyNumberFormat="1" applyBorder="1"/>
    <xf numFmtId="0" fontId="0" fillId="26" borderId="23" xfId="0" applyFill="1" applyBorder="1" applyAlignment="1">
      <alignment horizontal="center" wrapText="1"/>
    </xf>
    <xf numFmtId="0" fontId="0" fillId="26" borderId="14" xfId="0" applyFill="1" applyBorder="1"/>
    <xf numFmtId="0" fontId="0" fillId="26" borderId="17" xfId="0" applyFill="1" applyBorder="1"/>
    <xf numFmtId="0" fontId="25" fillId="25" borderId="0" xfId="0" applyFont="1" applyFill="1"/>
    <xf numFmtId="0" fontId="0" fillId="0" borderId="19" xfId="0" applyBorder="1"/>
    <xf numFmtId="170" fontId="0" fillId="0" borderId="19" xfId="0" applyNumberFormat="1" applyBorder="1"/>
    <xf numFmtId="170" fontId="0" fillId="0" borderId="20" xfId="0" applyNumberFormat="1" applyBorder="1"/>
    <xf numFmtId="0" fontId="24" fillId="26" borderId="24" xfId="0" applyFont="1" applyFill="1" applyBorder="1"/>
    <xf numFmtId="3" fontId="24" fillId="26" borderId="0" xfId="0" applyNumberFormat="1" applyFont="1" applyFill="1" applyAlignment="1">
      <alignment horizontal="right" wrapText="1"/>
    </xf>
    <xf numFmtId="3" fontId="24" fillId="27" borderId="0" xfId="0" applyNumberFormat="1" applyFont="1" applyFill="1"/>
    <xf numFmtId="3" fontId="24" fillId="27" borderId="16" xfId="0" applyNumberFormat="1" applyFont="1" applyFill="1" applyBorder="1"/>
    <xf numFmtId="3" fontId="24" fillId="26" borderId="14" xfId="0" applyNumberFormat="1" applyFont="1" applyFill="1" applyBorder="1" applyAlignment="1">
      <alignment horizontal="right" wrapText="1"/>
    </xf>
    <xf numFmtId="3" fontId="24" fillId="27" borderId="0" xfId="0" applyNumberFormat="1" applyFont="1" applyFill="1" applyAlignment="1">
      <alignment horizontal="right" wrapText="1"/>
    </xf>
    <xf numFmtId="3" fontId="24" fillId="26" borderId="13" xfId="0" applyNumberFormat="1" applyFont="1" applyFill="1" applyBorder="1" applyAlignment="1">
      <alignment horizontal="right" wrapText="1"/>
    </xf>
    <xf numFmtId="3" fontId="24" fillId="27" borderId="16" xfId="0" applyNumberFormat="1" applyFont="1" applyFill="1" applyBorder="1" applyAlignment="1">
      <alignment horizontal="right" wrapText="1"/>
    </xf>
    <xf numFmtId="171" fontId="0" fillId="0" borderId="0" xfId="0" applyNumberFormat="1"/>
    <xf numFmtId="165" fontId="25" fillId="25" borderId="0" xfId="0" applyNumberFormat="1" applyFont="1" applyFill="1" applyProtection="1">
      <protection locked="0"/>
    </xf>
    <xf numFmtId="3" fontId="0" fillId="0" borderId="0" xfId="0" applyNumberFormat="1" applyAlignment="1">
      <alignment horizontal="right"/>
    </xf>
    <xf numFmtId="3" fontId="0" fillId="27" borderId="0" xfId="0" applyNumberFormat="1" applyFill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27" borderId="16" xfId="0" applyNumberFormat="1" applyFill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27" borderId="2" xfId="0" applyNumberFormat="1" applyFill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0" xfId="0" quotePrefix="1" applyNumberFormat="1"/>
    <xf numFmtId="3" fontId="0" fillId="0" borderId="21" xfId="0" applyNumberFormat="1" applyBorder="1"/>
    <xf numFmtId="0" fontId="3" fillId="2" borderId="0" xfId="1" applyFill="1" applyAlignment="1">
      <alignment horizontal="center"/>
    </xf>
    <xf numFmtId="10" fontId="0" fillId="0" borderId="0" xfId="0" applyNumberFormat="1"/>
    <xf numFmtId="3" fontId="3" fillId="0" borderId="0" xfId="0" applyNumberFormat="1" applyFont="1" applyAlignment="1">
      <alignment horizontal="right"/>
    </xf>
    <xf numFmtId="172" fontId="0" fillId="0" borderId="0" xfId="0" applyNumberFormat="1"/>
    <xf numFmtId="0" fontId="25" fillId="25" borderId="0" xfId="0" applyFont="1" applyFill="1" applyAlignment="1">
      <alignment horizontal="center"/>
    </xf>
    <xf numFmtId="0" fontId="3" fillId="2" borderId="2" xfId="1" applyFill="1" applyBorder="1" applyAlignment="1">
      <alignment horizontal="center"/>
    </xf>
    <xf numFmtId="0" fontId="3" fillId="29" borderId="1" xfId="1" applyFill="1" applyBorder="1" applyAlignment="1">
      <alignment horizontal="center" wrapText="1"/>
    </xf>
    <xf numFmtId="0" fontId="3" fillId="29" borderId="2" xfId="1" applyFill="1" applyBorder="1" applyAlignment="1">
      <alignment horizontal="center"/>
    </xf>
    <xf numFmtId="0" fontId="30" fillId="0" borderId="0" xfId="0" applyFont="1"/>
    <xf numFmtId="0" fontId="29" fillId="0" borderId="0" xfId="0" applyFont="1"/>
    <xf numFmtId="3" fontId="31" fillId="25" borderId="0" xfId="0" applyNumberFormat="1" applyFont="1" applyFill="1"/>
    <xf numFmtId="3" fontId="32" fillId="25" borderId="0" xfId="0" applyNumberFormat="1" applyFont="1" applyFill="1"/>
    <xf numFmtId="3" fontId="31" fillId="0" borderId="0" xfId="0" applyNumberFormat="1" applyFont="1"/>
    <xf numFmtId="0" fontId="25" fillId="33" borderId="0" xfId="0" applyFont="1" applyFill="1"/>
    <xf numFmtId="0" fontId="0" fillId="33" borderId="0" xfId="0" applyFill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2" borderId="2" xfId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3" fillId="2" borderId="12" xfId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51">
    <cellStyle name="20% - uthevingsfarge 1 2" xfId="3" xr:uid="{00000000-0005-0000-0000-000000000000}"/>
    <cellStyle name="20% - uthevingsfarge 2 2" xfId="4" xr:uid="{00000000-0005-0000-0000-000001000000}"/>
    <cellStyle name="20% - uthevingsfarge 3 2" xfId="5" xr:uid="{00000000-0005-0000-0000-000002000000}"/>
    <cellStyle name="20% - uthevingsfarge 4 2" xfId="6" xr:uid="{00000000-0005-0000-0000-000003000000}"/>
    <cellStyle name="20% - uthevingsfarge 5 2" xfId="7" xr:uid="{00000000-0005-0000-0000-000004000000}"/>
    <cellStyle name="20% - uthevingsfarge 6 2" xfId="8" xr:uid="{00000000-0005-0000-0000-000005000000}"/>
    <cellStyle name="40% - uthevingsfarge 1 2" xfId="9" xr:uid="{00000000-0005-0000-0000-000006000000}"/>
    <cellStyle name="40% - uthevingsfarge 2 2" xfId="10" xr:uid="{00000000-0005-0000-0000-000007000000}"/>
    <cellStyle name="40% - uthevingsfarge 3 2" xfId="11" xr:uid="{00000000-0005-0000-0000-000008000000}"/>
    <cellStyle name="40% - uthevingsfarge 4 2" xfId="12" xr:uid="{00000000-0005-0000-0000-000009000000}"/>
    <cellStyle name="40% - uthevingsfarge 5 2" xfId="13" xr:uid="{00000000-0005-0000-0000-00000A000000}"/>
    <cellStyle name="40% - uthevingsfarge 6 2" xfId="14" xr:uid="{00000000-0005-0000-0000-00000B000000}"/>
    <cellStyle name="60% - uthevingsfarge 1 2" xfId="15" xr:uid="{00000000-0005-0000-0000-00000C000000}"/>
    <cellStyle name="60% - uthevingsfarge 2 2" xfId="16" xr:uid="{00000000-0005-0000-0000-00000D000000}"/>
    <cellStyle name="60% - uthevingsfarge 3 2" xfId="17" xr:uid="{00000000-0005-0000-0000-00000E000000}"/>
    <cellStyle name="60% - uthevingsfarge 4 2" xfId="18" xr:uid="{00000000-0005-0000-0000-00000F000000}"/>
    <cellStyle name="60% - uthevingsfarge 5 2" xfId="19" xr:uid="{00000000-0005-0000-0000-000010000000}"/>
    <cellStyle name="60% - uthevingsfarge 6 2" xfId="20" xr:uid="{00000000-0005-0000-0000-000011000000}"/>
    <cellStyle name="Beregning 2" xfId="21" xr:uid="{00000000-0005-0000-0000-000012000000}"/>
    <cellStyle name="Dårlig 2" xfId="22" xr:uid="{00000000-0005-0000-0000-000013000000}"/>
    <cellStyle name="Forklarende tekst 2" xfId="23" xr:uid="{00000000-0005-0000-0000-000014000000}"/>
    <cellStyle name="God 2" xfId="24" xr:uid="{00000000-0005-0000-0000-000015000000}"/>
    <cellStyle name="Hyperkobling 2" xfId="25" xr:uid="{00000000-0005-0000-0000-000016000000}"/>
    <cellStyle name="Inndata 2" xfId="26" xr:uid="{00000000-0005-0000-0000-000017000000}"/>
    <cellStyle name="Koblet celle 2" xfId="27" xr:uid="{00000000-0005-0000-0000-000018000000}"/>
    <cellStyle name="Komma 2" xfId="28" xr:uid="{00000000-0005-0000-0000-000019000000}"/>
    <cellStyle name="Kontrollcelle 2" xfId="29" xr:uid="{00000000-0005-0000-0000-00001A000000}"/>
    <cellStyle name="Merknad 2" xfId="30" xr:uid="{00000000-0005-0000-0000-00001B000000}"/>
    <cellStyle name="Normal" xfId="0" builtinId="0"/>
    <cellStyle name="Normal 2" xfId="31" xr:uid="{00000000-0005-0000-0000-00001D000000}"/>
    <cellStyle name="Normal 3" xfId="32" xr:uid="{00000000-0005-0000-0000-00001E000000}"/>
    <cellStyle name="Normal 4" xfId="50" xr:uid="{00000000-0005-0000-0000-00001F000000}"/>
    <cellStyle name="Normal 5" xfId="2" xr:uid="{00000000-0005-0000-0000-000020000000}"/>
    <cellStyle name="Normal_Krit97" xfId="1" xr:uid="{00000000-0005-0000-0000-000021000000}"/>
    <cellStyle name="Nøytral 2" xfId="33" xr:uid="{00000000-0005-0000-0000-000022000000}"/>
    <cellStyle name="Overskrift 1 2" xfId="34" xr:uid="{00000000-0005-0000-0000-000023000000}"/>
    <cellStyle name="Overskrift 2 2" xfId="35" xr:uid="{00000000-0005-0000-0000-000024000000}"/>
    <cellStyle name="Overskrift 3 2" xfId="36" xr:uid="{00000000-0005-0000-0000-000025000000}"/>
    <cellStyle name="Overskrift 4 2" xfId="37" xr:uid="{00000000-0005-0000-0000-000026000000}"/>
    <cellStyle name="Prosent 2" xfId="38" xr:uid="{00000000-0005-0000-0000-000027000000}"/>
    <cellStyle name="times" xfId="39" xr:uid="{00000000-0005-0000-0000-000028000000}"/>
    <cellStyle name="Tittel 2" xfId="40" xr:uid="{00000000-0005-0000-0000-000029000000}"/>
    <cellStyle name="Totalt 2" xfId="41" xr:uid="{00000000-0005-0000-0000-00002A000000}"/>
    <cellStyle name="Utdata 2" xfId="42" xr:uid="{00000000-0005-0000-0000-00002B000000}"/>
    <cellStyle name="Uthevingsfarge1 2" xfId="43" xr:uid="{00000000-0005-0000-0000-00002C000000}"/>
    <cellStyle name="Uthevingsfarge2 2" xfId="44" xr:uid="{00000000-0005-0000-0000-00002D000000}"/>
    <cellStyle name="Uthevingsfarge3 2" xfId="45" xr:uid="{00000000-0005-0000-0000-00002E000000}"/>
    <cellStyle name="Uthevingsfarge4 2" xfId="46" xr:uid="{00000000-0005-0000-0000-00002F000000}"/>
    <cellStyle name="Uthevingsfarge5 2" xfId="47" xr:uid="{00000000-0005-0000-0000-000030000000}"/>
    <cellStyle name="Uthevingsfarge6 2" xfId="48" xr:uid="{00000000-0005-0000-0000-000031000000}"/>
    <cellStyle name="Varseltekst 2" xfId="49" xr:uid="{00000000-0005-0000-0000-000032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3.xml"/><Relationship Id="rId18" Type="http://schemas.openxmlformats.org/officeDocument/2006/relationships/worksheet" Target="worksheets/sheet8.xml"/><Relationship Id="rId26" Type="http://schemas.openxmlformats.org/officeDocument/2006/relationships/worksheet" Target="worksheets/sheet16.xml"/><Relationship Id="rId39" Type="http://schemas.openxmlformats.org/officeDocument/2006/relationships/theme" Target="theme/theme1.xml"/><Relationship Id="rId21" Type="http://schemas.openxmlformats.org/officeDocument/2006/relationships/worksheet" Target="worksheets/sheet11.xml"/><Relationship Id="rId34" Type="http://schemas.openxmlformats.org/officeDocument/2006/relationships/worksheet" Target="worksheets/sheet24.xml"/><Relationship Id="rId42" Type="http://schemas.openxmlformats.org/officeDocument/2006/relationships/calcChain" Target="calcChain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6.xml"/><Relationship Id="rId20" Type="http://schemas.openxmlformats.org/officeDocument/2006/relationships/worksheet" Target="worksheets/sheet10.xml"/><Relationship Id="rId29" Type="http://schemas.openxmlformats.org/officeDocument/2006/relationships/worksheet" Target="worksheets/sheet1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worksheet" Target="worksheets/sheet14.xml"/><Relationship Id="rId32" Type="http://schemas.openxmlformats.org/officeDocument/2006/relationships/worksheet" Target="worksheets/sheet22.xml"/><Relationship Id="rId37" Type="http://schemas.openxmlformats.org/officeDocument/2006/relationships/worksheet" Target="worksheets/sheet27.xml"/><Relationship Id="rId40" Type="http://schemas.openxmlformats.org/officeDocument/2006/relationships/styles" Target="styles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5.xml"/><Relationship Id="rId23" Type="http://schemas.openxmlformats.org/officeDocument/2006/relationships/worksheet" Target="worksheets/sheet13.xml"/><Relationship Id="rId28" Type="http://schemas.openxmlformats.org/officeDocument/2006/relationships/worksheet" Target="worksheets/sheet18.xml"/><Relationship Id="rId36" Type="http://schemas.openxmlformats.org/officeDocument/2006/relationships/worksheet" Target="worksheets/sheet26.xml"/><Relationship Id="rId10" Type="http://schemas.openxmlformats.org/officeDocument/2006/relationships/chartsheet" Target="chartsheets/sheet9.xml"/><Relationship Id="rId19" Type="http://schemas.openxmlformats.org/officeDocument/2006/relationships/worksheet" Target="worksheets/sheet9.xml"/><Relationship Id="rId31" Type="http://schemas.openxmlformats.org/officeDocument/2006/relationships/worksheet" Target="worksheets/sheet21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worksheet" Target="worksheets/sheet4.xml"/><Relationship Id="rId22" Type="http://schemas.openxmlformats.org/officeDocument/2006/relationships/worksheet" Target="worksheets/sheet12.xml"/><Relationship Id="rId27" Type="http://schemas.openxmlformats.org/officeDocument/2006/relationships/worksheet" Target="worksheets/sheet17.xml"/><Relationship Id="rId30" Type="http://schemas.openxmlformats.org/officeDocument/2006/relationships/worksheet" Target="worksheets/sheet20.xml"/><Relationship Id="rId35" Type="http://schemas.openxmlformats.org/officeDocument/2006/relationships/worksheet" Target="worksheets/sheet25.xml"/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12" Type="http://schemas.openxmlformats.org/officeDocument/2006/relationships/worksheet" Target="worksheets/sheet2.xml"/><Relationship Id="rId17" Type="http://schemas.openxmlformats.org/officeDocument/2006/relationships/worksheet" Target="worksheets/sheet7.xml"/><Relationship Id="rId25" Type="http://schemas.openxmlformats.org/officeDocument/2006/relationships/worksheet" Target="worksheets/sheet15.xml"/><Relationship Id="rId33" Type="http://schemas.openxmlformats.org/officeDocument/2006/relationships/worksheet" Target="worksheets/sheet23.xml"/><Relationship Id="rId38" Type="http://schemas.openxmlformats.org/officeDocument/2006/relationships/externalLink" Target="externalLinks/externalLink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</a:rPr>
              <a:t>Slik ser fylkeskommunens ressursbruk ut - rapporterte tall KOSTRA</a:t>
            </a:r>
            <a:br>
              <a:rPr lang="en-US">
                <a:solidFill>
                  <a:srgbClr val="FF0000"/>
                </a:solidFill>
              </a:rPr>
            </a:br>
            <a:r>
              <a:rPr lang="en-US">
                <a:solidFill>
                  <a:schemeClr val="accent1">
                    <a:lumMod val="75000"/>
                  </a:schemeClr>
                </a:solidFill>
              </a:rPr>
              <a:t>sammenlignet med landsgjennomsnitt(=0), (kroner per innbygger)</a:t>
            </a:r>
          </a:p>
        </c:rich>
      </c:tx>
      <c:overlay val="0"/>
      <c:spPr>
        <a:solidFill>
          <a:sysClr val="window" lastClr="FFFFFF"/>
        </a:solidFill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1'!$B$69:$B$78</c:f>
              <c:strCache>
                <c:ptCount val="10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  <c:pt idx="6">
                  <c:v>Tjenester utenfor inntsys</c:v>
                </c:pt>
                <c:pt idx="7">
                  <c:v>Premieavvik</c:v>
                </c:pt>
                <c:pt idx="8">
                  <c:v>Netto finans og avdrag</c:v>
                </c:pt>
                <c:pt idx="9">
                  <c:v>Netto driftsresultat</c:v>
                </c:pt>
              </c:strCache>
            </c:strRef>
          </c:cat>
          <c:val>
            <c:numRef>
              <c:f>'Tabeller fylkeskom 1'!$C$69:$C$78</c:f>
              <c:numCache>
                <c:formatCode>#,##0</c:formatCode>
                <c:ptCount val="10"/>
                <c:pt idx="0">
                  <c:v>773.75400808052427</c:v>
                </c:pt>
                <c:pt idx="1">
                  <c:v>110.70418404593602</c:v>
                </c:pt>
                <c:pt idx="2">
                  <c:v>629.2213753220633</c:v>
                </c:pt>
                <c:pt idx="3">
                  <c:v>-609.22315921530071</c:v>
                </c:pt>
                <c:pt idx="4">
                  <c:v>-13.635999257515095</c:v>
                </c:pt>
                <c:pt idx="5">
                  <c:v>33.627817090607209</c:v>
                </c:pt>
                <c:pt idx="6">
                  <c:v>530.30422627554572</c:v>
                </c:pt>
                <c:pt idx="7">
                  <c:v>65.748899402146236</c:v>
                </c:pt>
                <c:pt idx="8">
                  <c:v>538.52082107813828</c:v>
                </c:pt>
                <c:pt idx="9">
                  <c:v>-511.51415666109665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F8-43EB-878E-79D05B0AFD82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1'!$B$69:$B$78</c:f>
              <c:strCache>
                <c:ptCount val="10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  <c:pt idx="6">
                  <c:v>Tjenester utenfor inntsys</c:v>
                </c:pt>
                <c:pt idx="7">
                  <c:v>Premieavvik</c:v>
                </c:pt>
                <c:pt idx="8">
                  <c:v>Netto finans og avdrag</c:v>
                </c:pt>
                <c:pt idx="9">
                  <c:v>Netto driftsresultat</c:v>
                </c:pt>
              </c:strCache>
            </c:strRef>
          </c:cat>
          <c:val>
            <c:numRef>
              <c:f>'Tabeller fylkeskom 2'!$C$69:$C$78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F8-43EB-878E-79D05B0AFD82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1'!$B$69:$B$78</c:f>
              <c:strCache>
                <c:ptCount val="10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  <c:pt idx="6">
                  <c:v>Tjenester utenfor inntsys</c:v>
                </c:pt>
                <c:pt idx="7">
                  <c:v>Premieavvik</c:v>
                </c:pt>
                <c:pt idx="8">
                  <c:v>Netto finans og avdrag</c:v>
                </c:pt>
                <c:pt idx="9">
                  <c:v>Netto driftsresultat</c:v>
                </c:pt>
              </c:strCache>
            </c:strRef>
          </c:cat>
          <c:val>
            <c:numRef>
              <c:f>'Tabeller fylkeskom 3'!$C$69:$C$78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F8-43EB-878E-79D05B0AFD82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1'!$B$69:$B$78</c:f>
              <c:strCache>
                <c:ptCount val="10"/>
                <c:pt idx="0">
                  <c:v>Frie disponible inntekter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  <c:pt idx="6">
                  <c:v>Tjenester utenfor inntsys</c:v>
                </c:pt>
                <c:pt idx="7">
                  <c:v>Premieavvik</c:v>
                </c:pt>
                <c:pt idx="8">
                  <c:v>Netto finans og avdrag</c:v>
                </c:pt>
                <c:pt idx="9">
                  <c:v>Netto driftsresultat</c:v>
                </c:pt>
              </c:strCache>
            </c:strRef>
          </c:cat>
          <c:val>
            <c:numRef>
              <c:f>'Tabeller fylkeskom 4'!$C$69:$C$78</c:f>
              <c:numCache>
                <c:formatCode>#,##0</c:formatCod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F8-43EB-878E-79D05B0AF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08544"/>
        <c:axId val="187710080"/>
      </c:barChart>
      <c:catAx>
        <c:axId val="187708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b="0"/>
            </a:pPr>
            <a:endParaRPr lang="nb-NO"/>
          </a:p>
        </c:txPr>
        <c:crossAx val="187710080"/>
        <c:crosses val="autoZero"/>
        <c:auto val="1"/>
        <c:lblAlgn val="ctr"/>
        <c:lblOffset val="100"/>
        <c:noMultiLvlLbl val="0"/>
      </c:catAx>
      <c:valAx>
        <c:axId val="1877100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0"/>
            </a:pPr>
            <a:endParaRPr lang="nb-NO"/>
          </a:p>
        </c:txPr>
        <c:crossAx val="18770854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 sz="1400" b="1"/>
      </a:pPr>
      <a:endParaRPr lang="nb-NO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2000" b="1">
                <a:solidFill>
                  <a:srgbClr val="FF0000"/>
                </a:solidFill>
              </a:rPr>
              <a:t>Ressursbruk til</a:t>
            </a:r>
            <a:r>
              <a:rPr lang="en-US" sz="2000" b="1" baseline="0">
                <a:solidFill>
                  <a:srgbClr val="FF0000"/>
                </a:solidFill>
              </a:rPr>
              <a:t> (prioritering av) øvrige tjenester                                    korrigert for forskjeller i inntektsnivå</a:t>
            </a:r>
            <a:endParaRPr lang="en-US" sz="2000" b="1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80741589883626"/>
          <c:y val="0.20952343823380445"/>
          <c:w val="0.87690576012038424"/>
          <c:h val="0.5064093232142237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1'!$H$47:$H$53</c:f>
              <c:numCache>
                <c:formatCode>#,##0</c:formatCode>
                <c:ptCount val="7"/>
                <c:pt idx="0">
                  <c:v>475.99724825117943</c:v>
                </c:pt>
                <c:pt idx="1">
                  <c:v>21.798984541996333</c:v>
                </c:pt>
                <c:pt idx="2">
                  <c:v>11.660074605791721</c:v>
                </c:pt>
                <c:pt idx="3">
                  <c:v>268.12885671721369</c:v>
                </c:pt>
                <c:pt idx="4">
                  <c:v>172.29706695755914</c:v>
                </c:pt>
                <c:pt idx="5">
                  <c:v>0.75867733026554507</c:v>
                </c:pt>
                <c:pt idx="6">
                  <c:v>1.3535880983530599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F-4E22-B78C-0BB1423F6FAA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2'!$H$47:$H$53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F-4E22-B78C-0BB1423F6FAA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3'!$H$47:$H$53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0F-4E22-B78C-0BB1423F6FAA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4'!$H$47:$H$53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0F-4E22-B78C-0BB1423F6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21216"/>
        <c:axId val="198522752"/>
      </c:barChart>
      <c:catAx>
        <c:axId val="19852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700000"/>
          <a:lstStyle/>
          <a:p>
            <a:pPr>
              <a:defRPr sz="1300"/>
            </a:pPr>
            <a:endParaRPr lang="nb-NO"/>
          </a:p>
        </c:txPr>
        <c:crossAx val="198522752"/>
        <c:crosses val="autoZero"/>
        <c:auto val="1"/>
        <c:lblAlgn val="ctr"/>
        <c:lblOffset val="100"/>
        <c:noMultiLvlLbl val="0"/>
      </c:catAx>
      <c:valAx>
        <c:axId val="198522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85212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>
                <a:solidFill>
                  <a:srgbClr val="FF0000"/>
                </a:solidFill>
              </a:defRPr>
            </a:pPr>
            <a:r>
              <a:rPr lang="en-US" sz="1500" b="1">
                <a:solidFill>
                  <a:srgbClr val="FF0000"/>
                </a:solidFill>
              </a:rPr>
              <a:t>Anslag for fylkeskommunens ressursbruk sammenlignet</a:t>
            </a:r>
            <a:r>
              <a:rPr lang="en-US" sz="1500" b="1" baseline="0">
                <a:solidFill>
                  <a:srgbClr val="FF0000"/>
                </a:solidFill>
              </a:rPr>
              <a:t> med landsgjennomsnittet (=1) som staten benytter. Fylkeskommunen blir kompensert/trukket ut fra dette i rammetilskuddet.</a:t>
            </a:r>
            <a:r>
              <a:rPr lang="en-US" sz="1500" b="1">
                <a:solidFill>
                  <a:schemeClr val="accent5">
                    <a:lumMod val="75000"/>
                  </a:schemeClr>
                </a:solidFill>
              </a:rPr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1'!$B$59:$B$64</c:f>
              <c:strCache>
                <c:ptCount val="6"/>
                <c:pt idx="0">
                  <c:v>Videregående opplæring</c:v>
                </c:pt>
                <c:pt idx="1">
                  <c:v>Fylkesveger</c:v>
                </c:pt>
                <c:pt idx="2">
                  <c:v>Buss og bane</c:v>
                </c:pt>
                <c:pt idx="3">
                  <c:v>Båt og ferje</c:v>
                </c:pt>
                <c:pt idx="4">
                  <c:v>Tannhelsetjeneste</c:v>
                </c:pt>
                <c:pt idx="5">
                  <c:v>Sum utgiftsbehov</c:v>
                </c:pt>
              </c:strCache>
            </c:strRef>
          </c:cat>
          <c:val>
            <c:numRef>
              <c:f>'Tabeller fylkeskom 1'!$C$59:$C$64</c:f>
              <c:numCache>
                <c:formatCode>0.0000</c:formatCode>
                <c:ptCount val="6"/>
                <c:pt idx="0">
                  <c:v>1.02035371</c:v>
                </c:pt>
                <c:pt idx="1">
                  <c:v>1.2804020200000001</c:v>
                </c:pt>
                <c:pt idx="2">
                  <c:v>1.0615868000000002</c:v>
                </c:pt>
                <c:pt idx="3">
                  <c:v>1.2282993799999999</c:v>
                </c:pt>
                <c:pt idx="4">
                  <c:v>1.0043769899999999</c:v>
                </c:pt>
                <c:pt idx="5">
                  <c:v>1.0929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BD-4F13-BC2B-6067D2EFF472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1'!$B$59:$B$64</c:f>
              <c:strCache>
                <c:ptCount val="6"/>
                <c:pt idx="0">
                  <c:v>Videregående opplæring</c:v>
                </c:pt>
                <c:pt idx="1">
                  <c:v>Fylkesveger</c:v>
                </c:pt>
                <c:pt idx="2">
                  <c:v>Buss og bane</c:v>
                </c:pt>
                <c:pt idx="3">
                  <c:v>Båt og ferje</c:v>
                </c:pt>
                <c:pt idx="4">
                  <c:v>Tannhelsetjeneste</c:v>
                </c:pt>
                <c:pt idx="5">
                  <c:v>Sum utgiftsbehov</c:v>
                </c:pt>
              </c:strCache>
            </c:strRef>
          </c:cat>
          <c:val>
            <c:numRef>
              <c:f>'Tabeller fylkeskom 2'!$C$59:$C$64</c:f>
              <c:numCache>
                <c:formatCode>0.0000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BD-4F13-BC2B-6067D2EFF472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1'!$B$59:$B$64</c:f>
              <c:strCache>
                <c:ptCount val="6"/>
                <c:pt idx="0">
                  <c:v>Videregående opplæring</c:v>
                </c:pt>
                <c:pt idx="1">
                  <c:v>Fylkesveger</c:v>
                </c:pt>
                <c:pt idx="2">
                  <c:v>Buss og bane</c:v>
                </c:pt>
                <c:pt idx="3">
                  <c:v>Båt og ferje</c:v>
                </c:pt>
                <c:pt idx="4">
                  <c:v>Tannhelsetjeneste</c:v>
                </c:pt>
                <c:pt idx="5">
                  <c:v>Sum utgiftsbehov</c:v>
                </c:pt>
              </c:strCache>
            </c:strRef>
          </c:cat>
          <c:val>
            <c:numRef>
              <c:f>'Tabeller fylkeskom 3'!$C$59:$C$64</c:f>
              <c:numCache>
                <c:formatCode>0.0000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BD-4F13-BC2B-6067D2EFF472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1'!$B$59:$B$64</c:f>
              <c:strCache>
                <c:ptCount val="6"/>
                <c:pt idx="0">
                  <c:v>Videregående opplæring</c:v>
                </c:pt>
                <c:pt idx="1">
                  <c:v>Fylkesveger</c:v>
                </c:pt>
                <c:pt idx="2">
                  <c:v>Buss og bane</c:v>
                </c:pt>
                <c:pt idx="3">
                  <c:v>Båt og ferje</c:v>
                </c:pt>
                <c:pt idx="4">
                  <c:v>Tannhelsetjeneste</c:v>
                </c:pt>
                <c:pt idx="5">
                  <c:v>Sum utgiftsbehov</c:v>
                </c:pt>
              </c:strCache>
            </c:strRef>
          </c:cat>
          <c:val>
            <c:numRef>
              <c:f>'Tabeller fylkeskom 4'!$C$59:$C$64</c:f>
              <c:numCache>
                <c:formatCode>0.0000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BD-4F13-BC2B-6067D2EFF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58816"/>
        <c:axId val="192260352"/>
      </c:barChart>
      <c:lineChart>
        <c:grouping val="standard"/>
        <c:varyColors val="0"/>
        <c:ser>
          <c:idx val="4"/>
          <c:order val="4"/>
          <c:tx>
            <c:strRef>
              <c:f>'Tabeller fylkeskom 2'!$D$58</c:f>
              <c:strCache>
                <c:ptCount val="1"/>
                <c:pt idx="0">
                  <c:v>Landet</c:v>
                </c:pt>
              </c:strCache>
            </c:strRef>
          </c:tx>
          <c:spPr>
            <a:ln w="50800"/>
          </c:spPr>
          <c:marker>
            <c:symbol val="none"/>
          </c:marker>
          <c:val>
            <c:numRef>
              <c:f>'Tabeller fylkeskom 2'!$D$59:$D$64</c:f>
              <c:numCache>
                <c:formatCode>0.0000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BD-4F13-BC2B-6067D2EFF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258816"/>
        <c:axId val="192260352"/>
      </c:lineChart>
      <c:catAx>
        <c:axId val="192258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/>
            </a:pPr>
            <a:endParaRPr lang="nb-NO"/>
          </a:p>
        </c:txPr>
        <c:crossAx val="192260352"/>
        <c:crosses val="autoZero"/>
        <c:auto val="1"/>
        <c:lblAlgn val="ctr"/>
        <c:lblOffset val="100"/>
        <c:noMultiLvlLbl val="0"/>
      </c:catAx>
      <c:valAx>
        <c:axId val="192260352"/>
        <c:scaling>
          <c:orientation val="minMax"/>
        </c:scaling>
        <c:delete val="0"/>
        <c:axPos val="l"/>
        <c:majorGridlines/>
        <c:numFmt formatCode="0.00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22588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73024"/>
        <c:axId val="192274816"/>
      </c:barChart>
      <c:catAx>
        <c:axId val="19227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192274816"/>
        <c:crosses val="autoZero"/>
        <c:auto val="1"/>
        <c:lblAlgn val="ctr"/>
        <c:lblOffset val="100"/>
        <c:noMultiLvlLbl val="0"/>
      </c:catAx>
      <c:valAx>
        <c:axId val="19227481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92273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FF0000"/>
                </a:solidFill>
              </a:rPr>
              <a:t>Fylkeskommunens frie disponible</a:t>
            </a:r>
            <a:r>
              <a:rPr lang="en-US" baseline="0">
                <a:solidFill>
                  <a:srgbClr val="FF0000"/>
                </a:solidFill>
              </a:rPr>
              <a:t> inntekter </a:t>
            </a:r>
            <a:r>
              <a:rPr lang="en-US">
                <a:solidFill>
                  <a:srgbClr val="FF0000"/>
                </a:solidFill>
              </a:rPr>
              <a:t>og ressursbruk (kr per innb)</a:t>
            </a:r>
            <a:r>
              <a:rPr lang="en-US"/>
              <a:t> </a:t>
            </a:r>
          </a:p>
          <a:p>
            <a:pPr>
              <a:defRPr/>
            </a:pPr>
            <a:r>
              <a:rPr lang="en-US">
                <a:solidFill>
                  <a:schemeClr val="accent5">
                    <a:lumMod val="75000"/>
                  </a:schemeClr>
                </a:solidFill>
              </a:rPr>
              <a:t>avvik fra landsgjennomsnitt(=0) korrigert for kommunens utgiftsbehov m.m </a:t>
            </a:r>
          </a:p>
          <a:p>
            <a:pPr>
              <a:defRPr/>
            </a:pPr>
            <a:r>
              <a:rPr lang="en-US">
                <a:solidFill>
                  <a:schemeClr val="accent5">
                    <a:lumMod val="75000"/>
                  </a:schemeClr>
                </a:solidFill>
              </a:rPr>
              <a:t>(kroner </a:t>
            </a:r>
            <a:r>
              <a:rPr lang="en-US" baseline="0">
                <a:solidFill>
                  <a:schemeClr val="accent5">
                    <a:lumMod val="75000"/>
                  </a:schemeClr>
                </a:solidFill>
              </a:rPr>
              <a:t>per innbygger)</a:t>
            </a:r>
            <a:r>
              <a:rPr lang="en-US"/>
              <a:t>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fylkeskom 1'!$C$7:$C$12</c:f>
              <c:numCache>
                <c:formatCode>#,##0</c:formatCode>
                <c:ptCount val="6"/>
                <c:pt idx="0">
                  <c:v>-400.48861631147884</c:v>
                </c:pt>
                <c:pt idx="1">
                  <c:v>-855.21152090275712</c:v>
                </c:pt>
                <c:pt idx="2">
                  <c:v>439.40411298187018</c:v>
                </c:pt>
                <c:pt idx="3">
                  <c:v>-11.687872807633944</c:v>
                </c:pt>
                <c:pt idx="4">
                  <c:v>538.52082107813828</c:v>
                </c:pt>
                <c:pt idx="5">
                  <c:v>-511.51415666109665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5B-4B4C-8C9C-0728C535B8D9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fylkeskom 2'!$C$7:$C$12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5B-4B4C-8C9C-0728C535B8D9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fylkeskom 3'!$C$7:$C$12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5B-4B4C-8C9C-0728C535B8D9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1'!$B$7:$B$12</c:f>
              <c:strCache>
                <c:ptCount val="6"/>
                <c:pt idx="0">
                  <c:v>Frie disponible inntekter</c:v>
                </c:pt>
                <c:pt idx="1">
                  <c:v>Tjenester innenfor INNTSYS</c:v>
                </c:pt>
                <c:pt idx="2">
                  <c:v>Øvrige tjenester</c:v>
                </c:pt>
                <c:pt idx="3">
                  <c:v>Premieavvik</c:v>
                </c:pt>
                <c:pt idx="4">
                  <c:v>Netto finans og avdrag</c:v>
                </c:pt>
                <c:pt idx="5">
                  <c:v>Netto driftsresultat</c:v>
                </c:pt>
              </c:strCache>
            </c:strRef>
          </c:cat>
          <c:val>
            <c:numRef>
              <c:f>'Tabeller fylkeskom 4'!$C$7:$C$12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35B-4B4C-8C9C-0728C535B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29056"/>
        <c:axId val="195630592"/>
      </c:barChart>
      <c:catAx>
        <c:axId val="195629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 sz="1400"/>
            </a:pPr>
            <a:endParaRPr lang="nb-NO"/>
          </a:p>
        </c:txPr>
        <c:crossAx val="195630592"/>
        <c:crosses val="autoZero"/>
        <c:auto val="1"/>
        <c:lblAlgn val="ctr"/>
        <c:lblOffset val="100"/>
        <c:noMultiLvlLbl val="0"/>
      </c:catAx>
      <c:valAx>
        <c:axId val="195630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6290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900" b="0">
                <a:solidFill>
                  <a:srgbClr val="FF0000"/>
                </a:solidFill>
              </a:rPr>
              <a:t>Tjenester innenfor</a:t>
            </a:r>
            <a:r>
              <a:rPr lang="en-US" sz="1900" b="0" baseline="0">
                <a:solidFill>
                  <a:srgbClr val="FF0000"/>
                </a:solidFill>
              </a:rPr>
              <a:t> inntektssystemet  </a:t>
            </a:r>
          </a:p>
          <a:p>
            <a:pPr>
              <a:defRPr/>
            </a:pPr>
            <a:r>
              <a:rPr lang="en-US" sz="1900" b="0">
                <a:solidFill>
                  <a:srgbClr val="FF0000"/>
                </a:solidFill>
              </a:rPr>
              <a:t>Fylkeskommunens ressursbruk korrigert for  forskjeller i utgiftsbehov m.m </a:t>
            </a:r>
            <a:endParaRPr lang="en-US" sz="1400" b="0">
              <a:solidFill>
                <a:schemeClr val="tx2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331024089973402"/>
          <c:y val="0.1975637876816175"/>
          <c:w val="0.86802982770881298"/>
          <c:h val="0.5645899265214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1'!$E$30:$E$35</c:f>
              <c:numCache>
                <c:formatCode>#,##0</c:formatCode>
                <c:ptCount val="6"/>
                <c:pt idx="0">
                  <c:v>-855.21152090275712</c:v>
                </c:pt>
                <c:pt idx="1">
                  <c:v>-31.887686200395365</c:v>
                </c:pt>
                <c:pt idx="2">
                  <c:v>112.62400698542206</c:v>
                </c:pt>
                <c:pt idx="3">
                  <c:v>-758.98867879490354</c:v>
                </c:pt>
                <c:pt idx="4">
                  <c:v>-223.82118226727789</c:v>
                </c:pt>
                <c:pt idx="5">
                  <c:v>46.862019374397619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16-42CA-9757-E4A8461BB363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2'!$E$30:$E$35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16-42CA-9757-E4A8461BB363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3'!$E$30:$E$35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16-42CA-9757-E4A8461BB363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4'!$E$30:$E$35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16-42CA-9757-E4A8461BB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55168"/>
        <c:axId val="195656704"/>
      </c:barChart>
      <c:catAx>
        <c:axId val="195655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400000" vert="horz"/>
          <a:lstStyle/>
          <a:p>
            <a:pPr>
              <a:defRPr sz="1400"/>
            </a:pPr>
            <a:endParaRPr lang="nb-NO"/>
          </a:p>
        </c:txPr>
        <c:crossAx val="195656704"/>
        <c:crosses val="autoZero"/>
        <c:auto val="1"/>
        <c:lblAlgn val="ctr"/>
        <c:lblOffset val="100"/>
        <c:noMultiLvlLbl val="0"/>
      </c:catAx>
      <c:valAx>
        <c:axId val="195656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65516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2000" b="0">
                <a:solidFill>
                  <a:srgbClr val="FF0000"/>
                </a:solidFill>
              </a:rPr>
              <a:t>Ressursbruk</a:t>
            </a:r>
            <a:r>
              <a:rPr lang="en-US" sz="2000" b="0" baseline="0">
                <a:solidFill>
                  <a:srgbClr val="FF0000"/>
                </a:solidFill>
              </a:rPr>
              <a:t> øvrige tjenester</a:t>
            </a:r>
            <a:endParaRPr lang="en-US" sz="2000" b="0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9637713928636"/>
          <c:y val="0.15851829626672365"/>
          <c:w val="0.8660161477158832"/>
          <c:h val="0.521056502419483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1'!$E$47:$E$53</c:f>
              <c:numCache>
                <c:formatCode>#,##0</c:formatCode>
                <c:ptCount val="7"/>
                <c:pt idx="0">
                  <c:v>439.40411298187013</c:v>
                </c:pt>
                <c:pt idx="1">
                  <c:v>-0.5815089908645632</c:v>
                </c:pt>
                <c:pt idx="2">
                  <c:v>5.7409145223477651</c:v>
                </c:pt>
                <c:pt idx="3">
                  <c:v>269.0021853157732</c:v>
                </c:pt>
                <c:pt idx="4">
                  <c:v>163.07433511350689</c:v>
                </c:pt>
                <c:pt idx="5">
                  <c:v>0.77876308460224097</c:v>
                </c:pt>
                <c:pt idx="6">
                  <c:v>1.3894239365045427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47-4691-90EB-9DF5DCEF7E1B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2'!$E$47:$E$53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47-4691-90EB-9DF5DCEF7E1B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3'!$E$47:$E$53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47-4691-90EB-9DF5DCEF7E1B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1'!$B$47:$B$53</c:f>
              <c:strCache>
                <c:ptCount val="7"/>
                <c:pt idx="0">
                  <c:v>Sum øvrige tjenester</c:v>
                </c:pt>
                <c:pt idx="1">
                  <c:v>Administrasjon</c:v>
                </c:pt>
                <c:pt idx="2">
                  <c:v>Reg. utvikling, natur og miljø</c:v>
                </c:pt>
                <c:pt idx="3">
                  <c:v>Næring</c:v>
                </c:pt>
                <c:pt idx="4">
                  <c:v>Kultur og idrett</c:v>
                </c:pt>
                <c:pt idx="5">
                  <c:v>Interkom. samarbeid</c:v>
                </c:pt>
                <c:pt idx="6">
                  <c:v>Tj utenfor ord. komm. ansv.</c:v>
                </c:pt>
              </c:strCache>
            </c:strRef>
          </c:cat>
          <c:val>
            <c:numRef>
              <c:f>'Tabeller fylkeskom 4'!$E$47:$E$53</c:f>
              <c:numCache>
                <c:formatCode>#,##0</c:formatCode>
                <c:ptCount val="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47-4691-90EB-9DF5DCEF7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82848"/>
        <c:axId val="197584384"/>
      </c:barChart>
      <c:catAx>
        <c:axId val="19758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2700000"/>
          <a:lstStyle/>
          <a:p>
            <a:pPr>
              <a:defRPr sz="1400"/>
            </a:pPr>
            <a:endParaRPr lang="nb-NO"/>
          </a:p>
        </c:txPr>
        <c:crossAx val="197584384"/>
        <c:crosses val="autoZero"/>
        <c:auto val="1"/>
        <c:lblAlgn val="ctr"/>
        <c:lblOffset val="100"/>
        <c:noMultiLvlLbl val="0"/>
      </c:catAx>
      <c:valAx>
        <c:axId val="197584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758284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221568"/>
        <c:axId val="198584576"/>
      </c:barChart>
      <c:catAx>
        <c:axId val="192221568"/>
        <c:scaling>
          <c:orientation val="minMax"/>
        </c:scaling>
        <c:delete val="0"/>
        <c:axPos val="b"/>
        <c:majorTickMark val="out"/>
        <c:minorTickMark val="none"/>
        <c:tickLblPos val="nextTo"/>
        <c:crossAx val="198584576"/>
        <c:crosses val="autoZero"/>
        <c:auto val="1"/>
        <c:lblAlgn val="ctr"/>
        <c:lblOffset val="100"/>
        <c:noMultiLvlLbl val="0"/>
      </c:catAx>
      <c:valAx>
        <c:axId val="198584576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92221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nb-NO" sz="2000" b="0">
                <a:solidFill>
                  <a:srgbClr val="FF0000"/>
                </a:solidFill>
              </a:rPr>
              <a:t>Ressursbruk (prioritering) justert</a:t>
            </a:r>
            <a:r>
              <a:rPr lang="nb-NO" sz="2000" b="0" baseline="0">
                <a:solidFill>
                  <a:srgbClr val="FF0000"/>
                </a:solidFill>
              </a:rPr>
              <a:t> for  ulikheter i</a:t>
            </a:r>
            <a:r>
              <a:rPr lang="nb-NO" sz="2000" b="0">
                <a:solidFill>
                  <a:srgbClr val="FF0000"/>
                </a:solidFill>
              </a:rPr>
              <a:t> inntekt og utgiftsbehov </a:t>
            </a:r>
            <a:r>
              <a:rPr lang="nb-NO" sz="1600" b="1">
                <a:solidFill>
                  <a:schemeClr val="tx2">
                    <a:lumMod val="75000"/>
                  </a:schemeClr>
                </a:solidFill>
              </a:rPr>
              <a:t>sammenlignet</a:t>
            </a:r>
            <a:r>
              <a:rPr lang="nb-NO" sz="1600" b="1" baseline="0">
                <a:solidFill>
                  <a:schemeClr val="tx2">
                    <a:lumMod val="75000"/>
                  </a:schemeClr>
                </a:solidFill>
              </a:rPr>
              <a:t> </a:t>
            </a:r>
            <a:r>
              <a:rPr lang="nb-NO" sz="1600" b="1">
                <a:solidFill>
                  <a:schemeClr val="tx2">
                    <a:lumMod val="75000"/>
                  </a:schemeClr>
                </a:solidFill>
              </a:rPr>
              <a:t>med landsgjennomsnitt(=0) (kroner per innbygger)</a:t>
            </a:r>
          </a:p>
        </c:rich>
      </c:tx>
      <c:layout>
        <c:manualLayout>
          <c:xMode val="edge"/>
          <c:yMode val="edge"/>
          <c:x val="0.13367382767690716"/>
          <c:y val="1.04448743382925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fylkeskom 1'!$D$8:$D$12</c:f>
              <c:numCache>
                <c:formatCode>#,##0</c:formatCode>
                <c:ptCount val="5"/>
                <c:pt idx="0">
                  <c:v>-540.72355976154961</c:v>
                </c:pt>
                <c:pt idx="1">
                  <c:v>475.9972482511796</c:v>
                </c:pt>
                <c:pt idx="2">
                  <c:v>-14.581453427769212</c:v>
                </c:pt>
                <c:pt idx="3">
                  <c:v>557.02363515477225</c:v>
                </c:pt>
                <c:pt idx="4">
                  <c:v>-477.71587021663322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6A-43A4-A1F2-14BCA481C74C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fylkeskom 2'!$D$8:$D$12</c:f>
              <c:numCache>
                <c:formatCode>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6A-43A4-A1F2-14BCA481C74C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fylkeskom 3'!$D$8:$D$12</c:f>
              <c:numCache>
                <c:formatCode>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6A-43A4-A1F2-14BCA481C74C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1'!$B$8:$B$12</c:f>
              <c:strCache>
                <c:ptCount val="5"/>
                <c:pt idx="0">
                  <c:v>Tjenester innenfor INNTSYS</c:v>
                </c:pt>
                <c:pt idx="1">
                  <c:v>Øvrige tjenester</c:v>
                </c:pt>
                <c:pt idx="2">
                  <c:v>Premieavvik</c:v>
                </c:pt>
                <c:pt idx="3">
                  <c:v>Netto finans og avdrag</c:v>
                </c:pt>
                <c:pt idx="4">
                  <c:v>Netto driftsresultat</c:v>
                </c:pt>
              </c:strCache>
            </c:strRef>
          </c:cat>
          <c:val>
            <c:numRef>
              <c:f>'Tabeller fylkeskom 4'!$D$8:$D$12</c:f>
              <c:numCache>
                <c:formatCode>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6A-43A4-A1F2-14BCA481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86816"/>
        <c:axId val="198388352"/>
      </c:barChart>
      <c:catAx>
        <c:axId val="198386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0"/>
          <a:lstStyle/>
          <a:p>
            <a:pPr>
              <a:defRPr sz="1400"/>
            </a:pPr>
            <a:endParaRPr lang="nb-NO"/>
          </a:p>
        </c:txPr>
        <c:crossAx val="198388352"/>
        <c:crosses val="autoZero"/>
        <c:auto val="1"/>
        <c:lblAlgn val="ctr"/>
        <c:lblOffset val="100"/>
        <c:noMultiLvlLbl val="0"/>
      </c:catAx>
      <c:valAx>
        <c:axId val="198388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838681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600"/>
          </a:pPr>
          <a:endParaRPr lang="nb-NO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en-US" sz="1800" b="1">
                <a:solidFill>
                  <a:srgbClr val="FF0000"/>
                </a:solidFill>
              </a:rPr>
              <a:t>Tjenester innenfor inntektssystemet  </a:t>
            </a:r>
          </a:p>
          <a:p>
            <a:pPr>
              <a:defRPr/>
            </a:pPr>
            <a:r>
              <a:rPr lang="en-US" sz="1800" b="1">
                <a:solidFill>
                  <a:srgbClr val="FF0000"/>
                </a:solidFill>
              </a:rPr>
              <a:t>Ressursbruk (prioritering)</a:t>
            </a:r>
            <a:r>
              <a:rPr lang="en-US" sz="1800" b="1" baseline="0">
                <a:solidFill>
                  <a:srgbClr val="FF0000"/>
                </a:solidFill>
              </a:rPr>
              <a:t> hensyntatt forskjeller i inntekter og utgiftsbehov</a:t>
            </a:r>
            <a:endParaRPr lang="en-US" sz="1800" b="1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13458520642083505"/>
          <c:y val="1.96613626997046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25659609486498"/>
          <c:y val="0.19865899919907107"/>
          <c:w val="0.86972332301388189"/>
          <c:h val="0.630271034418888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'Tabeller fylkeskom 1'!$B$1:$C$1</c:f>
              <c:strCache>
                <c:ptCount val="1"/>
                <c:pt idx="0">
                  <c:v>TRØNDELAG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1'!$H$30:$H$35</c:f>
              <c:numCache>
                <c:formatCode>#,##0</c:formatCode>
                <c:ptCount val="6"/>
                <c:pt idx="0">
                  <c:v>-540.72355976154961</c:v>
                </c:pt>
                <c:pt idx="1">
                  <c:v>134.43225758686185</c:v>
                </c:pt>
                <c:pt idx="2">
                  <c:v>159.31656379280275</c:v>
                </c:pt>
                <c:pt idx="3">
                  <c:v>-695.24528472189195</c:v>
                </c:pt>
                <c:pt idx="4">
                  <c:v>-199.8054563681012</c:v>
                </c:pt>
                <c:pt idx="5">
                  <c:v>60.578359948778939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FB-4362-85F3-FB3B4D9966A4}"/>
            </c:ext>
          </c:extLst>
        </c:ser>
        <c:ser>
          <c:idx val="0"/>
          <c:order val="1"/>
          <c:tx>
            <c:strRef>
              <c:f>'Tabeller fylkeskom 2'!$B$1:$C$1</c:f>
              <c:strCache>
                <c:ptCount val="1"/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2'!$H$30:$H$35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FB-4362-85F3-FB3B4D9966A4}"/>
            </c:ext>
          </c:extLst>
        </c:ser>
        <c:ser>
          <c:idx val="1"/>
          <c:order val="2"/>
          <c:tx>
            <c:strRef>
              <c:f>'Tabeller fylkeskom 3'!$B$1:$C$1</c:f>
              <c:strCache>
                <c:ptCount val="1"/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3'!$H$30:$H$35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FB-4362-85F3-FB3B4D9966A4}"/>
            </c:ext>
          </c:extLst>
        </c:ser>
        <c:ser>
          <c:idx val="3"/>
          <c:order val="3"/>
          <c:tx>
            <c:strRef>
              <c:f>'Tabeller fylkeskom 4'!$B$1:$C$1</c:f>
              <c:strCache>
                <c:ptCount val="1"/>
              </c:strCache>
            </c:strRef>
          </c:tx>
          <c:invertIfNegative val="0"/>
          <c:cat>
            <c:strRef>
              <c:f>'Tabeller fylkeskom 1'!$B$30:$B$35</c:f>
              <c:strCache>
                <c:ptCount val="6"/>
                <c:pt idx="0">
                  <c:v>Sum tjenester INNTSYS</c:v>
                </c:pt>
                <c:pt idx="1">
                  <c:v>Videregående opplæring</c:v>
                </c:pt>
                <c:pt idx="2">
                  <c:v>Fylkesveger</c:v>
                </c:pt>
                <c:pt idx="3">
                  <c:v>Buss og bane</c:v>
                </c:pt>
                <c:pt idx="4">
                  <c:v>Båt og ferje</c:v>
                </c:pt>
                <c:pt idx="5">
                  <c:v>Tannhelsetjeneste</c:v>
                </c:pt>
              </c:strCache>
            </c:strRef>
          </c:cat>
          <c:val>
            <c:numRef>
              <c:f>'Tabeller fylkeskom 4'!$H$30:$H$35</c:f>
              <c:numCache>
                <c:formatCode>#,##0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FB-4362-85F3-FB3B4D996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715072"/>
        <c:axId val="199733248"/>
      </c:barChart>
      <c:catAx>
        <c:axId val="199715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400"/>
            </a:pPr>
            <a:endParaRPr lang="nb-NO"/>
          </a:p>
        </c:txPr>
        <c:crossAx val="199733248"/>
        <c:crosses val="autoZero"/>
        <c:auto val="1"/>
        <c:lblAlgn val="ctr"/>
        <c:lblOffset val="100"/>
        <c:noMultiLvlLbl val="0"/>
      </c:catAx>
      <c:valAx>
        <c:axId val="199733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Kroner per innbygger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9715072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Diagram1"/>
  <sheetViews>
    <sheetView zoomScale="130" workbookViewId="0" zoomToFit="1"/>
  </sheetViews>
  <sheetProtection password="F91D" objects="1"/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 codeName="Diagram5"/>
  <sheetViews>
    <sheetView zoomScale="118" workbookViewId="0" zoomToFit="1"/>
  </sheetViews>
  <sheetProtection password="F91D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2"/>
  <sheetViews>
    <sheetView zoomScale="130" workbookViewId="0" zoomToFit="1"/>
  </sheetViews>
  <sheetProtection password="F91D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118" workbookViewId="0" zoomToFit="1"/>
  </sheetViews>
  <sheetProtection objects="1"/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Diagram6"/>
  <sheetViews>
    <sheetView zoomScale="130" workbookViewId="0" zoomToFit="1"/>
  </sheetViews>
  <sheetProtection password="F91D" objects="1"/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Diagram7"/>
  <sheetViews>
    <sheetView workbookViewId="0"/>
  </sheetViews>
  <sheetProtection password="F91D" objects="1"/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8"/>
  <sheetViews>
    <sheetView zoomScale="108" workbookViewId="0" zoomToFit="1"/>
  </sheetViews>
  <sheetProtection password="F91D" objects="1"/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9"/>
  <sheetViews>
    <sheetView zoomScale="118" workbookViewId="0" zoomToFit="1"/>
  </sheetViews>
  <sheetProtection objects="1"/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 codeName="Diagram10"/>
  <sheetViews>
    <sheetView zoomScale="118" workbookViewId="0" zoomToFit="1"/>
  </sheetViews>
  <sheetProtection password="F91D" objects="1"/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Diagram3"/>
  <sheetViews>
    <sheetView zoomScale="118" workbookViewId="0" zoomToFit="1"/>
  </sheetViews>
  <sheetProtection password="F91D" objects="1"/>
  <pageMargins left="0.7" right="0.7" top="0.75" bottom="0.75" header="0.3" footer="0.3"/>
  <pageSetup paperSize="9" orientation="landscape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AB8FB9ED-CA21-4562-89F6-03C87F6CFA4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304586" cy="6077107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0.19509</cdr:x>
      <cdr:y>0.93679</cdr:y>
    </cdr:from>
    <cdr:to>
      <cdr:x>0.77497</cdr:x>
      <cdr:y>0.98708</cdr:y>
    </cdr:to>
    <cdr:sp macro="" textlink="">
      <cdr:nvSpPr>
        <cdr:cNvPr id="3" name="TekstSylinder 1"/>
        <cdr:cNvSpPr txBox="1"/>
      </cdr:nvSpPr>
      <cdr:spPr>
        <a:xfrm xmlns:a="http://schemas.openxmlformats.org/drawingml/2006/main">
          <a:off x="1814689" y="5695244"/>
          <a:ext cx="5393737" cy="305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6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0.22808</cdr:x>
      <cdr:y>0.948</cdr:y>
    </cdr:from>
    <cdr:to>
      <cdr:x>0.80795</cdr:x>
      <cdr:y>0.99829</cdr:y>
    </cdr:to>
    <cdr:sp macro="" textlink="">
      <cdr:nvSpPr>
        <cdr:cNvPr id="3" name="TekstSylinder 1"/>
        <cdr:cNvSpPr txBox="1"/>
      </cdr:nvSpPr>
      <cdr:spPr>
        <a:xfrm xmlns:a="http://schemas.openxmlformats.org/drawingml/2006/main">
          <a:off x="2121311" y="5763049"/>
          <a:ext cx="5393303" cy="305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6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983" cy="607824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2DE9002-CB5C-43F0-A015-5536DDD11DA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9304587" cy="6077107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0538" cy="606669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0.24247</cdr:x>
      <cdr:y>0.94158</cdr:y>
    </cdr:from>
    <cdr:to>
      <cdr:x>0.82528</cdr:x>
      <cdr:y>0.99187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2255191" y="5724022"/>
          <a:ext cx="5420647" cy="305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13333" cy="608541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0.24906</cdr:x>
      <cdr:y>0.94971</cdr:y>
    </cdr:from>
    <cdr:to>
      <cdr:x>0.82893</cdr:x>
      <cdr:y>1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2316454" y="5773468"/>
          <a:ext cx="5393302" cy="3057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600" b="1">
              <a:solidFill>
                <a:schemeClr val="tx2">
                  <a:lumMod val="75000"/>
                </a:schemeClr>
              </a:solidFill>
            </a:rPr>
            <a:t>(kroner per innb) sammenlignet med landsgjennomsnitt (=0)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ksiskyen-my.sharepoint.com/personal/sigmund_engdal_ks_no/Documents/Dokumenter/Modell%20sammenligning%20mellom%20kommuner/Fylkeskommune/2023%20-%20Kostrapublisering%2015032024/hovedmodell-fylkesk-regnskap-2021-2022-og-2023-publ-apr-24.xlsx" TargetMode="External"/><Relationship Id="rId2" Type="http://schemas.microsoft.com/office/2019/04/relationships/externalLinkLongPath" Target="/personal/sigmund_engdal_ks_no/Documents/Dokumenter/Modell%20sammenligning%20mellom%20kommuner/Fylkeskommune/2023%20-%20Kostrapublisering%2015032024/hovedmodell-fylkesk-regnskap-2021-2022-og-2023-publ-apr-24.xlsx?E41E44E1" TargetMode="External"/><Relationship Id="rId1" Type="http://schemas.openxmlformats.org/officeDocument/2006/relationships/externalLinkPath" Target="file:///\\E41E44E1\hovedmodell-fylkesk-regnskap-2021-2022-og-2023-publ-apr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Inngang"/>
      <sheetName val="1. Kostratall"/>
      <sheetName val="2. Inntektssyst kostnadsnøkler"/>
      <sheetName val="Utgiftskorrigering"/>
      <sheetName val="3. Disp inntekt og ressursbruk"/>
      <sheetName val="4. Ressursbruk tjenest INNTSYS"/>
      <sheetName val="Ressurbruk øvrige tjenester"/>
      <sheetName val="Inntekts og utgiftskorrigering"/>
      <sheetName val="5. Inntektskorr ressursbruk"/>
      <sheetName val="6. Inntkorr ressursb  INNTSYS "/>
      <sheetName val="7. Inntkorr ressursb øvr tjenes"/>
      <sheetName val="Tabeller fylkesko 2021"/>
      <sheetName val="Tabeller fylkesko 2022"/>
      <sheetName val="Tabeller fylkesko 2023"/>
      <sheetName val="2020 Korreksjoner"/>
      <sheetName val="2020 Nto driftsutg landet"/>
      <sheetName val="2020 Nto driftsutg"/>
      <sheetName val="2020 Avskrivning"/>
      <sheetName val="2020 Nto driftsutg eks avskriv"/>
      <sheetName val="2020 Inntektsnivå"/>
      <sheetName val="2020 Lønnsand og arbavg landet"/>
      <sheetName val="2020 Lønnsand og pensjon landet"/>
      <sheetName val="2020 Lønnsgr arbavg tjeneste"/>
      <sheetName val="2020 Arbavg tjeneste"/>
      <sheetName val="2020 Lønnsgr pensjon tjeneste"/>
      <sheetName val="2020 Pensjon tjeneste"/>
      <sheetName val="2020 Revekting utgiftsbehov"/>
      <sheetName val="2020 Korr med revekting pensjon"/>
      <sheetName val="2020 Korr med revekting arbavg"/>
      <sheetName val="2020 Korr med revekt premieavv"/>
      <sheetName val="2020 Korr med revekting eiendom"/>
      <sheetName val="2020 Grunnlag korreksjoner"/>
      <sheetName val="2020 Bto driftsutg"/>
      <sheetName val="2020 Bto driftsutg eks avskriv"/>
      <sheetName val="2020 Nøkkel revektet"/>
      <sheetName val="2021 Korreksjoner"/>
      <sheetName val="2021 Nto driftsutg landet"/>
      <sheetName val="2021 Nto driftsutg"/>
      <sheetName val="2021 Avskrivning"/>
      <sheetName val="2021 Nto driftsutg eks avskriv"/>
      <sheetName val="2021 Inntektsnivå"/>
      <sheetName val="2021 Lønnsand og arbavg landet"/>
      <sheetName val="2021 Lønnsand og pensjon landet"/>
      <sheetName val="2021 Lønnsgr arbavg tjeneste"/>
      <sheetName val="2021 Arbavg tjeneste"/>
      <sheetName val="2021 Lønnsgr pensjon tjeneste"/>
      <sheetName val="2021 Pensjon tjeneste"/>
      <sheetName val="2021 Revekting utgiftsbehov"/>
      <sheetName val="2021 Korr med revekting pensjon"/>
      <sheetName val="2021 Korr med revekting arbavg"/>
      <sheetName val="2021 Korr med revekt premieavv"/>
      <sheetName val="2021 Korr med revekting eiend"/>
      <sheetName val="2021 Grunnlag korreksjoner"/>
      <sheetName val="2021 Bto driftsutg"/>
      <sheetName val="2021 Bto driftsutg eks avskriv"/>
      <sheetName val="2021 Nøkkel revektet"/>
      <sheetName val="2022 Korreksjoner"/>
      <sheetName val="2022 Nto driftsutg landet"/>
      <sheetName val="2022 Nto driftsutg"/>
      <sheetName val="2022 Avskrivning"/>
      <sheetName val="2022 Nto driftsutg eks avskriv"/>
      <sheetName val="2022 Inntektsnivå"/>
      <sheetName val="2022 Lønnsand og arbavg landet"/>
      <sheetName val="2022 Lønnsand og pensjon landet"/>
      <sheetName val="2022 Lønnsgr arbavg tjeneste"/>
      <sheetName val="2022 Arbavg tjeneste"/>
      <sheetName val="2022 Lønnsgr pensjon tjeneste"/>
      <sheetName val="2022 Pensjon tjeneste"/>
      <sheetName val="2022 Revekting utgiftsbehov"/>
      <sheetName val="2022 Korr med revekting pensjon"/>
      <sheetName val="2022 Korr med revekting arbavg"/>
      <sheetName val="2022 Korr med revekt premieavv"/>
      <sheetName val="2022 Korr med revekting eiendom"/>
      <sheetName val="2022 Grunnlag korreksjoner"/>
      <sheetName val="2022 Bto driftsutg"/>
      <sheetName val="2022 Bto driftsutg eks avskriv"/>
      <sheetName val="2023 Korreksjoner"/>
      <sheetName val="2023 Nto driftsutg landet"/>
      <sheetName val="2023 Nto driftsutg"/>
      <sheetName val="2023 Avskrivning"/>
      <sheetName val="2023 Nto driftsutg eks avskriv"/>
      <sheetName val="2023 Inntektsnivå"/>
      <sheetName val="2023 Lønnsand og arbavg landet"/>
      <sheetName val="2023 Lønnsand og pensjon landet"/>
      <sheetName val="2023 Lønnsgr arbavg tjeneste"/>
      <sheetName val="2023 Arbavg tjeneste"/>
      <sheetName val="2023 Lønnsgr pensjon tjeneste"/>
      <sheetName val="2023 Pensjon tjeneste"/>
      <sheetName val="2023 Revekting utgiftsbehov"/>
      <sheetName val="2023 Korr med revekting pensjon"/>
      <sheetName val="2023 Korr med revekting arbavg"/>
      <sheetName val="2023 Korr med revekt premieavv"/>
      <sheetName val="2023 Korr med revekting eiendom"/>
      <sheetName val="2023 Grunnlag korreksjoner"/>
      <sheetName val="2023 Bto driftsutg"/>
      <sheetName val="2023 Bto driftsutg eks avskriv"/>
      <sheetName val="2023 Nøkkel revektet"/>
      <sheetName val="Fylkeskommuner"/>
    </sheetNames>
    <sheetDataSet>
      <sheetData sheetId="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5">
          <cell r="C5">
            <v>6448.5421002088378</v>
          </cell>
        </row>
        <row r="6">
          <cell r="C6">
            <v>1810.3596687353809</v>
          </cell>
        </row>
        <row r="7">
          <cell r="C7">
            <v>2471.4532179965236</v>
          </cell>
        </row>
        <row r="8">
          <cell r="C8">
            <v>931.13559325158008</v>
          </cell>
        </row>
        <row r="9">
          <cell r="C9">
            <v>531.80873947287421</v>
          </cell>
        </row>
        <row r="10">
          <cell r="C10">
            <v>12193.299319665197</v>
          </cell>
        </row>
      </sheetData>
      <sheetData sheetId="58">
        <row r="5">
          <cell r="A5">
            <v>300</v>
          </cell>
          <cell r="B5" t="str">
            <v>OSLO</v>
          </cell>
        </row>
        <row r="6">
          <cell r="A6">
            <v>1100</v>
          </cell>
          <cell r="B6" t="str">
            <v>ROGALAND</v>
          </cell>
        </row>
        <row r="7">
          <cell r="A7">
            <v>1500</v>
          </cell>
          <cell r="B7" t="str">
            <v>MØRE OG ROMSDAL</v>
          </cell>
        </row>
        <row r="8">
          <cell r="A8">
            <v>1800</v>
          </cell>
          <cell r="B8" t="str">
            <v>NORDLAND</v>
          </cell>
        </row>
        <row r="9">
          <cell r="A9">
            <v>3000</v>
          </cell>
          <cell r="B9" t="str">
            <v>VIKEN</v>
          </cell>
        </row>
        <row r="10">
          <cell r="A10">
            <v>3400</v>
          </cell>
          <cell r="B10" t="str">
            <v>INNLANDET</v>
          </cell>
        </row>
        <row r="11">
          <cell r="A11">
            <v>3800</v>
          </cell>
          <cell r="B11" t="str">
            <v>VESTFOLD OG TELEMARK</v>
          </cell>
        </row>
        <row r="12">
          <cell r="A12">
            <v>4200</v>
          </cell>
          <cell r="B12" t="str">
            <v>AGDER</v>
          </cell>
        </row>
        <row r="13">
          <cell r="A13">
            <v>4600</v>
          </cell>
          <cell r="B13" t="str">
            <v>VESTLAND</v>
          </cell>
        </row>
        <row r="14">
          <cell r="A14">
            <v>5000</v>
          </cell>
          <cell r="B14" t="str">
            <v>TRØNDELAG</v>
          </cell>
        </row>
        <row r="15">
          <cell r="A15">
            <v>5400</v>
          </cell>
          <cell r="B15" t="str">
            <v>TROMS OG FINNMARK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5">
          <cell r="I5">
            <v>0.749</v>
          </cell>
          <cell r="Z5">
            <v>0.71022392158037106</v>
          </cell>
          <cell r="AA5">
            <v>0.270823258874198</v>
          </cell>
          <cell r="AB5">
            <v>1.7540082341046399</v>
          </cell>
          <cell r="AC5">
            <v>-1.0575387698197325E-3</v>
          </cell>
          <cell r="AD5">
            <v>0.87476049967418401</v>
          </cell>
        </row>
        <row r="6">
          <cell r="I6">
            <v>0.98709999999999998</v>
          </cell>
          <cell r="Z6">
            <v>1.0704826415803712</v>
          </cell>
          <cell r="AA6">
            <v>0.80647319887419788</v>
          </cell>
          <cell r="AB6">
            <v>1.02085143410464</v>
          </cell>
          <cell r="AC6">
            <v>0.74658406123018028</v>
          </cell>
          <cell r="AD6">
            <v>1.0761153896741837</v>
          </cell>
        </row>
        <row r="7">
          <cell r="I7">
            <v>1.3223</v>
          </cell>
          <cell r="Z7">
            <v>1.1139157515803713</v>
          </cell>
          <cell r="AA7">
            <v>1.5463567788741979</v>
          </cell>
          <cell r="AB7">
            <v>0.99510263410463984</v>
          </cell>
          <cell r="AC7">
            <v>3.0812335812301805</v>
          </cell>
          <cell r="AD7">
            <v>1.0300816796741838</v>
          </cell>
        </row>
        <row r="8">
          <cell r="I8">
            <v>1.5132000000000001</v>
          </cell>
          <cell r="Z8">
            <v>1.0739272315803712</v>
          </cell>
          <cell r="AA8">
            <v>1.752620398874198</v>
          </cell>
          <cell r="AB8">
            <v>1.0201630341046402</v>
          </cell>
          <cell r="AC8">
            <v>5.3647087812301804</v>
          </cell>
          <cell r="AD8">
            <v>0.98234429967418402</v>
          </cell>
        </row>
        <row r="9">
          <cell r="I9">
            <v>0.81579999999999997</v>
          </cell>
          <cell r="Z9">
            <v>1.0186204215803711</v>
          </cell>
          <cell r="AA9">
            <v>0.64054439887419801</v>
          </cell>
          <cell r="AB9">
            <v>0.65922887410463993</v>
          </cell>
          <cell r="AC9">
            <v>6.7505401230180229E-2</v>
          </cell>
          <cell r="AD9">
            <v>1.0247668596741839</v>
          </cell>
        </row>
        <row r="10">
          <cell r="I10">
            <v>1.0403</v>
          </cell>
          <cell r="Z10">
            <v>1.0113968715803712</v>
          </cell>
          <cell r="AA10">
            <v>1.5398255388741982</v>
          </cell>
          <cell r="AB10">
            <v>1.00562551410464</v>
          </cell>
          <cell r="AC10">
            <v>3.5212961230180362E-2</v>
          </cell>
          <cell r="AD10">
            <v>0.96675721967418404</v>
          </cell>
        </row>
        <row r="11">
          <cell r="I11">
            <v>0.89119999999999999</v>
          </cell>
          <cell r="Z11">
            <v>1.0180517215803713</v>
          </cell>
          <cell r="AA11">
            <v>0.95069003887419801</v>
          </cell>
          <cell r="AB11">
            <v>0.72931287410463996</v>
          </cell>
          <cell r="AC11">
            <v>0.13180708123018026</v>
          </cell>
          <cell r="AD11">
            <v>0.99236587967418399</v>
          </cell>
        </row>
        <row r="12">
          <cell r="I12">
            <v>0.98209999999999997</v>
          </cell>
          <cell r="Z12">
            <v>1.0686028215803711</v>
          </cell>
          <cell r="AA12">
            <v>1.1505989388741977</v>
          </cell>
          <cell r="AB12">
            <v>0.82497583410464004</v>
          </cell>
          <cell r="AC12">
            <v>0.22699072123018027</v>
          </cell>
          <cell r="AD12">
            <v>1.0503893396741837</v>
          </cell>
        </row>
        <row r="13">
          <cell r="I13">
            <v>1.155</v>
          </cell>
          <cell r="Z13">
            <v>1.0599850615803712</v>
          </cell>
          <cell r="AA13">
            <v>1.1845790388741979</v>
          </cell>
          <cell r="AB13">
            <v>1.0002381541046401</v>
          </cell>
          <cell r="AC13">
            <v>2.1528916212301801</v>
          </cell>
          <cell r="AD13">
            <v>1.0315294296741839</v>
          </cell>
        </row>
        <row r="14">
          <cell r="I14">
            <v>1.0929</v>
          </cell>
          <cell r="Z14">
            <v>1.0203362715803712</v>
          </cell>
          <cell r="AA14">
            <v>1.2794585388741979</v>
          </cell>
          <cell r="AB14">
            <v>1.0612897541046402</v>
          </cell>
          <cell r="AC14">
            <v>1.2260463412301803</v>
          </cell>
          <cell r="AD14">
            <v>1.0044135096741837</v>
          </cell>
        </row>
        <row r="15">
          <cell r="I15">
            <v>1.4232</v>
          </cell>
          <cell r="Z15">
            <v>1.0642174715803714</v>
          </cell>
          <cell r="AA15">
            <v>2.0645312388741979</v>
          </cell>
          <cell r="AB15">
            <v>1.12130167410464</v>
          </cell>
          <cell r="AC15">
            <v>3.1783460612301804</v>
          </cell>
          <cell r="AD15">
            <v>0.9713439196741841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I14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19.85546875" customWidth="1"/>
    <col min="2" max="2" width="18.5703125" bestFit="1" customWidth="1"/>
  </cols>
  <sheetData>
    <row r="1" spans="1:9" x14ac:dyDescent="0.25">
      <c r="I1" s="111">
        <f>B5/VLOOKUP(B$5,'[1]2022 Nto driftsutg'!$A$5:$B$15,1,TRUE)</f>
        <v>1</v>
      </c>
    </row>
    <row r="2" spans="1:9" ht="26.25" x14ac:dyDescent="0.4">
      <c r="A2" s="72" t="s">
        <v>136</v>
      </c>
    </row>
    <row r="3" spans="1:9" ht="26.25" x14ac:dyDescent="0.4">
      <c r="A3" s="72"/>
    </row>
    <row r="5" spans="1:9" ht="26.25" customHeight="1" x14ac:dyDescent="0.4">
      <c r="A5" s="42" t="s">
        <v>1</v>
      </c>
      <c r="B5" s="92">
        <v>5000</v>
      </c>
      <c r="C5" s="115" t="str">
        <f>IF(B5=0,"",IF(I1=1,VLOOKUP(B5,Fylkeskommuner!$A$5:$B$15,2),"Kommunenr. er ikke i bruk"))</f>
        <v>TRØNDELAG</v>
      </c>
      <c r="D5" s="116"/>
      <c r="E5" s="116"/>
      <c r="F5" s="116"/>
      <c r="G5" s="116"/>
    </row>
    <row r="6" spans="1:9" ht="26.25" x14ac:dyDescent="0.4">
      <c r="A6" s="42"/>
      <c r="B6" s="42"/>
      <c r="C6" s="110" t="str">
        <f>IF(C5="Kommunenr. er ikke i bruk","NB! Sør- og Nord-Trøndelag er slått sammen til 5000 Trøndelag fra 2017","")</f>
        <v/>
      </c>
    </row>
    <row r="7" spans="1:9" ht="26.25" x14ac:dyDescent="0.4">
      <c r="A7" s="72" t="s">
        <v>389</v>
      </c>
      <c r="B7" s="42"/>
      <c r="C7" s="42"/>
    </row>
    <row r="9" spans="1:9" ht="26.25" x14ac:dyDescent="0.4">
      <c r="A9" s="42" t="s">
        <v>1</v>
      </c>
      <c r="B9" s="92">
        <v>0</v>
      </c>
      <c r="C9" s="115" t="str">
        <f>IF(B9=0,"",IF(I1=1,VLOOKUP(B9,Fylkeskommuner!$A$5:$B$15,2),"Kommunenr. er ikke i bruk"))</f>
        <v/>
      </c>
      <c r="D9" s="116"/>
      <c r="E9" s="116"/>
      <c r="F9" s="116"/>
      <c r="G9" s="116"/>
    </row>
    <row r="10" spans="1:9" x14ac:dyDescent="0.25">
      <c r="C10" s="110" t="str">
        <f>IF(C9="Kommunenr. er ikke i bruk","NB! Sør- og Nord-Trøndelag er slått sammen til 5000 Trøndelag fra 2017","")</f>
        <v/>
      </c>
    </row>
    <row r="11" spans="1:9" ht="26.25" x14ac:dyDescent="0.4">
      <c r="A11" s="42" t="s">
        <v>1</v>
      </c>
      <c r="B11" s="92">
        <v>0</v>
      </c>
      <c r="C11" s="115" t="str">
        <f>IF(B11=0,"",IF(I1=1,VLOOKUP(B11,Fylkeskommuner!$A$5:$B$15,2),"Kommunenr. er ikke i bruk"))</f>
        <v/>
      </c>
      <c r="D11" s="116"/>
      <c r="E11" s="116"/>
      <c r="F11" s="116"/>
      <c r="G11" s="116"/>
    </row>
    <row r="12" spans="1:9" x14ac:dyDescent="0.25">
      <c r="C12" s="110" t="str">
        <f>IF(C11="Kommunenr. er ikke i bruk","NB! Sør- og Nord-Trøndelag er slått sammen til 5000 Trøndelag fra 2017","")</f>
        <v/>
      </c>
    </row>
    <row r="13" spans="1:9" ht="26.25" x14ac:dyDescent="0.4">
      <c r="A13" s="42" t="s">
        <v>1</v>
      </c>
      <c r="B13" s="92">
        <v>0</v>
      </c>
      <c r="C13" s="115" t="str">
        <f>IF(B13=0,"",IF(I1=1,VLOOKUP(B13,Fylkeskommuner!$A$5:$B$15,2),"Kommunenr. er ikke i bruk"))</f>
        <v/>
      </c>
      <c r="D13" s="116"/>
      <c r="E13" s="116"/>
      <c r="F13" s="116"/>
      <c r="G13" s="116"/>
    </row>
    <row r="14" spans="1:9" x14ac:dyDescent="0.25">
      <c r="C14" s="110" t="str">
        <f>IF(C13="Kommunenr. er ikke i bruk","NB! Sør- og Nord-Trøndelag er slått sammen til 5000 Trøndelag fra 2017","")</f>
        <v/>
      </c>
    </row>
  </sheetData>
  <sheetProtection sheet="1" selectLockedCells="1"/>
  <mergeCells count="4">
    <mergeCell ref="C5:G5"/>
    <mergeCell ref="C9:G9"/>
    <mergeCell ref="C11:G11"/>
    <mergeCell ref="C13:G13"/>
  </mergeCells>
  <pageMargins left="0.7" right="0.7" top="0.75" bottom="0.75" header="0.3" footer="0.3"/>
  <ignoredErrors>
    <ignoredError sqref="C10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7DE6F-A47D-4AA3-802C-1B4989108305}">
  <sheetPr>
    <tabColor rgb="FFFFC000"/>
  </sheetPr>
  <dimension ref="A1:W18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5" x14ac:dyDescent="0.25"/>
  <cols>
    <col min="1" max="1" width="9.85546875" customWidth="1"/>
    <col min="2" max="3" width="18.5703125" customWidth="1"/>
    <col min="4" max="8" width="13.140625" customWidth="1"/>
    <col min="9" max="9" width="14.5703125" customWidth="1"/>
    <col min="10" max="20" width="13.140625" customWidth="1"/>
    <col min="21" max="21" width="5.42578125" customWidth="1"/>
    <col min="22" max="22" width="12.42578125" customWidth="1"/>
  </cols>
  <sheetData>
    <row r="1" spans="1:23" x14ac:dyDescent="0.25">
      <c r="I1" s="5"/>
    </row>
    <row r="2" spans="1:23" ht="104.25" customHeight="1" x14ac:dyDescent="0.25">
      <c r="A2" s="24" t="s">
        <v>2</v>
      </c>
      <c r="B2" s="24" t="s">
        <v>1</v>
      </c>
      <c r="C2" s="24" t="s">
        <v>26</v>
      </c>
      <c r="D2" s="24" t="s">
        <v>166</v>
      </c>
      <c r="E2" s="24" t="s">
        <v>167</v>
      </c>
      <c r="F2" s="24" t="s">
        <v>290</v>
      </c>
      <c r="G2" s="24" t="s">
        <v>291</v>
      </c>
      <c r="H2" s="24" t="s">
        <v>168</v>
      </c>
      <c r="I2" s="13" t="s">
        <v>28</v>
      </c>
      <c r="J2" s="24" t="s">
        <v>14</v>
      </c>
      <c r="K2" s="24" t="s">
        <v>169</v>
      </c>
      <c r="L2" s="24" t="s">
        <v>170</v>
      </c>
      <c r="M2" s="24" t="s">
        <v>15</v>
      </c>
      <c r="N2" s="24" t="s">
        <v>171</v>
      </c>
      <c r="O2" s="24" t="s">
        <v>172</v>
      </c>
      <c r="P2" s="24" t="s">
        <v>16</v>
      </c>
      <c r="Q2" s="24" t="s">
        <v>173</v>
      </c>
      <c r="R2" s="24" t="s">
        <v>13</v>
      </c>
      <c r="S2" s="24" t="s">
        <v>19</v>
      </c>
      <c r="T2" s="24" t="s">
        <v>20</v>
      </c>
      <c r="U2" s="24"/>
      <c r="V2" s="24"/>
      <c r="W2" s="24"/>
    </row>
    <row r="3" spans="1:23" x14ac:dyDescent="0.25">
      <c r="A3" s="107">
        <v>1</v>
      </c>
      <c r="B3" s="107">
        <f t="shared" ref="B3:H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>H3+1</f>
        <v>9</v>
      </c>
      <c r="J3" s="107">
        <f t="shared" ref="J3:U3" si="1">+I3+1</f>
        <v>10</v>
      </c>
      <c r="K3" s="107">
        <f t="shared" si="1"/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  <c r="S3" s="107">
        <f t="shared" si="1"/>
        <v>19</v>
      </c>
      <c r="T3" s="107">
        <f t="shared" si="1"/>
        <v>20</v>
      </c>
      <c r="U3" s="107">
        <f t="shared" si="1"/>
        <v>21</v>
      </c>
      <c r="V3" s="107"/>
      <c r="W3" s="107"/>
    </row>
    <row r="4" spans="1:23" x14ac:dyDescent="0.25">
      <c r="I4" s="21"/>
    </row>
    <row r="5" spans="1:23" x14ac:dyDescent="0.25">
      <c r="A5" s="43">
        <v>300</v>
      </c>
      <c r="B5" s="44" t="s">
        <v>0</v>
      </c>
      <c r="C5" s="1">
        <f t="shared" ref="C5:C15" si="2">SUM(D5:I5)+R5+S5+T5</f>
        <v>7721153.2929190667</v>
      </c>
      <c r="D5" s="1">
        <f>+'2022 Nto driftsutg'!D5-'2022 Avskrivning'!D5</f>
        <v>3422798</v>
      </c>
      <c r="E5" s="1">
        <f>+'2022 Nto driftsutg'!E5-'2022 Avskrivning'!E5</f>
        <v>0</v>
      </c>
      <c r="F5" s="1">
        <f>+'2022 Nto driftsutg'!F5-'2022 Avskrivning'!F5</f>
        <v>3581441</v>
      </c>
      <c r="G5" s="1">
        <f>+'2022 Nto driftsutg'!G5-'2022 Avskrivning'!G5</f>
        <v>28732</v>
      </c>
      <c r="H5" s="1">
        <f>+'2022 Nto driftsutg'!H5-'2022 Avskrivning'!H5</f>
        <v>244625</v>
      </c>
      <c r="I5" s="11">
        <f t="shared" ref="I5:I15" si="3">SUM(J5:Q5)</f>
        <v>223856</v>
      </c>
      <c r="J5" s="1">
        <f>+'2022 Nto driftsutg'!J5-'2022 Avskrivning'!J5</f>
        <v>0</v>
      </c>
      <c r="K5" s="1">
        <f>+'2022 Nto driftsutg'!K5-'2022 Avskrivning'!K5</f>
        <v>128867</v>
      </c>
      <c r="L5" s="1">
        <f>+'2022 Nto driftsutg'!L5-'2022 Avskrivning'!L5</f>
        <v>0</v>
      </c>
      <c r="M5" s="1">
        <f>+'2022 Nto driftsutg'!M5-'2022 Avskrivning'!M5</f>
        <v>14963</v>
      </c>
      <c r="N5" s="1">
        <f>+'2022 Nto driftsutg'!N5-'2022 Avskrivning'!N5</f>
        <v>80026</v>
      </c>
      <c r="O5" s="1">
        <f>+'2022 Nto driftsutg'!O5-'2022 Avskrivning'!O5</f>
        <v>0</v>
      </c>
      <c r="P5" s="1">
        <f>+'2022 Nto driftsutg'!P5-'2022 Avskrivning'!P5</f>
        <v>0</v>
      </c>
      <c r="Q5" s="1">
        <f>+'2022 Nto driftsutg'!Q5-'2022 Avskrivning'!Q5</f>
        <v>0</v>
      </c>
      <c r="R5" s="1">
        <f>+'2022 Nto driftsutg'!R5-'2022 Avskrivning'!R5</f>
        <v>-405955.14792834799</v>
      </c>
      <c r="S5" s="1">
        <f>+'2022 Nto driftsutg'!S5</f>
        <v>81265.544513938818</v>
      </c>
      <c r="T5" s="1">
        <f>+'2022 Nto driftsutg'!T5</f>
        <v>544390.89633347548</v>
      </c>
      <c r="V5" s="1"/>
      <c r="W5" s="1"/>
    </row>
    <row r="6" spans="1:23" x14ac:dyDescent="0.25">
      <c r="A6" s="43">
        <v>1100</v>
      </c>
      <c r="B6" s="44" t="s">
        <v>141</v>
      </c>
      <c r="C6" s="1">
        <f t="shared" si="2"/>
        <v>7154432</v>
      </c>
      <c r="D6" s="1">
        <f>+'2022 Nto driftsutg'!D6-'2022 Avskrivning'!D6</f>
        <v>3308047</v>
      </c>
      <c r="E6" s="1">
        <f>+'2022 Nto driftsutg'!E6-'2022 Avskrivning'!E6</f>
        <v>772692</v>
      </c>
      <c r="F6" s="1">
        <f>+'2022 Nto driftsutg'!F6-'2022 Avskrivning'!F6</f>
        <v>991650</v>
      </c>
      <c r="G6" s="1">
        <f>+'2022 Nto driftsutg'!G6-'2022 Avskrivning'!G6</f>
        <v>473299</v>
      </c>
      <c r="H6" s="1">
        <f>+'2022 Nto driftsutg'!H6-'2022 Avskrivning'!H6</f>
        <v>291202</v>
      </c>
      <c r="I6" s="11">
        <f t="shared" si="3"/>
        <v>83984</v>
      </c>
      <c r="J6" s="1">
        <f>+'2022 Nto driftsutg'!J6-'2022 Avskrivning'!J6</f>
        <v>0</v>
      </c>
      <c r="K6" s="1">
        <f>+'2022 Nto driftsutg'!K6-'2022 Avskrivning'!K6</f>
        <v>289099</v>
      </c>
      <c r="L6" s="1">
        <f>+'2022 Nto driftsutg'!L6-'2022 Avskrivning'!L6</f>
        <v>72400</v>
      </c>
      <c r="M6" s="1">
        <f>+'2022 Nto driftsutg'!M6-'2022 Avskrivning'!M6</f>
        <v>-445959</v>
      </c>
      <c r="N6" s="1">
        <f>+'2022 Nto driftsutg'!N6-'2022 Avskrivning'!N6</f>
        <v>159740</v>
      </c>
      <c r="O6" s="1">
        <f>+'2022 Nto driftsutg'!O6-'2022 Avskrivning'!O6</f>
        <v>0</v>
      </c>
      <c r="P6" s="1">
        <f>+'2022 Nto driftsutg'!P6-'2022 Avskrivning'!P6</f>
        <v>8704</v>
      </c>
      <c r="Q6" s="1">
        <f>+'2022 Nto driftsutg'!Q6-'2022 Avskrivning'!Q6</f>
        <v>0</v>
      </c>
      <c r="R6" s="1">
        <f>+'2022 Nto driftsutg'!R6-'2022 Avskrivning'!R6</f>
        <v>-20762</v>
      </c>
      <c r="S6" s="1">
        <f>+'2022 Nto driftsutg'!S6</f>
        <v>522086</v>
      </c>
      <c r="T6" s="1">
        <f>+'2022 Nto driftsutg'!T6</f>
        <v>732234</v>
      </c>
      <c r="V6" s="1"/>
      <c r="W6" s="1"/>
    </row>
    <row r="7" spans="1:23" x14ac:dyDescent="0.25">
      <c r="A7" s="43">
        <v>1500</v>
      </c>
      <c r="B7" s="44" t="s">
        <v>142</v>
      </c>
      <c r="C7" s="1">
        <f t="shared" si="2"/>
        <v>5525795</v>
      </c>
      <c r="D7" s="1">
        <f>+'2022 Nto driftsutg'!D7-'2022 Avskrivning'!D7</f>
        <v>1834702</v>
      </c>
      <c r="E7" s="1">
        <f>+'2022 Nto driftsutg'!E7-'2022 Avskrivning'!E7</f>
        <v>821129</v>
      </c>
      <c r="F7" s="1">
        <f>+'2022 Nto driftsutg'!F7-'2022 Avskrivning'!F7</f>
        <v>570505</v>
      </c>
      <c r="G7" s="1">
        <f>+'2022 Nto driftsutg'!G7-'2022 Avskrivning'!G7</f>
        <v>914102</v>
      </c>
      <c r="H7" s="1">
        <f>+'2022 Nto driftsutg'!H7-'2022 Avskrivning'!H7</f>
        <v>173852</v>
      </c>
      <c r="I7" s="11">
        <f t="shared" si="3"/>
        <v>570485</v>
      </c>
      <c r="J7" s="1">
        <f>+'2022 Nto driftsutg'!J7-'2022 Avskrivning'!J7</f>
        <v>0</v>
      </c>
      <c r="K7" s="1">
        <f>+'2022 Nto driftsutg'!K7-'2022 Avskrivning'!K7</f>
        <v>235003</v>
      </c>
      <c r="L7" s="1">
        <f>+'2022 Nto driftsutg'!L7-'2022 Avskrivning'!L7</f>
        <v>144519</v>
      </c>
      <c r="M7" s="1">
        <f>+'2022 Nto driftsutg'!M7-'2022 Avskrivning'!M7</f>
        <v>71092</v>
      </c>
      <c r="N7" s="1">
        <f>+'2022 Nto driftsutg'!N7-'2022 Avskrivning'!N7</f>
        <v>110243</v>
      </c>
      <c r="O7" s="1">
        <f>+'2022 Nto driftsutg'!O7-'2022 Avskrivning'!O7</f>
        <v>1137</v>
      </c>
      <c r="P7" s="1">
        <f>+'2022 Nto driftsutg'!P7-'2022 Avskrivning'!P7</f>
        <v>8491</v>
      </c>
      <c r="Q7" s="1">
        <f>+'2022 Nto driftsutg'!Q7-'2022 Avskrivning'!Q7</f>
        <v>0</v>
      </c>
      <c r="R7" s="1">
        <f>+'2022 Nto driftsutg'!R7-'2022 Avskrivning'!R7</f>
        <v>12462</v>
      </c>
      <c r="S7" s="1">
        <f>+'2022 Nto driftsutg'!S7</f>
        <v>415425</v>
      </c>
      <c r="T7" s="1">
        <f>+'2022 Nto driftsutg'!T7</f>
        <v>213133</v>
      </c>
      <c r="V7" s="1"/>
      <c r="W7" s="1"/>
    </row>
    <row r="8" spans="1:23" x14ac:dyDescent="0.25">
      <c r="A8" s="43">
        <v>1800</v>
      </c>
      <c r="B8" s="44" t="s">
        <v>143</v>
      </c>
      <c r="C8" s="1">
        <f t="shared" si="2"/>
        <v>6065390</v>
      </c>
      <c r="D8" s="1">
        <f>+'2022 Nto driftsutg'!D8-'2022 Avskrivning'!D8</f>
        <v>1874731</v>
      </c>
      <c r="E8" s="1">
        <f>+'2022 Nto driftsutg'!E8-'2022 Avskrivning'!E8</f>
        <v>736906</v>
      </c>
      <c r="F8" s="1">
        <f>+'2022 Nto driftsutg'!F8-'2022 Avskrivning'!F8</f>
        <v>474320</v>
      </c>
      <c r="G8" s="1">
        <f>+'2022 Nto driftsutg'!G8-'2022 Avskrivning'!G8</f>
        <v>1134610</v>
      </c>
      <c r="H8" s="1">
        <f>+'2022 Nto driftsutg'!H8-'2022 Avskrivning'!H8</f>
        <v>200601</v>
      </c>
      <c r="I8" s="11">
        <f t="shared" si="3"/>
        <v>616233</v>
      </c>
      <c r="J8" s="1">
        <f>+'2022 Nto driftsutg'!J8-'2022 Avskrivning'!J8</f>
        <v>0</v>
      </c>
      <c r="K8" s="1">
        <f>+'2022 Nto driftsutg'!K8-'2022 Avskrivning'!K8</f>
        <v>324542</v>
      </c>
      <c r="L8" s="1">
        <f>+'2022 Nto driftsutg'!L8-'2022 Avskrivning'!L8</f>
        <v>26037</v>
      </c>
      <c r="M8" s="1">
        <f>+'2022 Nto driftsutg'!M8-'2022 Avskrivning'!M8</f>
        <v>96386</v>
      </c>
      <c r="N8" s="1">
        <f>+'2022 Nto driftsutg'!N8-'2022 Avskrivning'!N8</f>
        <v>169254</v>
      </c>
      <c r="O8" s="1">
        <f>+'2022 Nto driftsutg'!O8-'2022 Avskrivning'!O8</f>
        <v>14</v>
      </c>
      <c r="P8" s="1">
        <f>+'2022 Nto driftsutg'!P8-'2022 Avskrivning'!P8</f>
        <v>0</v>
      </c>
      <c r="Q8" s="1">
        <f>+'2022 Nto driftsutg'!Q8-'2022 Avskrivning'!Q8</f>
        <v>0</v>
      </c>
      <c r="R8" s="1">
        <f>+'2022 Nto driftsutg'!R8-'2022 Avskrivning'!R8</f>
        <v>-32019</v>
      </c>
      <c r="S8" s="1">
        <f>+'2022 Nto driftsutg'!S8</f>
        <v>269896</v>
      </c>
      <c r="T8" s="1">
        <f>+'2022 Nto driftsutg'!T8</f>
        <v>790112</v>
      </c>
      <c r="V8" s="1"/>
      <c r="W8" s="1"/>
    </row>
    <row r="9" spans="1:23" x14ac:dyDescent="0.25">
      <c r="A9" s="43">
        <v>3000</v>
      </c>
      <c r="B9" s="44" t="s">
        <v>391</v>
      </c>
      <c r="C9" s="1">
        <f t="shared" si="2"/>
        <v>16135396</v>
      </c>
      <c r="D9" s="1">
        <f>+'2022 Nto driftsutg'!D9-'2022 Avskrivning'!D9</f>
        <v>8268765</v>
      </c>
      <c r="E9" s="1">
        <f>+'2022 Nto driftsutg'!E9-'2022 Avskrivning'!E9</f>
        <v>1482812</v>
      </c>
      <c r="F9" s="1">
        <f>+'2022 Nto driftsutg'!F9-'2022 Avskrivning'!F9</f>
        <v>2434510</v>
      </c>
      <c r="G9" s="1">
        <f>+'2022 Nto driftsutg'!G9-'2022 Avskrivning'!G9</f>
        <v>15229</v>
      </c>
      <c r="H9" s="1">
        <f>+'2022 Nto driftsutg'!H9-'2022 Avskrivning'!H9</f>
        <v>523621</v>
      </c>
      <c r="I9" s="11">
        <f t="shared" si="3"/>
        <v>1790988</v>
      </c>
      <c r="J9" s="1">
        <f>+'2022 Nto driftsutg'!J9-'2022 Avskrivning'!J9</f>
        <v>0</v>
      </c>
      <c r="K9" s="1">
        <f>+'2022 Nto driftsutg'!K9-'2022 Avskrivning'!K9</f>
        <v>1069220</v>
      </c>
      <c r="L9" s="1">
        <f>+'2022 Nto driftsutg'!L9-'2022 Avskrivning'!L9</f>
        <v>223206</v>
      </c>
      <c r="M9" s="1">
        <f>+'2022 Nto driftsutg'!M9-'2022 Avskrivning'!M9</f>
        <v>122951</v>
      </c>
      <c r="N9" s="1">
        <f>+'2022 Nto driftsutg'!N9-'2022 Avskrivning'!N9</f>
        <v>381701</v>
      </c>
      <c r="O9" s="1">
        <f>+'2022 Nto driftsutg'!O9-'2022 Avskrivning'!O9</f>
        <v>-5935</v>
      </c>
      <c r="P9" s="1">
        <f>+'2022 Nto driftsutg'!P9-'2022 Avskrivning'!P9</f>
        <v>-155</v>
      </c>
      <c r="Q9" s="1">
        <f>+'2022 Nto driftsutg'!Q9-'2022 Avskrivning'!Q9</f>
        <v>0</v>
      </c>
      <c r="R9" s="1">
        <f>+'2022 Nto driftsutg'!R9-'2022 Avskrivning'!R9</f>
        <v>-156821</v>
      </c>
      <c r="S9" s="1">
        <f>+'2022 Nto driftsutg'!S9</f>
        <v>169385</v>
      </c>
      <c r="T9" s="1">
        <f>+'2022 Nto driftsutg'!T9</f>
        <v>1606907</v>
      </c>
      <c r="V9" s="1"/>
      <c r="W9" s="1"/>
    </row>
    <row r="10" spans="1:23" x14ac:dyDescent="0.25">
      <c r="A10" s="43">
        <v>3400</v>
      </c>
      <c r="B10" s="44" t="s">
        <v>392</v>
      </c>
      <c r="C10" s="1">
        <f t="shared" si="2"/>
        <v>5769936</v>
      </c>
      <c r="D10" s="1">
        <f>+'2022 Nto driftsutg'!D10-'2022 Avskrivning'!D10</f>
        <v>2485986</v>
      </c>
      <c r="E10" s="1">
        <f>+'2022 Nto driftsutg'!E10-'2022 Avskrivning'!E10</f>
        <v>1015498</v>
      </c>
      <c r="F10" s="1">
        <f>+'2022 Nto driftsutg'!F10-'2022 Avskrivning'!F10</f>
        <v>794552</v>
      </c>
      <c r="G10" s="1">
        <f>+'2022 Nto driftsutg'!G10-'2022 Avskrivning'!G10</f>
        <v>14215</v>
      </c>
      <c r="H10" s="1">
        <f>+'2022 Nto driftsutg'!H10-'2022 Avskrivning'!H10</f>
        <v>213418</v>
      </c>
      <c r="I10" s="11">
        <f t="shared" si="3"/>
        <v>693773</v>
      </c>
      <c r="J10" s="1">
        <f>+'2022 Nto driftsutg'!J10-'2022 Avskrivning'!J10</f>
        <v>0</v>
      </c>
      <c r="K10" s="1">
        <f>+'2022 Nto driftsutg'!K10-'2022 Avskrivning'!K10</f>
        <v>364732</v>
      </c>
      <c r="L10" s="1">
        <f>+'2022 Nto driftsutg'!L10-'2022 Avskrivning'!L10</f>
        <v>76473</v>
      </c>
      <c r="M10" s="1">
        <f>+'2022 Nto driftsutg'!M10-'2022 Avskrivning'!M10</f>
        <v>122988</v>
      </c>
      <c r="N10" s="1">
        <f>+'2022 Nto driftsutg'!N10-'2022 Avskrivning'!N10</f>
        <v>129576</v>
      </c>
      <c r="O10" s="1">
        <f>+'2022 Nto driftsutg'!O10-'2022 Avskrivning'!O10</f>
        <v>0</v>
      </c>
      <c r="P10" s="1">
        <f>+'2022 Nto driftsutg'!P10-'2022 Avskrivning'!P10</f>
        <v>4</v>
      </c>
      <c r="Q10" s="1">
        <f>+'2022 Nto driftsutg'!Q10-'2022 Avskrivning'!Q10</f>
        <v>0</v>
      </c>
      <c r="R10" s="1">
        <f>+'2022 Nto driftsutg'!R10-'2022 Avskrivning'!R10</f>
        <v>68682</v>
      </c>
      <c r="S10" s="1">
        <f>+'2022 Nto driftsutg'!S10</f>
        <v>138440</v>
      </c>
      <c r="T10" s="1">
        <f>+'2022 Nto driftsutg'!T10</f>
        <v>345372</v>
      </c>
      <c r="V10" s="1"/>
      <c r="W10" s="1"/>
    </row>
    <row r="11" spans="1:23" x14ac:dyDescent="0.25">
      <c r="A11" s="43">
        <v>3800</v>
      </c>
      <c r="B11" s="44" t="s">
        <v>393</v>
      </c>
      <c r="C11" s="1">
        <f t="shared" si="2"/>
        <v>5875382</v>
      </c>
      <c r="D11" s="1">
        <f>+'2022 Nto driftsutg'!D11-'2022 Avskrivning'!D11</f>
        <v>2865593</v>
      </c>
      <c r="E11" s="1">
        <f>+'2022 Nto driftsutg'!E11-'2022 Avskrivning'!E11</f>
        <v>800365</v>
      </c>
      <c r="F11" s="1">
        <f>+'2022 Nto driftsutg'!F11-'2022 Avskrivning'!F11</f>
        <v>680780</v>
      </c>
      <c r="G11" s="1">
        <f>+'2022 Nto driftsutg'!G11-'2022 Avskrivning'!G11</f>
        <v>41405</v>
      </c>
      <c r="H11" s="1">
        <f>+'2022 Nto driftsutg'!H11-'2022 Avskrivning'!H11</f>
        <v>221393</v>
      </c>
      <c r="I11" s="11">
        <f t="shared" si="3"/>
        <v>898702</v>
      </c>
      <c r="J11" s="1">
        <f>+'2022 Nto driftsutg'!J11-'2022 Avskrivning'!J11</f>
        <v>0</v>
      </c>
      <c r="K11" s="1">
        <f>+'2022 Nto driftsutg'!K11-'2022 Avskrivning'!K11</f>
        <v>379685</v>
      </c>
      <c r="L11" s="1">
        <f>+'2022 Nto driftsutg'!L11-'2022 Avskrivning'!L11</f>
        <v>197471</v>
      </c>
      <c r="M11" s="1">
        <f>+'2022 Nto driftsutg'!M11-'2022 Avskrivning'!M11</f>
        <v>102200</v>
      </c>
      <c r="N11" s="1">
        <f>+'2022 Nto driftsutg'!N11-'2022 Avskrivning'!N11</f>
        <v>208004</v>
      </c>
      <c r="O11" s="1">
        <f>+'2022 Nto driftsutg'!O11-'2022 Avskrivning'!O11</f>
        <v>559</v>
      </c>
      <c r="P11" s="1">
        <f>+'2022 Nto driftsutg'!P11-'2022 Avskrivning'!P11</f>
        <v>10783</v>
      </c>
      <c r="Q11" s="1">
        <f>+'2022 Nto driftsutg'!Q11-'2022 Avskrivning'!Q11</f>
        <v>0</v>
      </c>
      <c r="R11" s="1">
        <f>+'2022 Nto driftsutg'!R11-'2022 Avskrivning'!R11</f>
        <v>-43725</v>
      </c>
      <c r="S11" s="1">
        <f>+'2022 Nto driftsutg'!S11</f>
        <v>253513</v>
      </c>
      <c r="T11" s="1">
        <f>+'2022 Nto driftsutg'!T11</f>
        <v>157356</v>
      </c>
      <c r="V11" s="1"/>
      <c r="W11" s="1"/>
    </row>
    <row r="12" spans="1:23" x14ac:dyDescent="0.25">
      <c r="A12" s="43">
        <v>4200</v>
      </c>
      <c r="B12" s="44" t="s">
        <v>394</v>
      </c>
      <c r="C12" s="1">
        <f t="shared" si="2"/>
        <v>4703856</v>
      </c>
      <c r="D12" s="1">
        <f>+'2022 Nto driftsutg'!D12-'2022 Avskrivning'!D12</f>
        <v>2238170</v>
      </c>
      <c r="E12" s="1">
        <f>+'2022 Nto driftsutg'!E12-'2022 Avskrivning'!E12</f>
        <v>685434</v>
      </c>
      <c r="F12" s="1">
        <f>+'2022 Nto driftsutg'!F12-'2022 Avskrivning'!F12</f>
        <v>569475</v>
      </c>
      <c r="G12" s="1">
        <f>+'2022 Nto driftsutg'!G12-'2022 Avskrivning'!G12</f>
        <v>54088</v>
      </c>
      <c r="H12" s="1">
        <f>+'2022 Nto driftsutg'!H12-'2022 Avskrivning'!H12</f>
        <v>168790</v>
      </c>
      <c r="I12" s="11">
        <f t="shared" si="3"/>
        <v>418823</v>
      </c>
      <c r="J12" s="1">
        <f>+'2022 Nto driftsutg'!J12-'2022 Avskrivning'!J12</f>
        <v>0</v>
      </c>
      <c r="K12" s="1">
        <f>+'2022 Nto driftsutg'!K12-'2022 Avskrivning'!K12</f>
        <v>333827</v>
      </c>
      <c r="L12" s="1">
        <f>+'2022 Nto driftsutg'!L12-'2022 Avskrivning'!L12</f>
        <v>188880</v>
      </c>
      <c r="M12" s="1">
        <f>+'2022 Nto driftsutg'!M12-'2022 Avskrivning'!M12</f>
        <v>-187175</v>
      </c>
      <c r="N12" s="1">
        <f>+'2022 Nto driftsutg'!N12-'2022 Avskrivning'!N12</f>
        <v>82479</v>
      </c>
      <c r="O12" s="1">
        <f>+'2022 Nto driftsutg'!O12-'2022 Avskrivning'!O12</f>
        <v>0</v>
      </c>
      <c r="P12" s="1">
        <f>+'2022 Nto driftsutg'!P12-'2022 Avskrivning'!P12</f>
        <v>812</v>
      </c>
      <c r="Q12" s="1">
        <f>+'2022 Nto driftsutg'!Q12-'2022 Avskrivning'!Q12</f>
        <v>0</v>
      </c>
      <c r="R12" s="1">
        <f>+'2022 Nto driftsutg'!R12-'2022 Avskrivning'!R12</f>
        <v>9271</v>
      </c>
      <c r="S12" s="1">
        <f>+'2022 Nto driftsutg'!S12</f>
        <v>237954</v>
      </c>
      <c r="T12" s="1">
        <f>+'2022 Nto driftsutg'!T12</f>
        <v>321851</v>
      </c>
      <c r="V12" s="1"/>
      <c r="W12" s="1"/>
    </row>
    <row r="13" spans="1:23" x14ac:dyDescent="0.25">
      <c r="A13" s="43">
        <v>4600</v>
      </c>
      <c r="B13" s="44" t="s">
        <v>395</v>
      </c>
      <c r="C13" s="1">
        <f t="shared" si="2"/>
        <v>11635522</v>
      </c>
      <c r="D13" s="1">
        <f>+'2022 Nto driftsutg'!D13-'2022 Avskrivning'!D13</f>
        <v>3721851</v>
      </c>
      <c r="E13" s="1">
        <f>+'2022 Nto driftsutg'!E13-'2022 Avskrivning'!E13</f>
        <v>1459060</v>
      </c>
      <c r="F13" s="1">
        <f>+'2022 Nto driftsutg'!F13-'2022 Avskrivning'!F13</f>
        <v>1775169</v>
      </c>
      <c r="G13" s="1">
        <f>+'2022 Nto driftsutg'!G13-'2022 Avskrivning'!G13</f>
        <v>1243872</v>
      </c>
      <c r="H13" s="1">
        <f>+'2022 Nto driftsutg'!H13-'2022 Avskrivning'!H13</f>
        <v>329461</v>
      </c>
      <c r="I13" s="11">
        <f t="shared" si="3"/>
        <v>838302</v>
      </c>
      <c r="J13" s="1">
        <f>+'2022 Nto driftsutg'!J13-'2022 Avskrivning'!J13</f>
        <v>0</v>
      </c>
      <c r="K13" s="1">
        <f>+'2022 Nto driftsutg'!K13-'2022 Avskrivning'!K13</f>
        <v>754750</v>
      </c>
      <c r="L13" s="1">
        <f>+'2022 Nto driftsutg'!L13-'2022 Avskrivning'!L13</f>
        <v>167054</v>
      </c>
      <c r="M13" s="1">
        <f>+'2022 Nto driftsutg'!M13-'2022 Avskrivning'!M13</f>
        <v>-298171</v>
      </c>
      <c r="N13" s="1">
        <f>+'2022 Nto driftsutg'!N13-'2022 Avskrivning'!N13</f>
        <v>214669</v>
      </c>
      <c r="O13" s="1">
        <f>+'2022 Nto driftsutg'!O13-'2022 Avskrivning'!O13</f>
        <v>0</v>
      </c>
      <c r="P13" s="1">
        <f>+'2022 Nto driftsutg'!P13-'2022 Avskrivning'!P13</f>
        <v>0</v>
      </c>
      <c r="Q13" s="1">
        <f>+'2022 Nto driftsutg'!Q13-'2022 Avskrivning'!Q13</f>
        <v>0</v>
      </c>
      <c r="R13" s="1">
        <f>+'2022 Nto driftsutg'!R13-'2022 Avskrivning'!R13</f>
        <v>49969</v>
      </c>
      <c r="S13" s="1">
        <f>+'2022 Nto driftsutg'!S13</f>
        <v>939129</v>
      </c>
      <c r="T13" s="1">
        <f>+'2022 Nto driftsutg'!T13</f>
        <v>1278709</v>
      </c>
      <c r="V13" s="1"/>
      <c r="W13" s="1"/>
    </row>
    <row r="14" spans="1:23" x14ac:dyDescent="0.25">
      <c r="A14" s="43">
        <v>5000</v>
      </c>
      <c r="B14" s="44" t="s">
        <v>390</v>
      </c>
      <c r="C14" s="1">
        <f t="shared" si="2"/>
        <v>7729029</v>
      </c>
      <c r="D14" s="1">
        <f>+'2022 Nto driftsutg'!D14-'2022 Avskrivning'!D14</f>
        <v>3109942</v>
      </c>
      <c r="E14" s="1">
        <f>+'2022 Nto driftsutg'!E14-'2022 Avskrivning'!E14</f>
        <v>1156681</v>
      </c>
      <c r="F14" s="1">
        <f>+'2022 Nto driftsutg'!F14-'2022 Avskrivning'!F14</f>
        <v>882941</v>
      </c>
      <c r="G14" s="1">
        <f>+'2022 Nto driftsutg'!G14-'2022 Avskrivning'!G14</f>
        <v>435015</v>
      </c>
      <c r="H14" s="1">
        <f>+'2022 Nto driftsutg'!H14-'2022 Avskrivning'!H14</f>
        <v>268091</v>
      </c>
      <c r="I14" s="11">
        <f t="shared" si="3"/>
        <v>924124</v>
      </c>
      <c r="J14" s="1">
        <f>+'2022 Nto driftsutg'!J14-'2022 Avskrivning'!J14</f>
        <v>0</v>
      </c>
      <c r="K14" s="1">
        <f>+'2022 Nto driftsutg'!K14-'2022 Avskrivning'!K14</f>
        <v>455194</v>
      </c>
      <c r="L14" s="1">
        <f>+'2022 Nto driftsutg'!L14-'2022 Avskrivning'!L14</f>
        <v>110967</v>
      </c>
      <c r="M14" s="1">
        <f>+'2022 Nto driftsutg'!M14-'2022 Avskrivning'!M14</f>
        <v>111561</v>
      </c>
      <c r="N14" s="1">
        <f>+'2022 Nto driftsutg'!N14-'2022 Avskrivning'!N14</f>
        <v>246402</v>
      </c>
      <c r="O14" s="1">
        <f>+'2022 Nto driftsutg'!O14-'2022 Avskrivning'!O14</f>
        <v>0</v>
      </c>
      <c r="P14" s="1">
        <f>+'2022 Nto driftsutg'!P14-'2022 Avskrivning'!P14</f>
        <v>0</v>
      </c>
      <c r="Q14" s="1">
        <f>+'2022 Nto driftsutg'!Q14-'2022 Avskrivning'!Q14</f>
        <v>0</v>
      </c>
      <c r="R14" s="1">
        <f>+'2022 Nto driftsutg'!R14-'2022 Avskrivning'!R14</f>
        <v>-22019</v>
      </c>
      <c r="S14" s="1">
        <f>+'2022 Nto driftsutg'!S14</f>
        <v>595466</v>
      </c>
      <c r="T14" s="1">
        <f>+'2022 Nto driftsutg'!T14</f>
        <v>378788</v>
      </c>
      <c r="V14" s="1"/>
      <c r="W14" s="1"/>
    </row>
    <row r="15" spans="1:23" x14ac:dyDescent="0.25">
      <c r="A15" s="43">
        <v>5400</v>
      </c>
      <c r="B15" s="44" t="s">
        <v>396</v>
      </c>
      <c r="C15" s="1">
        <f t="shared" si="2"/>
        <v>5926123</v>
      </c>
      <c r="D15" s="1">
        <f>+'2022 Nto driftsutg'!D15-'2022 Avskrivning'!D15</f>
        <v>1854497</v>
      </c>
      <c r="E15" s="1">
        <f>+'2022 Nto driftsutg'!E15-'2022 Avskrivning'!E15</f>
        <v>891113</v>
      </c>
      <c r="F15" s="1">
        <f>+'2022 Nto driftsutg'!F15-'2022 Avskrivning'!F15</f>
        <v>652958</v>
      </c>
      <c r="G15" s="1">
        <f>+'2022 Nto driftsutg'!G15-'2022 Avskrivning'!G15</f>
        <v>697095</v>
      </c>
      <c r="H15" s="1">
        <f>+'2022 Nto driftsutg'!H15-'2022 Avskrivning'!H15</f>
        <v>250152</v>
      </c>
      <c r="I15" s="11">
        <f t="shared" si="3"/>
        <v>638026</v>
      </c>
      <c r="J15" s="1">
        <f>+'2022 Nto driftsutg'!J15-'2022 Avskrivning'!J15</f>
        <v>0</v>
      </c>
      <c r="K15" s="1">
        <f>+'2022 Nto driftsutg'!K15-'2022 Avskrivning'!K15</f>
        <v>372775</v>
      </c>
      <c r="L15" s="1">
        <f>+'2022 Nto driftsutg'!L15-'2022 Avskrivning'!L15</f>
        <v>38077</v>
      </c>
      <c r="M15" s="1">
        <f>+'2022 Nto driftsutg'!M15-'2022 Avskrivning'!M15</f>
        <v>105461</v>
      </c>
      <c r="N15" s="1">
        <f>+'2022 Nto driftsutg'!N15-'2022 Avskrivning'!N15</f>
        <v>157890</v>
      </c>
      <c r="O15" s="1">
        <f>+'2022 Nto driftsutg'!O15-'2022 Avskrivning'!O15</f>
        <v>0</v>
      </c>
      <c r="P15" s="1">
        <f>+'2022 Nto driftsutg'!P15-'2022 Avskrivning'!P15</f>
        <v>-36177</v>
      </c>
      <c r="Q15" s="1">
        <f>+'2022 Nto driftsutg'!Q15-'2022 Avskrivning'!Q15</f>
        <v>0</v>
      </c>
      <c r="R15" s="1">
        <f>+'2022 Nto driftsutg'!R15-'2022 Avskrivning'!R15</f>
        <v>-67742</v>
      </c>
      <c r="S15" s="1">
        <f>+'2022 Nto driftsutg'!S15</f>
        <v>269472</v>
      </c>
      <c r="T15" s="1">
        <f>+'2022 Nto driftsutg'!T15</f>
        <v>740552</v>
      </c>
      <c r="V15" s="1"/>
      <c r="W15" s="1"/>
    </row>
    <row r="16" spans="1:23" x14ac:dyDescent="0.25">
      <c r="C16" s="1"/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3" x14ac:dyDescent="0.25">
      <c r="B17" s="1" t="s">
        <v>3</v>
      </c>
      <c r="C17" s="1">
        <f>+'2022 Nto driftsutg'!C17-'2022 Avskrivning'!C17</f>
        <v>84242014.29291907</v>
      </c>
      <c r="D17" s="1">
        <f t="shared" ref="D17:T17" si="4">SUM(D5:D15)</f>
        <v>34985082</v>
      </c>
      <c r="E17" s="1">
        <f t="shared" si="4"/>
        <v>9821690</v>
      </c>
      <c r="F17" s="1">
        <f t="shared" si="4"/>
        <v>13408301</v>
      </c>
      <c r="G17" s="1">
        <f t="shared" si="4"/>
        <v>5051662</v>
      </c>
      <c r="H17" s="1">
        <f t="shared" si="4"/>
        <v>2885206</v>
      </c>
      <c r="I17" s="11">
        <f t="shared" si="4"/>
        <v>7697296</v>
      </c>
      <c r="J17" s="1">
        <f t="shared" si="4"/>
        <v>0</v>
      </c>
      <c r="K17" s="1">
        <f t="shared" si="4"/>
        <v>4707694</v>
      </c>
      <c r="L17" s="1">
        <f t="shared" si="4"/>
        <v>1245084</v>
      </c>
      <c r="M17" s="1">
        <f t="shared" si="4"/>
        <v>-183703</v>
      </c>
      <c r="N17" s="1">
        <f t="shared" si="4"/>
        <v>1939984</v>
      </c>
      <c r="O17" s="1">
        <f t="shared" si="4"/>
        <v>-4225</v>
      </c>
      <c r="P17" s="1">
        <f t="shared" si="4"/>
        <v>-7538</v>
      </c>
      <c r="Q17" s="1">
        <f t="shared" si="4"/>
        <v>0</v>
      </c>
      <c r="R17" s="1">
        <f t="shared" si="4"/>
        <v>-608659.14792834804</v>
      </c>
      <c r="S17" s="1">
        <f t="shared" si="4"/>
        <v>3892031.5445139389</v>
      </c>
      <c r="T17" s="1">
        <f t="shared" si="4"/>
        <v>7109404.8963334756</v>
      </c>
      <c r="U17" s="1"/>
      <c r="V17" s="1"/>
      <c r="W17" s="1"/>
    </row>
    <row r="18" spans="2:23" x14ac:dyDescent="0.25">
      <c r="C18" s="5"/>
      <c r="H18" s="5"/>
      <c r="I18" s="5">
        <f>SUM(J17:Q17)</f>
        <v>7697296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80CAE-27CB-4084-A01D-DAD5F5074806}">
  <dimension ref="A2:P17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5" x14ac:dyDescent="0.25"/>
  <cols>
    <col min="1" max="1" width="9.85546875" customWidth="1"/>
    <col min="2" max="3" width="18.5703125" customWidth="1"/>
    <col min="4" max="4" width="20.5703125" customWidth="1"/>
  </cols>
  <sheetData>
    <row r="2" spans="1:16" ht="104.25" customHeight="1" x14ac:dyDescent="0.25">
      <c r="A2" s="24" t="s">
        <v>2</v>
      </c>
      <c r="B2" s="24" t="s">
        <v>1</v>
      </c>
      <c r="C2" s="24" t="s">
        <v>22</v>
      </c>
      <c r="D2" s="24" t="s">
        <v>89</v>
      </c>
    </row>
    <row r="3" spans="1:16" x14ac:dyDescent="0.25">
      <c r="A3" s="107">
        <v>1</v>
      </c>
      <c r="B3" s="107">
        <f>+A3+1</f>
        <v>2</v>
      </c>
      <c r="C3" s="107">
        <f>+B3+1</f>
        <v>3</v>
      </c>
      <c r="D3" s="107">
        <f>+C3+1</f>
        <v>4</v>
      </c>
    </row>
    <row r="5" spans="1:16" x14ac:dyDescent="0.25">
      <c r="A5" s="43">
        <v>300</v>
      </c>
      <c r="B5" s="44" t="s">
        <v>0</v>
      </c>
      <c r="C5" s="3">
        <f>(('2022 Nto driftsutg eks avskriv'!C5*1000/'2022 Nto driftsutg'!W5)-'2022 Korreksjoner'!AV5)/'2022 Nto driftsutg landet'!$C$19</f>
        <v>0.88793250638197352</v>
      </c>
      <c r="D5" s="1">
        <f>C5*'2022 Nto driftsutg landet'!$C$19-'2022 Nto driftsutg landet'!$C$19</f>
        <v>-1740.1514393092693</v>
      </c>
      <c r="E5" s="1"/>
      <c r="G5" s="5"/>
      <c r="H5" s="5"/>
      <c r="I5" s="5"/>
      <c r="J5" s="5"/>
      <c r="K5" s="5"/>
      <c r="L5" s="5"/>
      <c r="N5" s="5"/>
      <c r="P5" s="5"/>
    </row>
    <row r="6" spans="1:16" x14ac:dyDescent="0.25">
      <c r="A6" s="43">
        <v>1100</v>
      </c>
      <c r="B6" s="44" t="s">
        <v>141</v>
      </c>
      <c r="C6" s="3">
        <f>(('2022 Nto driftsutg eks avskriv'!C6*1000/'2022 Nto driftsutg'!W6)-'2022 Korreksjoner'!AV6)/'2022 Nto driftsutg landet'!$C$19</f>
        <v>0.95530015373279653</v>
      </c>
      <c r="D6" s="1">
        <f>C6*'2022 Nto driftsutg landet'!$C$19-'2022 Nto driftsutg landet'!$C$19</f>
        <v>-694.08620919014902</v>
      </c>
      <c r="G6" s="5"/>
      <c r="H6" s="5"/>
      <c r="I6" s="5"/>
      <c r="J6" s="5"/>
      <c r="K6" s="5"/>
      <c r="L6" s="5"/>
      <c r="N6" s="5"/>
    </row>
    <row r="7" spans="1:16" x14ac:dyDescent="0.25">
      <c r="A7" s="43">
        <v>1500</v>
      </c>
      <c r="B7" s="44" t="s">
        <v>142</v>
      </c>
      <c r="C7" s="3">
        <f>(('2022 Nto driftsutg eks avskriv'!C7*1000/'2022 Nto driftsutg'!W7)-'2022 Korreksjoner'!AV7)/'2022 Nto driftsutg landet'!$C$19</f>
        <v>1.0741678612707732</v>
      </c>
      <c r="D7" s="1">
        <f>C7*'2022 Nto driftsutg landet'!$C$19-'2022 Nto driftsutg landet'!$C$19</f>
        <v>1151.656973615638</v>
      </c>
      <c r="G7" s="5"/>
      <c r="H7" s="5"/>
      <c r="I7" s="5"/>
      <c r="J7" s="5"/>
      <c r="K7" s="5"/>
      <c r="L7" s="5"/>
      <c r="N7" s="5"/>
    </row>
    <row r="8" spans="1:16" x14ac:dyDescent="0.25">
      <c r="A8" s="43">
        <v>1800</v>
      </c>
      <c r="B8" s="44" t="s">
        <v>143</v>
      </c>
      <c r="C8" s="3">
        <f>(('2022 Nto driftsutg eks avskriv'!C8*1000/'2022 Nto driftsutg'!W8)-'2022 Korreksjoner'!AV8)/'2022 Nto driftsutg landet'!$C$19</f>
        <v>1.2399423484414744</v>
      </c>
      <c r="D8" s="1">
        <f>C8*'2022 Nto driftsutg landet'!$C$19-'2022 Nto driftsutg landet'!$C$19</f>
        <v>3725.7549848916751</v>
      </c>
      <c r="G8" s="5"/>
      <c r="H8" s="5"/>
      <c r="I8" s="5"/>
      <c r="J8" s="5"/>
      <c r="K8" s="5"/>
      <c r="L8" s="5"/>
      <c r="N8" s="5"/>
    </row>
    <row r="9" spans="1:16" x14ac:dyDescent="0.25">
      <c r="A9" s="43">
        <v>3000</v>
      </c>
      <c r="B9" s="44" t="s">
        <v>391</v>
      </c>
      <c r="C9" s="3">
        <f>(('2022 Nto driftsutg eks avskriv'!C9*1000/'2022 Nto driftsutg'!W9)-'2022 Korreksjoner'!AV9)/'2022 Nto driftsutg landet'!$C$19</f>
        <v>0.96293781683226587</v>
      </c>
      <c r="D9" s="1">
        <f>C9*'2022 Nto driftsutg landet'!$C$19-'2022 Nto driftsutg landet'!$C$19</f>
        <v>-575.49079845667438</v>
      </c>
      <c r="G9" s="5"/>
      <c r="H9" s="5"/>
      <c r="I9" s="5"/>
      <c r="J9" s="5"/>
      <c r="K9" s="5"/>
      <c r="L9" s="5"/>
      <c r="N9" s="5"/>
    </row>
    <row r="10" spans="1:16" x14ac:dyDescent="0.25">
      <c r="A10" s="43">
        <v>3400</v>
      </c>
      <c r="B10" s="44" t="s">
        <v>392</v>
      </c>
      <c r="C10" s="3">
        <f>(('2022 Nto driftsutg eks avskriv'!C10*1000/'2022 Nto driftsutg'!W10)-'2022 Korreksjoner'!AV10)/'2022 Nto driftsutg landet'!$C$19</f>
        <v>0.96634783767747123</v>
      </c>
      <c r="D10" s="1">
        <f>C10*'2022 Nto driftsutg landet'!$C$19-'2022 Nto driftsutg landet'!$C$19</f>
        <v>-522.54098678261107</v>
      </c>
      <c r="G10" s="5"/>
      <c r="H10" s="5"/>
      <c r="I10" s="5"/>
      <c r="J10" s="5"/>
      <c r="K10" s="5"/>
      <c r="L10" s="5"/>
      <c r="N10" s="5"/>
    </row>
    <row r="11" spans="1:16" x14ac:dyDescent="0.25">
      <c r="A11" s="43">
        <v>3800</v>
      </c>
      <c r="B11" s="44" t="s">
        <v>393</v>
      </c>
      <c r="C11" s="3">
        <f>(('2022 Nto driftsutg eks avskriv'!C11*1000/'2022 Nto driftsutg'!W11)-'2022 Korreksjoner'!AV11)/'2022 Nto driftsutg landet'!$C$19</f>
        <v>0.97673749044836011</v>
      </c>
      <c r="D11" s="1">
        <f>C11*'2022 Nto driftsutg landet'!$C$19-'2022 Nto driftsutg landet'!$C$19</f>
        <v>-361.21348101355579</v>
      </c>
      <c r="G11" s="5"/>
      <c r="H11" s="5"/>
      <c r="I11" s="5"/>
      <c r="J11" s="5"/>
      <c r="K11" s="5"/>
      <c r="L11" s="5"/>
      <c r="N11" s="5"/>
    </row>
    <row r="12" spans="1:16" x14ac:dyDescent="0.25">
      <c r="A12" s="43">
        <v>4200</v>
      </c>
      <c r="B12" s="44" t="s">
        <v>394</v>
      </c>
      <c r="C12" s="3">
        <f>(('2022 Nto driftsutg eks avskriv'!C12*1000/'2022 Nto driftsutg'!W12)-'2022 Korreksjoner'!AV12)/'2022 Nto driftsutg landet'!$C$19</f>
        <v>0.98601348978086101</v>
      </c>
      <c r="D12" s="1">
        <f>C12*'2022 Nto driftsutg landet'!$C$19-'2022 Nto driftsutg landet'!$C$19</f>
        <v>-217.17846186250063</v>
      </c>
      <c r="G12" s="5"/>
      <c r="H12" s="5"/>
      <c r="I12" s="5"/>
      <c r="J12" s="5"/>
      <c r="K12" s="5"/>
      <c r="L12" s="5"/>
      <c r="N12" s="5"/>
    </row>
    <row r="13" spans="1:16" x14ac:dyDescent="0.25">
      <c r="A13" s="43">
        <v>4600</v>
      </c>
      <c r="B13" s="44" t="s">
        <v>395</v>
      </c>
      <c r="C13" s="3">
        <f>(('2022 Nto driftsutg eks avskriv'!C13*1000/'2022 Nto driftsutg'!W13)-'2022 Korreksjoner'!AV13)/'2022 Nto driftsutg landet'!$C$19</f>
        <v>1.0571831065295656</v>
      </c>
      <c r="D13" s="1">
        <f>C13*'2022 Nto driftsutg landet'!$C$19-'2022 Nto driftsutg landet'!$C$19</f>
        <v>887.92264303475895</v>
      </c>
      <c r="G13" s="5"/>
      <c r="H13" s="5"/>
      <c r="I13" s="5"/>
      <c r="J13" s="5"/>
      <c r="K13" s="5"/>
      <c r="L13" s="5"/>
      <c r="N13" s="5"/>
    </row>
    <row r="14" spans="1:16" x14ac:dyDescent="0.25">
      <c r="A14" s="43">
        <v>5000</v>
      </c>
      <c r="B14" s="44" t="s">
        <v>390</v>
      </c>
      <c r="C14" s="3">
        <f>(('2022 Nto driftsutg eks avskriv'!C14*1000/'2022 Nto driftsutg'!W14)-'2022 Korreksjoner'!AV14)/'2022 Nto driftsutg landet'!$C$19</f>
        <v>0.97420813244254523</v>
      </c>
      <c r="D14" s="1">
        <f>C14*'2022 Nto driftsutg landet'!$C$19-'2022 Nto driftsutg landet'!$C$19</f>
        <v>-400.48861631147884</v>
      </c>
      <c r="G14" s="5"/>
      <c r="H14" s="5"/>
      <c r="I14" s="5"/>
      <c r="J14" s="5"/>
      <c r="K14" s="5"/>
      <c r="L14" s="5"/>
      <c r="N14" s="5"/>
    </row>
    <row r="15" spans="1:16" x14ac:dyDescent="0.25">
      <c r="A15" s="43">
        <v>5400</v>
      </c>
      <c r="B15" s="44" t="s">
        <v>396</v>
      </c>
      <c r="C15" s="3">
        <f>(('2022 Nto driftsutg eks avskriv'!C15*1000/'2022 Nto driftsutg'!W15)-'2022 Korreksjoner'!AV15)/'2022 Nto driftsutg landet'!$C$19</f>
        <v>1.2983443648328323</v>
      </c>
      <c r="D15" s="1">
        <f>C15*'2022 Nto driftsutg landet'!$C$19-'2022 Nto driftsutg landet'!$C$19</f>
        <v>4632.6045056668736</v>
      </c>
      <c r="G15" s="5"/>
      <c r="H15" s="5"/>
      <c r="I15" s="5"/>
      <c r="J15" s="5"/>
      <c r="K15" s="5"/>
      <c r="L15" s="5"/>
      <c r="N15" s="5"/>
    </row>
    <row r="17" spans="2:4" x14ac:dyDescent="0.25">
      <c r="B17" s="1" t="s">
        <v>3</v>
      </c>
      <c r="C17" s="3">
        <f>(('2022 Nto driftsutg eks avskriv'!C17*1000/'2022 Nto driftsutg'!W17)-'2022 Korreksjoner'!AV17)/'2022 Nto driftsutg landet'!$C$19</f>
        <v>-0.86509326774107898</v>
      </c>
      <c r="D17" s="104">
        <f>C17*'2022 Nto driftsutg landet'!$C$19-'2022 Nto driftsutg landet'!$C$19</f>
        <v>-28960.625686587231</v>
      </c>
    </row>
  </sheetData>
  <sheetProtection algorithmName="SHA-512" hashValue="uFxmmWemLSPTf7ToShhwm2kcibrFdwizHxIkylyB7nRhTiMv73ZcqG5hfF+Sk33iq7KP5+0Dh60z3MQOpLqOjA==" saltValue="wHzgLl/qH+k6IeyHsWTEZ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ACBEB-1876-46CC-8B7B-68AB6C737E83}">
  <dimension ref="A2:F25"/>
  <sheetViews>
    <sheetView workbookViewId="0">
      <selection activeCell="G30" sqref="G30"/>
    </sheetView>
  </sheetViews>
  <sheetFormatPr baseColWidth="10" defaultRowHeight="15" x14ac:dyDescent="0.25"/>
  <cols>
    <col min="1" max="3" width="40.5703125" customWidth="1"/>
    <col min="4" max="5" width="21" customWidth="1"/>
  </cols>
  <sheetData>
    <row r="2" spans="1:6" ht="26.25" x14ac:dyDescent="0.25">
      <c r="A2" s="24" t="s">
        <v>10</v>
      </c>
      <c r="B2" s="24" t="s">
        <v>115</v>
      </c>
      <c r="C2" s="24" t="s">
        <v>116</v>
      </c>
      <c r="D2" s="24" t="s">
        <v>73</v>
      </c>
      <c r="E2" s="24" t="s">
        <v>75</v>
      </c>
    </row>
    <row r="3" spans="1:6" x14ac:dyDescent="0.25">
      <c r="A3" s="6"/>
      <c r="B3" s="6"/>
      <c r="C3" s="6"/>
      <c r="D3" s="6"/>
      <c r="E3" s="6"/>
    </row>
    <row r="4" spans="1:6" x14ac:dyDescent="0.25">
      <c r="A4" s="107">
        <v>1</v>
      </c>
      <c r="B4" s="107">
        <f>+A4+1</f>
        <v>2</v>
      </c>
      <c r="C4" s="107">
        <f>+B4+1</f>
        <v>3</v>
      </c>
      <c r="D4" s="107">
        <f>+C4+1</f>
        <v>4</v>
      </c>
      <c r="E4" s="107">
        <f>+D4+1</f>
        <v>5</v>
      </c>
    </row>
    <row r="5" spans="1:6" x14ac:dyDescent="0.25">
      <c r="A5" s="9" t="s">
        <v>31</v>
      </c>
      <c r="B5" s="9"/>
      <c r="C5" s="9"/>
      <c r="D5" s="46"/>
      <c r="E5" s="5"/>
    </row>
    <row r="6" spans="1:6" x14ac:dyDescent="0.25">
      <c r="A6" t="s">
        <v>174</v>
      </c>
      <c r="B6" s="57">
        <f>+'2022 Bto driftsutg eks avskriv'!D$17*1000/'2022 Nto driftsutg'!W$17</f>
        <v>7648.412705727088</v>
      </c>
      <c r="C6" s="57">
        <f>+'2022 Nto driftsutg eks avskriv'!D$17*1000/'2022 Nto driftsutg'!$W$17</f>
        <v>6448.5421002088378</v>
      </c>
      <c r="D6" s="46">
        <f>+'2022 Lønnsgr arbavg tjeneste'!D$17*1000/(B6*'2022 Nto driftsutg'!$W$17)</f>
        <v>0.60755121906641385</v>
      </c>
      <c r="E6" s="46">
        <f>+'2022 Arbavg tjeneste'!D$17/'2022 Lønnsgr arbavg tjeneste'!D$17</f>
        <v>0.12626374654216765</v>
      </c>
    </row>
    <row r="7" spans="1:6" x14ac:dyDescent="0.25">
      <c r="A7" t="s">
        <v>175</v>
      </c>
      <c r="B7" s="57">
        <f>+'2022 Bto driftsutg eks avskriv'!E$17*1000/'2022 Nto driftsutg'!W$17</f>
        <v>1931.3289476837097</v>
      </c>
      <c r="C7" s="57">
        <f>+'2022 Nto driftsutg eks avskriv'!E$17*1000/'2022 Nto driftsutg'!$W$17</f>
        <v>1810.3596687353809</v>
      </c>
      <c r="D7" s="46">
        <f>+'2022 Lønnsgr arbavg tjeneste'!E$17*1000/(B7*'2022 Nto driftsutg'!$W$17)</f>
        <v>8.2517519357975549E-2</v>
      </c>
      <c r="E7" s="46">
        <f>+'2022 Arbavg tjeneste'!E$17/'2022 Lønnsgr arbavg tjeneste'!E$17</f>
        <v>0.19908815116982434</v>
      </c>
    </row>
    <row r="8" spans="1:6" x14ac:dyDescent="0.25">
      <c r="A8" t="s">
        <v>278</v>
      </c>
      <c r="B8" s="57">
        <f>+'2022 Bto driftsutg eks avskriv'!F$17*1000/'2022 Nto driftsutg'!W$17</f>
        <v>3277.3740293109836</v>
      </c>
      <c r="C8" s="57">
        <f>+'2022 Nto driftsutg eks avskriv'!F$17*1000/'2022 Nto driftsutg'!$W$17</f>
        <v>2471.4532179965236</v>
      </c>
      <c r="D8" s="46">
        <f>+'2022 Lønnsgr arbavg tjeneste'!F$17*1000/(B8*'2022 Nto driftsutg'!$W$17)</f>
        <v>1.7274463533059749E-2</v>
      </c>
      <c r="E8" s="46">
        <f>+'2022 Arbavg tjeneste'!F$17/'2022 Lønnsgr arbavg tjeneste'!F$17</f>
        <v>0.13102675882546369</v>
      </c>
    </row>
    <row r="9" spans="1:6" x14ac:dyDescent="0.25">
      <c r="A9" t="s">
        <v>279</v>
      </c>
      <c r="B9" s="57">
        <f>+'2022 Bto driftsutg eks avskriv'!G$17*1000/'2022 Nto driftsutg'!W$17</f>
        <v>1130.3778429460654</v>
      </c>
      <c r="C9" s="57">
        <f>+'2022 Nto driftsutg eks avskriv'!G$17*1000/'2022 Nto driftsutg'!$W$17</f>
        <v>931.13559325158008</v>
      </c>
      <c r="D9" s="46">
        <f>+'2022 Lønnsgr arbavg tjeneste'!G$17*1000/(B9*'2022 Nto driftsutg'!$W$17)</f>
        <v>6.2686248339816437E-3</v>
      </c>
      <c r="E9" s="46">
        <f>+'2022 Arbavg tjeneste'!G$17/'2022 Lønnsgr arbavg tjeneste'!G$17</f>
        <v>0.10992898577114169</v>
      </c>
    </row>
    <row r="10" spans="1:6" x14ac:dyDescent="0.25">
      <c r="A10" t="s">
        <v>176</v>
      </c>
      <c r="B10" s="57">
        <f>+'2022 Bto driftsutg eks avskriv'!H$17*1000/'2022 Nto driftsutg'!W$17</f>
        <v>702.84114891977731</v>
      </c>
      <c r="C10" s="57">
        <f>+'2022 Nto driftsutg eks avskriv'!H$17*1000/'2022 Nto driftsutg'!$W$17</f>
        <v>531.80873947287421</v>
      </c>
      <c r="D10" s="46">
        <f>+'2022 Lønnsgr arbavg tjeneste'!H$17*1000/(B10*'2022 Nto driftsutg'!$W$17)</f>
        <v>0.62887024032657912</v>
      </c>
      <c r="E10" s="46">
        <f>+'2022 Arbavg tjeneste'!H$17/'2022 Lønnsgr arbavg tjeneste'!H$17</f>
        <v>0.11588746540269655</v>
      </c>
    </row>
    <row r="11" spans="1:6" x14ac:dyDescent="0.25">
      <c r="A11" s="9"/>
      <c r="B11" s="57"/>
      <c r="C11" s="57"/>
      <c r="D11" s="8"/>
      <c r="E11" s="46"/>
    </row>
    <row r="12" spans="1:6" x14ac:dyDescent="0.25">
      <c r="A12" s="9" t="s">
        <v>74</v>
      </c>
      <c r="B12" s="57"/>
      <c r="C12" s="57"/>
      <c r="D12" s="46"/>
      <c r="E12" s="46"/>
    </row>
    <row r="13" spans="1:6" x14ac:dyDescent="0.25">
      <c r="A13" t="s">
        <v>4</v>
      </c>
      <c r="B13" s="57">
        <f>+'2022 Bto driftsutg eks avskriv'!K$17*1000/'2022 Nto driftsutg'!W$17</f>
        <v>932.66399644625983</v>
      </c>
      <c r="C13" s="57">
        <f>+'2022 Nto driftsutg eks avskriv'!K$17*1000/'2022 Nto driftsutg'!$W$17</f>
        <v>867.73450906590824</v>
      </c>
      <c r="D13" s="46">
        <f>+'2022 Lønnsgr arbavg tjeneste'!K$17*1000/(B13*'2022 Nto driftsutg'!$W$17)</f>
        <v>0.55008049480291721</v>
      </c>
      <c r="E13" s="46">
        <f>+'2022 Arbavg tjeneste'!K$17/'2022 Lønnsgr arbavg tjeneste'!K$17</f>
        <v>0.11208774074129961</v>
      </c>
    </row>
    <row r="14" spans="1:6" x14ac:dyDescent="0.25">
      <c r="A14" t="s">
        <v>177</v>
      </c>
      <c r="B14" s="57">
        <f>+'2022 Bto driftsutg eks avskriv'!L$17*1000/'2022 Nto driftsutg'!W$17</f>
        <v>487.42901274959587</v>
      </c>
      <c r="C14" s="57">
        <f>+'2022 Nto driftsutg eks avskriv'!L$17*1000/'2022 Nto driftsutg'!$W$17</f>
        <v>229.49714945062641</v>
      </c>
      <c r="D14" s="46">
        <f>+'2022 Lønnsgr arbavg tjeneste'!L$17*1000/(B14*'2022 Nto driftsutg'!$W$17)</f>
        <v>0.24894476473982713</v>
      </c>
      <c r="E14" s="46">
        <f>+'2022 Arbavg tjeneste'!L$17/'2022 Lønnsgr arbavg tjeneste'!L$17</f>
        <v>0.12627635884177554</v>
      </c>
    </row>
    <row r="15" spans="1:6" x14ac:dyDescent="0.25">
      <c r="A15" t="s">
        <v>37</v>
      </c>
      <c r="B15" s="57">
        <f>+'2022 Bto driftsutg eks avskriv'!M$17*1000/'2022 Nto driftsutg'!W$17</f>
        <v>598.28764282699296</v>
      </c>
      <c r="C15" s="57">
        <f>+'2022 Nto driftsutg eks avskriv'!M$17*1000/'2022 Nto driftsutg'!$W$17</f>
        <v>-33.860618918505438</v>
      </c>
      <c r="D15" s="46">
        <f>+'2022 Lønnsgr arbavg tjeneste'!M$17*1000/(B15*'2022 Nto driftsutg'!$W$17)</f>
        <v>7.560218024617113E-2</v>
      </c>
      <c r="E15" s="46">
        <f>+'2022 Arbavg tjeneste'!M$17/'2022 Lønnsgr arbavg tjeneste'!M$17</f>
        <v>0.11968051508791948</v>
      </c>
      <c r="F15" s="46"/>
    </row>
    <row r="16" spans="1:6" x14ac:dyDescent="0.25">
      <c r="A16" t="s">
        <v>178</v>
      </c>
      <c r="B16" s="57">
        <f>+'2022 Bto driftsutg eks avskriv'!N$17*1000/'2022 Nto driftsutg'!W$17</f>
        <v>780.11545969140707</v>
      </c>
      <c r="C16" s="57">
        <f>+'2022 Nto driftsutg eks avskriv'!N$17*1000/'2022 Nto driftsutg'!$W$17</f>
        <v>357.58294057254295</v>
      </c>
      <c r="D16" s="46">
        <f>+'2022 Lønnsgr arbavg tjeneste'!N$17*1000/(B16*'2022 Nto driftsutg'!$W$17)</f>
        <v>8.5040959640028668E-2</v>
      </c>
      <c r="E16" s="46">
        <f>+'2022 Arbavg tjeneste'!N$17/'2022 Lønnsgr arbavg tjeneste'!N$17</f>
        <v>0.11604736581814949</v>
      </c>
      <c r="F16" s="46"/>
    </row>
    <row r="17" spans="1:6" x14ac:dyDescent="0.25">
      <c r="A17" t="s">
        <v>38</v>
      </c>
      <c r="B17" s="57">
        <f>+'2022 Bto driftsutg eks avskriv'!O$17*1000/'2022 Nto driftsutg'!W$17</f>
        <v>14.404997354970352</v>
      </c>
      <c r="C17" s="57">
        <f>+'2022 Nto driftsutg eks avskriv'!O$17*1000/'2022 Nto driftsutg'!$W$17</f>
        <v>-0.77876308460224097</v>
      </c>
      <c r="D17" s="46">
        <f>+'2022 Lønnsgr arbavg tjeneste'!O$17*1000/(B17*'2022 Nto driftsutg'!$W$17)</f>
        <v>0.49917467466827042</v>
      </c>
      <c r="E17" s="46">
        <f>+'2022 Arbavg tjeneste'!O$17/'2022 Lønnsgr arbavg tjeneste'!O$17</f>
        <v>0.14034503088872369</v>
      </c>
      <c r="F17" s="46"/>
    </row>
    <row r="18" spans="1:6" x14ac:dyDescent="0.25">
      <c r="A18" t="s">
        <v>39</v>
      </c>
      <c r="B18" s="57">
        <f>+'2022 Bto driftsutg eks avskriv'!P$17*1000/'2022 Nto driftsutg'!W$17</f>
        <v>69.595061628269193</v>
      </c>
      <c r="C18" s="57">
        <f>+'2022 Nto driftsutg eks avskriv'!P$17*1000/'2022 Nto driftsutg'!$W$17</f>
        <v>-1.3894239365045427</v>
      </c>
      <c r="D18" s="46">
        <f>+'2022 Lønnsgr arbavg tjeneste'!P$17*1000/(B18*'2022 Nto driftsutg'!$W$17)</f>
        <v>0.16066074814869746</v>
      </c>
      <c r="E18" s="46">
        <f>+'2022 Arbavg tjeneste'!P$17/'2022 Lønnsgr arbavg tjeneste'!P$17</f>
        <v>8.5062890489771018E-2</v>
      </c>
      <c r="F18" s="46"/>
    </row>
    <row r="19" spans="1:6" x14ac:dyDescent="0.25">
      <c r="A19" s="9"/>
      <c r="B19" s="9"/>
      <c r="C19" s="57"/>
      <c r="D19" s="46"/>
      <c r="E19" s="8"/>
    </row>
    <row r="20" spans="1:6" x14ac:dyDescent="0.25">
      <c r="A20" s="9" t="s">
        <v>27</v>
      </c>
      <c r="B20" s="57"/>
      <c r="C20" s="57"/>
      <c r="D20" s="46"/>
      <c r="E20" s="46">
        <f>+'2022 Arbavg tjeneste'!R$17/'2022 Lønnsgr arbavg tjeneste'!R$17</f>
        <v>1.8216128377319309E-2</v>
      </c>
    </row>
    <row r="21" spans="1:6" x14ac:dyDescent="0.25">
      <c r="A21" s="9"/>
      <c r="B21" s="9"/>
      <c r="C21" s="57"/>
      <c r="D21" s="46"/>
      <c r="E21" s="8"/>
    </row>
    <row r="22" spans="1:6" x14ac:dyDescent="0.25">
      <c r="A22" s="9" t="s">
        <v>76</v>
      </c>
      <c r="B22" s="9"/>
      <c r="C22" s="57"/>
      <c r="D22" s="46">
        <f>+'2022 Lønnsgr arbavg tjeneste'!C$17/'2022 Bto driftsutg eks avskriv'!C17</f>
        <v>0.34197232743079242</v>
      </c>
      <c r="E22" s="46">
        <f>+'2022 Arbavg tjeneste'!C$17/'2022 Lønnsgr arbavg tjeneste'!C$17</f>
        <v>0.12792633198893438</v>
      </c>
    </row>
    <row r="23" spans="1:6" x14ac:dyDescent="0.25">
      <c r="A23" s="9"/>
      <c r="B23" s="9"/>
      <c r="C23" s="9"/>
      <c r="D23" s="46"/>
      <c r="E23" s="8"/>
    </row>
    <row r="24" spans="1:6" x14ac:dyDescent="0.25">
      <c r="A24" s="9"/>
      <c r="B24" s="8"/>
      <c r="C24" s="8"/>
      <c r="D24" s="46"/>
      <c r="E24" s="46"/>
    </row>
    <row r="25" spans="1:6" x14ac:dyDescent="0.25">
      <c r="A25" s="9"/>
      <c r="B25" s="9"/>
      <c r="C25" s="9"/>
      <c r="D25" s="8"/>
      <c r="E25" s="8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98736-E283-40AF-A174-611570979588}">
  <dimension ref="A2:H24"/>
  <sheetViews>
    <sheetView workbookViewId="0">
      <selection activeCell="G30" sqref="G30"/>
    </sheetView>
  </sheetViews>
  <sheetFormatPr baseColWidth="10" defaultRowHeight="15" x14ac:dyDescent="0.25"/>
  <cols>
    <col min="1" max="3" width="40.5703125" customWidth="1"/>
    <col min="4" max="5" width="21" customWidth="1"/>
    <col min="8" max="8" width="11.5703125" style="91"/>
  </cols>
  <sheetData>
    <row r="2" spans="1:7" x14ac:dyDescent="0.25">
      <c r="A2" s="24" t="s">
        <v>10</v>
      </c>
      <c r="B2" s="24" t="s">
        <v>115</v>
      </c>
      <c r="C2" s="24" t="s">
        <v>116</v>
      </c>
      <c r="D2" s="24" t="s">
        <v>73</v>
      </c>
      <c r="E2" s="24" t="s">
        <v>98</v>
      </c>
    </row>
    <row r="3" spans="1:7" x14ac:dyDescent="0.25">
      <c r="A3" s="6"/>
      <c r="B3" s="6"/>
      <c r="C3" s="6"/>
      <c r="D3" s="6"/>
      <c r="E3" s="6"/>
    </row>
    <row r="4" spans="1:7" x14ac:dyDescent="0.25">
      <c r="A4" s="107">
        <v>1</v>
      </c>
      <c r="B4" s="107">
        <f>+A4+1</f>
        <v>2</v>
      </c>
      <c r="C4" s="107">
        <f>+B4+1</f>
        <v>3</v>
      </c>
      <c r="D4" s="107">
        <f>+A4+1</f>
        <v>2</v>
      </c>
      <c r="E4" s="107">
        <f>+D4+1</f>
        <v>3</v>
      </c>
    </row>
    <row r="5" spans="1:7" x14ac:dyDescent="0.25">
      <c r="A5" s="9" t="s">
        <v>31</v>
      </c>
      <c r="B5" s="9"/>
      <c r="C5" s="9"/>
      <c r="D5" s="46"/>
      <c r="E5" s="5"/>
    </row>
    <row r="6" spans="1:7" x14ac:dyDescent="0.25">
      <c r="A6" t="s">
        <v>174</v>
      </c>
      <c r="B6" s="57">
        <f>+'2022 Bto driftsutg eks avskriv'!D$17*1000/'2022 Nto driftsutg'!W$17</f>
        <v>7648.412705727088</v>
      </c>
      <c r="C6" s="57">
        <f>+'2022 Nto driftsutg eks avskriv'!D$17*1000/'2022 Nto driftsutg'!$W$17</f>
        <v>6448.5421002088378</v>
      </c>
      <c r="D6" s="46">
        <f>+'2022 Lønnsgr pensjon tjeneste'!D$17*1000/(B6*'2022 Nto driftsutg'!$W$17)</f>
        <v>0.55434688725578085</v>
      </c>
      <c r="E6" s="46">
        <f>+'2022 Pensjon tjeneste'!D$17/'2022 Lønnsgr pensjon tjeneste'!D$17</f>
        <v>9.5976604241459387E-2</v>
      </c>
      <c r="G6" s="57"/>
    </row>
    <row r="7" spans="1:7" x14ac:dyDescent="0.25">
      <c r="A7" t="s">
        <v>175</v>
      </c>
      <c r="B7" s="57">
        <f>+'2022 Bto driftsutg eks avskriv'!E$17*1000/'2022 Nto driftsutg'!W$17</f>
        <v>1931.3289476837097</v>
      </c>
      <c r="C7" s="57">
        <f>+'2022 Nto driftsutg eks avskriv'!E$17*1000/'2022 Nto driftsutg'!$W$17</f>
        <v>1810.3596687353809</v>
      </c>
      <c r="D7" s="46">
        <f>+'2022 Lønnsgr pensjon tjeneste'!E$17*1000/(B7*'2022 Nto driftsutg'!$W$17)</f>
        <v>6.4570168623134555E-2</v>
      </c>
      <c r="E7" s="46">
        <f>+'2022 Pensjon tjeneste'!E$17/'2022 Lønnsgr pensjon tjeneste'!E$17</f>
        <v>0.27795112073488876</v>
      </c>
      <c r="G7" s="57"/>
    </row>
    <row r="8" spans="1:7" x14ac:dyDescent="0.25">
      <c r="A8" t="s">
        <v>278</v>
      </c>
      <c r="B8" s="57">
        <f>+'2022 Bto driftsutg eks avskriv'!F$17*1000/'2022 Nto driftsutg'!W$17</f>
        <v>3277.3740293109836</v>
      </c>
      <c r="C8" s="57">
        <f>+'2022 Nto driftsutg eks avskriv'!F$17*1000/'2022 Nto driftsutg'!$W$17</f>
        <v>2471.4532179965236</v>
      </c>
      <c r="D8" s="46">
        <f>+'2022 Lønnsgr pensjon tjeneste'!F$17*1000/(B8*'2022 Nto driftsutg'!$W$17)</f>
        <v>1.4579341046179499E-2</v>
      </c>
      <c r="E8" s="46">
        <f>+'2022 Pensjon tjeneste'!F$17/'2022 Lønnsgr pensjon tjeneste'!F$17</f>
        <v>0.18485900551633686</v>
      </c>
      <c r="G8" s="57"/>
    </row>
    <row r="9" spans="1:7" x14ac:dyDescent="0.25">
      <c r="A9" t="s">
        <v>279</v>
      </c>
      <c r="B9" s="57">
        <f>+'2022 Bto driftsutg eks avskriv'!G$17*1000/'2022 Nto driftsutg'!W$17</f>
        <v>1130.3778429460654</v>
      </c>
      <c r="C9" s="57">
        <f>+'2022 Nto driftsutg eks avskriv'!G$17*1000/'2022 Nto driftsutg'!$W$17</f>
        <v>931.13559325158008</v>
      </c>
      <c r="D9" s="46">
        <f>+'2022 Lønnsgr pensjon tjeneste'!G$17*1000/(B9*'2022 Nto driftsutg'!$W$17)</f>
        <v>5.3437323943087804E-3</v>
      </c>
      <c r="E9" s="46">
        <f>+'2022 Pensjon tjeneste'!G$17/'2022 Lønnsgr pensjon tjeneste'!G$17</f>
        <v>0.17307985719080896</v>
      </c>
      <c r="G9" s="57"/>
    </row>
    <row r="10" spans="1:7" x14ac:dyDescent="0.25">
      <c r="A10" t="s">
        <v>176</v>
      </c>
      <c r="B10" s="57">
        <f>+'2022 Bto driftsutg eks avskriv'!H$17*1000/'2022 Nto driftsutg'!W$17</f>
        <v>702.84114891977731</v>
      </c>
      <c r="C10" s="57">
        <f>+'2022 Nto driftsutg eks avskriv'!H$17*1000/'2022 Nto driftsutg'!$W$17</f>
        <v>531.80873947287421</v>
      </c>
      <c r="D10" s="46">
        <f>+'2022 Lønnsgr pensjon tjeneste'!H$17*1000/(B10*'2022 Nto driftsutg'!$W$17)</f>
        <v>0.52756980338585135</v>
      </c>
      <c r="E10" s="46">
        <f>+'2022 Pensjon tjeneste'!H$17/'2022 Lønnsgr pensjon tjeneste'!H$17</f>
        <v>0.19201333414194519</v>
      </c>
      <c r="G10" s="57"/>
    </row>
    <row r="11" spans="1:7" x14ac:dyDescent="0.25">
      <c r="A11" s="9"/>
      <c r="B11" s="57"/>
      <c r="C11" s="57"/>
      <c r="D11" s="8"/>
      <c r="E11" s="46"/>
      <c r="G11" s="57"/>
    </row>
    <row r="12" spans="1:7" x14ac:dyDescent="0.25">
      <c r="A12" s="9" t="s">
        <v>74</v>
      </c>
      <c r="B12" s="57"/>
      <c r="C12" s="57"/>
      <c r="D12" s="46"/>
      <c r="E12" s="46"/>
      <c r="G12" s="57"/>
    </row>
    <row r="13" spans="1:7" x14ac:dyDescent="0.25">
      <c r="A13" t="s">
        <v>4</v>
      </c>
      <c r="B13" s="57">
        <f>+'2022 Bto driftsutg eks avskriv'!K$17*1000/'2022 Nto driftsutg'!W$17</f>
        <v>932.66399644625983</v>
      </c>
      <c r="C13" s="57">
        <f>+'2022 Nto driftsutg eks avskriv'!K$17*1000/'2022 Nto driftsutg'!$W$17</f>
        <v>867.73450906590824</v>
      </c>
      <c r="D13" s="46">
        <f>+'2022 Lønnsgr pensjon tjeneste'!K$17*1000/(B13*'2022 Nto driftsutg'!$W$17)</f>
        <v>0.38089555754854687</v>
      </c>
      <c r="E13" s="46">
        <f>+'2022 Pensjon tjeneste'!K$17/'2022 Lønnsgr pensjon tjeneste'!K$17</f>
        <v>0.44417671432885353</v>
      </c>
      <c r="G13" s="57"/>
    </row>
    <row r="14" spans="1:7" x14ac:dyDescent="0.25">
      <c r="A14" t="s">
        <v>177</v>
      </c>
      <c r="B14" s="57">
        <f>+'2022 Bto driftsutg eks avskriv'!L$17*1000/'2022 Nto driftsutg'!W$17</f>
        <v>487.42901274959587</v>
      </c>
      <c r="C14" s="57">
        <f>+'2022 Nto driftsutg eks avskriv'!L$17*1000/'2022 Nto driftsutg'!$W$17</f>
        <v>229.49714945062641</v>
      </c>
      <c r="D14" s="46">
        <f>+'2022 Lønnsgr pensjon tjeneste'!L$17*1000/(B14*'2022 Nto driftsutg'!$W$17)</f>
        <v>0.21202911473683972</v>
      </c>
      <c r="E14" s="46">
        <f>+'2022 Pensjon tjeneste'!L$17/'2022 Lønnsgr pensjon tjeneste'!L$17</f>
        <v>0.1741065138568603</v>
      </c>
      <c r="G14" s="57"/>
    </row>
    <row r="15" spans="1:7" x14ac:dyDescent="0.25">
      <c r="A15" t="s">
        <v>37</v>
      </c>
      <c r="B15" s="57">
        <f>+'2022 Bto driftsutg eks avskriv'!M$17*1000/'2022 Nto driftsutg'!W$17</f>
        <v>598.28764282699296</v>
      </c>
      <c r="C15" s="57">
        <f>+'2022 Nto driftsutg eks avskriv'!M$17*1000/'2022 Nto driftsutg'!$W$17</f>
        <v>-33.860618918505438</v>
      </c>
      <c r="D15" s="46">
        <f>+'2022 Lønnsgr pensjon tjeneste'!M$17*1000/(B15*'2022 Nto driftsutg'!$W$17)</f>
        <v>6.4821410086411291E-2</v>
      </c>
      <c r="E15" s="46">
        <f>+'2022 Pensjon tjeneste'!M$17/'2022 Lønnsgr pensjon tjeneste'!M$17</f>
        <v>0.16631495898327964</v>
      </c>
      <c r="G15" s="57"/>
    </row>
    <row r="16" spans="1:7" x14ac:dyDescent="0.25">
      <c r="A16" t="s">
        <v>178</v>
      </c>
      <c r="B16" s="57">
        <f>+'2022 Bto driftsutg eks avskriv'!N$17*1000/'2022 Nto driftsutg'!W$17</f>
        <v>780.11545969140707</v>
      </c>
      <c r="C16" s="57">
        <f>+'2022 Nto driftsutg eks avskriv'!N$17*1000/'2022 Nto driftsutg'!$W$17</f>
        <v>357.58294057254295</v>
      </c>
      <c r="D16" s="46">
        <f>+'2022 Lønnsgr pensjon tjeneste'!N$17*1000/(B16*'2022 Nto driftsutg'!$W$17)</f>
        <v>7.3242277257222196E-2</v>
      </c>
      <c r="E16" s="46">
        <f>+'2022 Pensjon tjeneste'!N$17/'2022 Lønnsgr pensjon tjeneste'!N$17</f>
        <v>0.16109114605175717</v>
      </c>
      <c r="G16" s="57"/>
    </row>
    <row r="17" spans="1:7" x14ac:dyDescent="0.25">
      <c r="A17" t="s">
        <v>38</v>
      </c>
      <c r="B17" s="57">
        <f>+'2022 Bto driftsutg eks avskriv'!O$17*1000/'2022 Nto driftsutg'!W$17</f>
        <v>14.404997354970352</v>
      </c>
      <c r="C17" s="57">
        <f>+'2022 Nto driftsutg eks avskriv'!O$17*1000/'2022 Nto driftsutg'!$W$17</f>
        <v>-0.77876308460224097</v>
      </c>
      <c r="D17" s="46">
        <f>+'2022 Lønnsgr pensjon tjeneste'!O$17*1000/(B17*'2022 Nto driftsutg'!$W$17)</f>
        <v>0.4452022366956277</v>
      </c>
      <c r="E17" s="46">
        <f>+'2022 Pensjon tjeneste'!O$17/'2022 Lønnsgr pensjon tjeneste'!O$17</f>
        <v>0.12123128215445636</v>
      </c>
      <c r="G17" s="57"/>
    </row>
    <row r="18" spans="1:7" x14ac:dyDescent="0.25">
      <c r="A18" t="s">
        <v>39</v>
      </c>
      <c r="B18" s="57">
        <f>+'2022 Bto driftsutg eks avskriv'!P$17*1000/'2022 Nto driftsutg'!W$17</f>
        <v>69.595061628269193</v>
      </c>
      <c r="C18" s="57">
        <f>+'2022 Nto driftsutg eks avskriv'!P$17*1000/'2022 Nto driftsutg'!$W$17</f>
        <v>-1.3894239365045427</v>
      </c>
      <c r="D18" s="46">
        <f>+'2022 Lønnsgr pensjon tjeneste'!P$17*1000/(B18*'2022 Nto driftsutg'!$W$17)</f>
        <v>0.13342885595330162</v>
      </c>
      <c r="E18" s="46">
        <f>+'2022 Pensjon tjeneste'!P$17/'2022 Lønnsgr pensjon tjeneste'!P$17</f>
        <v>0.20409297524762302</v>
      </c>
      <c r="G18" s="57"/>
    </row>
    <row r="19" spans="1:7" x14ac:dyDescent="0.25">
      <c r="A19" s="9"/>
      <c r="B19" s="9"/>
      <c r="C19" s="9"/>
      <c r="D19" s="46"/>
      <c r="E19" s="8"/>
    </row>
    <row r="20" spans="1:7" x14ac:dyDescent="0.25">
      <c r="A20" s="9"/>
      <c r="B20" s="9"/>
      <c r="C20" s="9"/>
      <c r="D20" s="46"/>
      <c r="E20" s="8"/>
    </row>
    <row r="21" spans="1:7" x14ac:dyDescent="0.25">
      <c r="A21" s="9" t="s">
        <v>76</v>
      </c>
      <c r="B21" s="9"/>
      <c r="C21" s="9"/>
      <c r="D21" s="46">
        <f>+'2022 Lønnsgr pensjon tjeneste'!C$17/('2022 Bto driftsutg eks avskriv'!C17-'2022 Bto driftsutg eks avskriv'!J17)</f>
        <v>0.30694672463607331</v>
      </c>
      <c r="E21" s="46">
        <f>+'2022 Pensjon tjeneste'!C$17/'2022 Lønnsgr pensjon tjeneste'!C$17</f>
        <v>0.11410971345677881</v>
      </c>
      <c r="G21" s="5"/>
    </row>
    <row r="22" spans="1:7" x14ac:dyDescent="0.25">
      <c r="A22" s="9"/>
      <c r="B22" s="9"/>
      <c r="C22" s="9"/>
      <c r="D22" s="46"/>
      <c r="E22" s="8"/>
    </row>
    <row r="23" spans="1:7" x14ac:dyDescent="0.25">
      <c r="A23" s="9"/>
      <c r="B23" s="8"/>
      <c r="C23" s="8"/>
      <c r="D23" s="8"/>
      <c r="E23" s="8"/>
    </row>
    <row r="24" spans="1:7" x14ac:dyDescent="0.25">
      <c r="A24" s="9"/>
      <c r="B24" s="9"/>
      <c r="C24" s="9"/>
      <c r="D24" s="8"/>
      <c r="E24" s="8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EC601-D957-420B-8118-2A74AF032E07}">
  <sheetPr>
    <tabColor rgb="FF92D050"/>
  </sheetPr>
  <dimension ref="A1:R20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ColWidth="11.42578125" defaultRowHeight="15" x14ac:dyDescent="0.25"/>
  <cols>
    <col min="2" max="2" width="13.42578125" customWidth="1"/>
    <col min="6" max="6" width="13.140625" customWidth="1"/>
    <col min="7" max="7" width="12.85546875" customWidth="1"/>
    <col min="9" max="9" width="12.42578125" customWidth="1"/>
  </cols>
  <sheetData>
    <row r="1" spans="1:18" x14ac:dyDescent="0.25">
      <c r="C1" s="5"/>
    </row>
    <row r="2" spans="1:18" ht="90" x14ac:dyDescent="0.25">
      <c r="A2" s="24" t="s">
        <v>2</v>
      </c>
      <c r="B2" s="24" t="s">
        <v>1</v>
      </c>
      <c r="C2" s="24" t="s">
        <v>59</v>
      </c>
      <c r="D2" s="24" t="s">
        <v>194</v>
      </c>
      <c r="E2" s="24" t="s">
        <v>195</v>
      </c>
      <c r="F2" s="24" t="s">
        <v>292</v>
      </c>
      <c r="G2" s="24" t="s">
        <v>293</v>
      </c>
      <c r="H2" s="24" t="s">
        <v>196</v>
      </c>
      <c r="I2" s="13" t="s">
        <v>71</v>
      </c>
      <c r="J2" s="24" t="s">
        <v>61</v>
      </c>
      <c r="K2" s="24" t="s">
        <v>197</v>
      </c>
      <c r="L2" s="24" t="s">
        <v>198</v>
      </c>
      <c r="M2" s="24" t="s">
        <v>62</v>
      </c>
      <c r="N2" s="24" t="s">
        <v>199</v>
      </c>
      <c r="O2" s="24" t="s">
        <v>63</v>
      </c>
      <c r="P2" s="24" t="s">
        <v>64</v>
      </c>
      <c r="Q2" s="24" t="s">
        <v>200</v>
      </c>
      <c r="R2" s="24" t="s">
        <v>60</v>
      </c>
    </row>
    <row r="3" spans="1:18" x14ac:dyDescent="0.25">
      <c r="A3" s="107">
        <v>1</v>
      </c>
      <c r="B3" s="107">
        <v>2</v>
      </c>
      <c r="C3" s="107">
        <v>3</v>
      </c>
      <c r="D3" s="107">
        <v>5</v>
      </c>
      <c r="E3" s="107">
        <v>6</v>
      </c>
      <c r="F3" s="107">
        <v>7</v>
      </c>
      <c r="G3" s="107">
        <v>8</v>
      </c>
      <c r="H3" s="107">
        <v>9</v>
      </c>
      <c r="I3" s="12">
        <f t="shared" ref="I3:R3" si="0">+H3+1</f>
        <v>10</v>
      </c>
      <c r="J3" s="107">
        <f t="shared" si="0"/>
        <v>11</v>
      </c>
      <c r="K3" s="107">
        <f t="shared" si="0"/>
        <v>12</v>
      </c>
      <c r="L3" s="107">
        <f t="shared" si="0"/>
        <v>13</v>
      </c>
      <c r="M3" s="107">
        <f t="shared" si="0"/>
        <v>14</v>
      </c>
      <c r="N3" s="107">
        <f t="shared" si="0"/>
        <v>15</v>
      </c>
      <c r="O3" s="107">
        <f t="shared" si="0"/>
        <v>16</v>
      </c>
      <c r="P3" s="107">
        <f t="shared" si="0"/>
        <v>17</v>
      </c>
      <c r="Q3" s="107">
        <f t="shared" si="0"/>
        <v>18</v>
      </c>
      <c r="R3" s="107">
        <f t="shared" si="0"/>
        <v>19</v>
      </c>
    </row>
    <row r="4" spans="1:18" x14ac:dyDescent="0.25">
      <c r="I4" s="21"/>
    </row>
    <row r="5" spans="1:18" x14ac:dyDescent="0.25">
      <c r="A5" s="43">
        <v>300</v>
      </c>
      <c r="B5" s="44" t="s">
        <v>0</v>
      </c>
      <c r="C5" s="5">
        <f t="shared" ref="C5:C15" si="1">SUM(D5:I5)+R5</f>
        <v>2190711.5690996093</v>
      </c>
      <c r="D5" s="5">
        <v>2257435</v>
      </c>
      <c r="E5" s="5">
        <v>0</v>
      </c>
      <c r="F5" s="5">
        <v>27592</v>
      </c>
      <c r="G5" s="5">
        <v>0</v>
      </c>
      <c r="H5" s="5">
        <v>164636</v>
      </c>
      <c r="I5" s="11">
        <f t="shared" ref="I5:I15" si="2">SUM(J5:Q5)</f>
        <v>90441</v>
      </c>
      <c r="J5" s="5"/>
      <c r="K5" s="5">
        <v>85047</v>
      </c>
      <c r="L5" s="5">
        <v>0</v>
      </c>
      <c r="M5" s="5">
        <v>1129</v>
      </c>
      <c r="N5" s="5">
        <v>4265</v>
      </c>
      <c r="O5" s="5">
        <v>0</v>
      </c>
      <c r="P5" s="5">
        <v>0</v>
      </c>
      <c r="Q5" s="5"/>
      <c r="R5" s="113">
        <v>-349392.43090039078</v>
      </c>
    </row>
    <row r="6" spans="1:18" x14ac:dyDescent="0.25">
      <c r="A6" s="43">
        <v>1100</v>
      </c>
      <c r="B6" s="44" t="s">
        <v>141</v>
      </c>
      <c r="C6" s="5">
        <f t="shared" si="1"/>
        <v>2924297</v>
      </c>
      <c r="D6" s="5">
        <v>2377367</v>
      </c>
      <c r="E6" s="5">
        <v>70369</v>
      </c>
      <c r="F6" s="5">
        <v>4874</v>
      </c>
      <c r="G6" s="5">
        <v>141</v>
      </c>
      <c r="H6" s="5">
        <v>264857</v>
      </c>
      <c r="I6" s="11">
        <f t="shared" si="2"/>
        <v>224954</v>
      </c>
      <c r="J6" s="5"/>
      <c r="K6" s="5">
        <v>131082</v>
      </c>
      <c r="L6" s="5">
        <v>54546</v>
      </c>
      <c r="M6" s="5">
        <v>15058</v>
      </c>
      <c r="N6" s="5">
        <v>15404</v>
      </c>
      <c r="O6" s="5">
        <v>0</v>
      </c>
      <c r="P6" s="5">
        <v>8864</v>
      </c>
      <c r="Q6" s="5"/>
      <c r="R6" s="5">
        <v>-18265</v>
      </c>
    </row>
    <row r="7" spans="1:18" x14ac:dyDescent="0.25">
      <c r="A7" s="43">
        <v>1500</v>
      </c>
      <c r="B7" s="44" t="s">
        <v>142</v>
      </c>
      <c r="C7" s="5">
        <f t="shared" si="1"/>
        <v>1725131</v>
      </c>
      <c r="D7" s="5">
        <v>1300482</v>
      </c>
      <c r="E7" s="5">
        <v>53499</v>
      </c>
      <c r="F7" s="5">
        <v>19218</v>
      </c>
      <c r="G7" s="5">
        <v>14169</v>
      </c>
      <c r="H7" s="5">
        <v>123661</v>
      </c>
      <c r="I7" s="11">
        <f t="shared" si="2"/>
        <v>205535</v>
      </c>
      <c r="J7" s="5"/>
      <c r="K7" s="5">
        <v>129053</v>
      </c>
      <c r="L7" s="5">
        <v>43898</v>
      </c>
      <c r="M7" s="5">
        <v>15830</v>
      </c>
      <c r="N7" s="5">
        <v>16754</v>
      </c>
      <c r="O7" s="5">
        <v>0</v>
      </c>
      <c r="P7" s="5">
        <v>0</v>
      </c>
      <c r="Q7" s="5"/>
      <c r="R7" s="5">
        <v>8567</v>
      </c>
    </row>
    <row r="8" spans="1:18" x14ac:dyDescent="0.25">
      <c r="A8" s="43">
        <v>1800</v>
      </c>
      <c r="B8" s="44" t="s">
        <v>143</v>
      </c>
      <c r="C8" s="5">
        <f t="shared" si="1"/>
        <v>2010291</v>
      </c>
      <c r="D8" s="5">
        <v>1481141</v>
      </c>
      <c r="E8" s="5">
        <v>57324</v>
      </c>
      <c r="F8" s="5">
        <v>10788</v>
      </c>
      <c r="G8" s="5">
        <v>9821</v>
      </c>
      <c r="H8" s="5">
        <v>195383</v>
      </c>
      <c r="I8" s="11">
        <f t="shared" si="2"/>
        <v>290534</v>
      </c>
      <c r="J8" s="5"/>
      <c r="K8" s="5">
        <v>173560</v>
      </c>
      <c r="L8" s="5">
        <v>54150</v>
      </c>
      <c r="M8" s="5">
        <v>27438</v>
      </c>
      <c r="N8" s="5">
        <v>35393</v>
      </c>
      <c r="O8" s="5">
        <v>-7</v>
      </c>
      <c r="P8" s="5">
        <v>0</v>
      </c>
      <c r="Q8" s="5"/>
      <c r="R8" s="5">
        <v>-34700</v>
      </c>
    </row>
    <row r="9" spans="1:18" x14ac:dyDescent="0.25">
      <c r="A9" s="43">
        <v>3000</v>
      </c>
      <c r="B9" s="44" t="s">
        <v>391</v>
      </c>
      <c r="C9" s="5">
        <f t="shared" si="1"/>
        <v>7122728</v>
      </c>
      <c r="D9" s="5">
        <v>5804385</v>
      </c>
      <c r="E9" s="5">
        <v>138999</v>
      </c>
      <c r="F9" s="5">
        <v>47659</v>
      </c>
      <c r="G9" s="5">
        <v>0</v>
      </c>
      <c r="H9" s="5">
        <v>353771</v>
      </c>
      <c r="I9" s="11">
        <f t="shared" si="2"/>
        <v>921281</v>
      </c>
      <c r="J9" s="5"/>
      <c r="K9" s="5">
        <v>664983</v>
      </c>
      <c r="L9" s="5">
        <v>119321</v>
      </c>
      <c r="M9" s="5">
        <v>27725</v>
      </c>
      <c r="N9" s="5">
        <v>69355</v>
      </c>
      <c r="O9" s="5">
        <v>37377</v>
      </c>
      <c r="P9" s="5">
        <v>2520</v>
      </c>
      <c r="Q9" s="5"/>
      <c r="R9" s="5">
        <v>-143367</v>
      </c>
    </row>
    <row r="10" spans="1:18" x14ac:dyDescent="0.25">
      <c r="A10" s="43">
        <v>3400</v>
      </c>
      <c r="B10" s="44" t="s">
        <v>392</v>
      </c>
      <c r="C10" s="5">
        <f t="shared" si="1"/>
        <v>2624795</v>
      </c>
      <c r="D10" s="5">
        <v>1910497</v>
      </c>
      <c r="E10" s="5">
        <v>107773</v>
      </c>
      <c r="F10" s="5">
        <v>37717</v>
      </c>
      <c r="G10" s="5">
        <v>8122</v>
      </c>
      <c r="H10" s="5">
        <v>177304</v>
      </c>
      <c r="I10" s="11">
        <f t="shared" si="2"/>
        <v>323281</v>
      </c>
      <c r="J10" s="5"/>
      <c r="K10" s="5">
        <v>203383</v>
      </c>
      <c r="L10" s="5">
        <v>57028</v>
      </c>
      <c r="M10" s="5">
        <v>27182</v>
      </c>
      <c r="N10" s="5">
        <v>35688</v>
      </c>
      <c r="O10" s="5">
        <v>0</v>
      </c>
      <c r="P10" s="5">
        <v>0</v>
      </c>
      <c r="Q10" s="5"/>
      <c r="R10" s="5">
        <v>60101</v>
      </c>
    </row>
    <row r="11" spans="1:18" x14ac:dyDescent="0.25">
      <c r="A11" s="43">
        <v>3800</v>
      </c>
      <c r="B11" s="44" t="s">
        <v>393</v>
      </c>
      <c r="C11" s="5">
        <f t="shared" si="1"/>
        <v>2789797</v>
      </c>
      <c r="D11" s="5">
        <v>2100296</v>
      </c>
      <c r="E11" s="5">
        <v>162406</v>
      </c>
      <c r="F11" s="5">
        <v>28026</v>
      </c>
      <c r="G11" s="5">
        <v>0</v>
      </c>
      <c r="H11" s="5">
        <v>183472</v>
      </c>
      <c r="I11" s="11">
        <f t="shared" si="2"/>
        <v>353382</v>
      </c>
      <c r="J11" s="5"/>
      <c r="K11" s="5">
        <v>216346</v>
      </c>
      <c r="L11" s="5">
        <v>79104</v>
      </c>
      <c r="M11" s="5">
        <v>24956</v>
      </c>
      <c r="N11" s="5">
        <v>30570</v>
      </c>
      <c r="O11" s="5">
        <v>1641</v>
      </c>
      <c r="P11" s="5">
        <v>765</v>
      </c>
      <c r="Q11" s="5"/>
      <c r="R11" s="5">
        <v>-37785</v>
      </c>
    </row>
    <row r="12" spans="1:18" x14ac:dyDescent="0.25">
      <c r="A12" s="43">
        <v>4200</v>
      </c>
      <c r="B12" s="44" t="s">
        <v>394</v>
      </c>
      <c r="C12" s="5">
        <f t="shared" si="1"/>
        <v>2115918</v>
      </c>
      <c r="D12" s="5">
        <v>1580726</v>
      </c>
      <c r="E12" s="5">
        <v>64379</v>
      </c>
      <c r="F12" s="5">
        <v>1822</v>
      </c>
      <c r="G12" s="5">
        <v>640</v>
      </c>
      <c r="H12" s="5">
        <v>131803</v>
      </c>
      <c r="I12" s="11">
        <f t="shared" si="2"/>
        <v>337670</v>
      </c>
      <c r="J12" s="5"/>
      <c r="K12" s="5">
        <v>239755</v>
      </c>
      <c r="L12" s="5">
        <v>79670</v>
      </c>
      <c r="M12" s="5">
        <v>859</v>
      </c>
      <c r="N12" s="5">
        <v>16633</v>
      </c>
      <c r="O12" s="5">
        <v>0</v>
      </c>
      <c r="P12" s="5">
        <v>753</v>
      </c>
      <c r="Q12" s="5"/>
      <c r="R12" s="5">
        <v>-1122</v>
      </c>
    </row>
    <row r="13" spans="1:18" x14ac:dyDescent="0.25">
      <c r="A13" s="43">
        <v>4600</v>
      </c>
      <c r="B13" s="44" t="s">
        <v>395</v>
      </c>
      <c r="C13" s="5">
        <f t="shared" si="1"/>
        <v>3700094</v>
      </c>
      <c r="D13" s="5">
        <v>2646815</v>
      </c>
      <c r="E13" s="5">
        <v>72347</v>
      </c>
      <c r="F13" s="5">
        <v>74986</v>
      </c>
      <c r="G13" s="5">
        <v>0</v>
      </c>
      <c r="H13" s="5">
        <v>281372</v>
      </c>
      <c r="I13" s="11">
        <f t="shared" si="2"/>
        <v>581118</v>
      </c>
      <c r="J13" s="5"/>
      <c r="K13" s="5">
        <v>428498</v>
      </c>
      <c r="L13" s="5">
        <v>55124</v>
      </c>
      <c r="M13" s="5">
        <v>56376</v>
      </c>
      <c r="N13" s="5">
        <v>40097</v>
      </c>
      <c r="O13" s="5">
        <v>0</v>
      </c>
      <c r="P13" s="5">
        <v>1023</v>
      </c>
      <c r="Q13" s="5"/>
      <c r="R13" s="5">
        <v>43456</v>
      </c>
    </row>
    <row r="14" spans="1:18" x14ac:dyDescent="0.25">
      <c r="A14" s="43">
        <v>5000</v>
      </c>
      <c r="B14" s="44" t="s">
        <v>390</v>
      </c>
      <c r="C14" s="5">
        <f t="shared" si="1"/>
        <v>2970803</v>
      </c>
      <c r="D14" s="5">
        <v>2243641</v>
      </c>
      <c r="E14" s="5">
        <v>69270</v>
      </c>
      <c r="F14" s="5">
        <v>16959</v>
      </c>
      <c r="G14" s="5">
        <v>2864</v>
      </c>
      <c r="H14" s="5">
        <v>251081</v>
      </c>
      <c r="I14" s="11">
        <f t="shared" si="2"/>
        <v>419170</v>
      </c>
      <c r="J14" s="5"/>
      <c r="K14" s="5">
        <v>285008</v>
      </c>
      <c r="L14" s="5">
        <v>65043</v>
      </c>
      <c r="M14" s="5">
        <v>24395</v>
      </c>
      <c r="N14" s="5">
        <v>44724</v>
      </c>
      <c r="O14" s="5">
        <v>0</v>
      </c>
      <c r="P14" s="5">
        <v>0</v>
      </c>
      <c r="Q14" s="5"/>
      <c r="R14" s="5">
        <v>-32182</v>
      </c>
    </row>
    <row r="15" spans="1:18" x14ac:dyDescent="0.25">
      <c r="A15" s="43">
        <v>5400</v>
      </c>
      <c r="B15" s="44" t="s">
        <v>396</v>
      </c>
      <c r="C15" s="5">
        <f t="shared" si="1"/>
        <v>2220026</v>
      </c>
      <c r="D15" s="5">
        <v>1507373</v>
      </c>
      <c r="E15" s="5">
        <v>68251</v>
      </c>
      <c r="F15" s="5">
        <v>37510</v>
      </c>
      <c r="G15" s="5">
        <v>2686</v>
      </c>
      <c r="H15" s="5">
        <v>270607</v>
      </c>
      <c r="I15" s="11">
        <f t="shared" si="2"/>
        <v>399323</v>
      </c>
      <c r="J15" s="5"/>
      <c r="K15" s="5">
        <v>226667</v>
      </c>
      <c r="L15" s="5">
        <v>50434</v>
      </c>
      <c r="M15" s="5">
        <v>24447</v>
      </c>
      <c r="N15" s="5">
        <v>51039</v>
      </c>
      <c r="O15" s="5">
        <v>0</v>
      </c>
      <c r="P15" s="5">
        <v>46736</v>
      </c>
      <c r="Q15" s="5"/>
      <c r="R15" s="5">
        <v>-65724</v>
      </c>
    </row>
    <row r="16" spans="1:18" x14ac:dyDescent="0.25">
      <c r="B16" s="45"/>
      <c r="C16" s="5"/>
      <c r="D16" s="5"/>
      <c r="E16" s="5"/>
      <c r="F16" s="5"/>
      <c r="G16" s="5"/>
      <c r="H16" s="5"/>
      <c r="I16" s="11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25">
      <c r="B17" s="44" t="s">
        <v>3</v>
      </c>
      <c r="C17" s="5">
        <f t="shared" ref="C17:R17" si="3">SUM(C5:C16)</f>
        <v>32394591.569099609</v>
      </c>
      <c r="D17" s="5">
        <f t="shared" si="3"/>
        <v>25210158</v>
      </c>
      <c r="E17" s="5">
        <f t="shared" si="3"/>
        <v>864617</v>
      </c>
      <c r="F17" s="5">
        <f t="shared" si="3"/>
        <v>307151</v>
      </c>
      <c r="G17" s="5">
        <f t="shared" si="3"/>
        <v>38443</v>
      </c>
      <c r="H17" s="5">
        <f t="shared" si="3"/>
        <v>2397947</v>
      </c>
      <c r="I17" s="17">
        <f t="shared" si="3"/>
        <v>4146689</v>
      </c>
      <c r="J17" s="5">
        <f t="shared" si="3"/>
        <v>0</v>
      </c>
      <c r="K17" s="5">
        <f t="shared" si="3"/>
        <v>2783382</v>
      </c>
      <c r="L17" s="5">
        <f t="shared" si="3"/>
        <v>658318</v>
      </c>
      <c r="M17" s="5">
        <f t="shared" si="3"/>
        <v>245395</v>
      </c>
      <c r="N17" s="5">
        <f t="shared" si="3"/>
        <v>359922</v>
      </c>
      <c r="O17" s="5">
        <f t="shared" si="3"/>
        <v>39011</v>
      </c>
      <c r="P17" s="5">
        <f t="shared" si="3"/>
        <v>60661</v>
      </c>
      <c r="Q17" s="5">
        <f t="shared" si="3"/>
        <v>0</v>
      </c>
      <c r="R17" s="5">
        <f t="shared" si="3"/>
        <v>-570413.43090039073</v>
      </c>
    </row>
    <row r="18" spans="2:18" x14ac:dyDescent="0.25">
      <c r="B18" s="4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5269E-CF43-4B58-BCAF-BE4017831EC5}">
  <sheetPr>
    <tabColor rgb="FF92D050"/>
  </sheetPr>
  <dimension ref="A1:R20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ColWidth="11.42578125" defaultRowHeight="15" x14ac:dyDescent="0.25"/>
  <cols>
    <col min="2" max="2" width="13.42578125" customWidth="1"/>
  </cols>
  <sheetData>
    <row r="1" spans="1:18" x14ac:dyDescent="0.25">
      <c r="C1" s="5"/>
    </row>
    <row r="2" spans="1:18" ht="102.75" x14ac:dyDescent="0.25">
      <c r="A2" s="24" t="s">
        <v>2</v>
      </c>
      <c r="B2" s="24" t="s">
        <v>1</v>
      </c>
      <c r="C2" s="24" t="s">
        <v>65</v>
      </c>
      <c r="D2" s="24" t="s">
        <v>201</v>
      </c>
      <c r="E2" s="24" t="s">
        <v>202</v>
      </c>
      <c r="F2" s="24" t="s">
        <v>294</v>
      </c>
      <c r="G2" s="24" t="s">
        <v>295</v>
      </c>
      <c r="H2" s="24" t="s">
        <v>203</v>
      </c>
      <c r="I2" s="13" t="s">
        <v>72</v>
      </c>
      <c r="J2" s="24" t="s">
        <v>67</v>
      </c>
      <c r="K2" s="24" t="s">
        <v>204</v>
      </c>
      <c r="L2" s="24" t="s">
        <v>205</v>
      </c>
      <c r="M2" s="24" t="s">
        <v>68</v>
      </c>
      <c r="N2" s="24" t="s">
        <v>206</v>
      </c>
      <c r="O2" s="24" t="s">
        <v>69</v>
      </c>
      <c r="P2" s="24" t="s">
        <v>70</v>
      </c>
      <c r="Q2" s="24" t="s">
        <v>207</v>
      </c>
      <c r="R2" s="24" t="s">
        <v>66</v>
      </c>
    </row>
    <row r="3" spans="1:18" x14ac:dyDescent="0.25">
      <c r="A3" s="107">
        <v>1</v>
      </c>
      <c r="B3" s="107">
        <v>2</v>
      </c>
      <c r="C3" s="107">
        <f t="shared" ref="C3:H3" si="0">+B3+1</f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>H3+1</f>
        <v>9</v>
      </c>
      <c r="J3" s="107">
        <f t="shared" ref="J3:R3" si="1">+I3+1</f>
        <v>10</v>
      </c>
      <c r="K3" s="107">
        <f t="shared" si="1"/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</row>
    <row r="4" spans="1:18" x14ac:dyDescent="0.25">
      <c r="I4" s="21"/>
    </row>
    <row r="5" spans="1:18" x14ac:dyDescent="0.25">
      <c r="A5" s="43">
        <v>300</v>
      </c>
      <c r="B5" s="44" t="s">
        <v>0</v>
      </c>
      <c r="C5" s="5">
        <f t="shared" ref="C5:C15" si="2">SUM(D5:I5)+R5</f>
        <v>336474.2757145713</v>
      </c>
      <c r="D5" s="5">
        <v>322424</v>
      </c>
      <c r="E5" s="5">
        <v>0</v>
      </c>
      <c r="F5" s="5">
        <v>3869</v>
      </c>
      <c r="G5" s="5">
        <v>0</v>
      </c>
      <c r="H5" s="5">
        <v>22527</v>
      </c>
      <c r="I5" s="11">
        <f t="shared" ref="I5:I15" si="3">SUM(J5:Q5)</f>
        <v>15799</v>
      </c>
      <c r="J5" s="5"/>
      <c r="K5" s="5">
        <v>15066</v>
      </c>
      <c r="L5" s="5">
        <v>0</v>
      </c>
      <c r="M5" s="5">
        <v>155</v>
      </c>
      <c r="N5" s="5">
        <v>578</v>
      </c>
      <c r="O5" s="5">
        <v>0</v>
      </c>
      <c r="P5" s="5">
        <v>0</v>
      </c>
      <c r="Q5" s="5"/>
      <c r="R5" s="113">
        <v>-28144.724285428678</v>
      </c>
    </row>
    <row r="6" spans="1:18" x14ac:dyDescent="0.25">
      <c r="A6" s="43">
        <v>1100</v>
      </c>
      <c r="B6" s="44" t="s">
        <v>141</v>
      </c>
      <c r="C6" s="5">
        <f t="shared" si="2"/>
        <v>409146</v>
      </c>
      <c r="D6" s="5">
        <v>332652</v>
      </c>
      <c r="E6" s="5">
        <v>9919</v>
      </c>
      <c r="F6" s="5">
        <v>686</v>
      </c>
      <c r="G6" s="5">
        <v>20</v>
      </c>
      <c r="H6" s="5">
        <v>37168</v>
      </c>
      <c r="I6" s="11">
        <f t="shared" si="3"/>
        <v>31276</v>
      </c>
      <c r="J6" s="5"/>
      <c r="K6" s="5">
        <v>18483</v>
      </c>
      <c r="L6" s="5">
        <v>7697</v>
      </c>
      <c r="M6" s="5">
        <v>2130</v>
      </c>
      <c r="N6" s="5">
        <v>2189</v>
      </c>
      <c r="O6" s="5">
        <v>0</v>
      </c>
      <c r="P6" s="5">
        <v>777</v>
      </c>
      <c r="Q6" s="5"/>
      <c r="R6" s="5">
        <v>-2575</v>
      </c>
    </row>
    <row r="7" spans="1:18" x14ac:dyDescent="0.25">
      <c r="A7" s="43">
        <v>1500</v>
      </c>
      <c r="B7" s="44" t="s">
        <v>142</v>
      </c>
      <c r="C7" s="5">
        <f t="shared" si="2"/>
        <v>245466</v>
      </c>
      <c r="D7" s="5">
        <v>174759</v>
      </c>
      <c r="E7" s="5">
        <v>16858</v>
      </c>
      <c r="F7" s="5">
        <v>3192</v>
      </c>
      <c r="G7" s="5">
        <v>1952</v>
      </c>
      <c r="H7" s="5">
        <v>15694</v>
      </c>
      <c r="I7" s="11">
        <f t="shared" si="3"/>
        <v>29116</v>
      </c>
      <c r="J7" s="5"/>
      <c r="K7" s="5">
        <v>18618</v>
      </c>
      <c r="L7" s="5">
        <v>6030</v>
      </c>
      <c r="M7" s="5">
        <v>2175</v>
      </c>
      <c r="N7" s="5">
        <v>2293</v>
      </c>
      <c r="O7" s="5">
        <v>0</v>
      </c>
      <c r="P7" s="5">
        <v>0</v>
      </c>
      <c r="Q7" s="5"/>
      <c r="R7" s="5">
        <v>3895</v>
      </c>
    </row>
    <row r="8" spans="1:18" x14ac:dyDescent="0.25">
      <c r="A8" s="43">
        <v>1800</v>
      </c>
      <c r="B8" s="44" t="s">
        <v>143</v>
      </c>
      <c r="C8" s="5">
        <f t="shared" si="2"/>
        <v>124444</v>
      </c>
      <c r="D8" s="5">
        <v>83763</v>
      </c>
      <c r="E8" s="5">
        <v>5377</v>
      </c>
      <c r="F8" s="5">
        <v>813</v>
      </c>
      <c r="G8" s="5">
        <v>695</v>
      </c>
      <c r="H8" s="5">
        <v>10361</v>
      </c>
      <c r="I8" s="11">
        <f t="shared" si="3"/>
        <v>20754</v>
      </c>
      <c r="J8" s="5"/>
      <c r="K8" s="5">
        <v>12921</v>
      </c>
      <c r="L8" s="5">
        <v>3856</v>
      </c>
      <c r="M8" s="5">
        <v>1894</v>
      </c>
      <c r="N8" s="5">
        <v>2083</v>
      </c>
      <c r="O8" s="5">
        <v>0</v>
      </c>
      <c r="P8" s="5">
        <v>0</v>
      </c>
      <c r="Q8" s="5"/>
      <c r="R8" s="5">
        <v>2681</v>
      </c>
    </row>
    <row r="9" spans="1:18" x14ac:dyDescent="0.25">
      <c r="A9" s="43">
        <v>3000</v>
      </c>
      <c r="B9" s="44" t="s">
        <v>391</v>
      </c>
      <c r="C9" s="5">
        <f t="shared" si="2"/>
        <v>1020138</v>
      </c>
      <c r="D9" s="5">
        <v>812475</v>
      </c>
      <c r="E9" s="5">
        <v>37208</v>
      </c>
      <c r="F9" s="5">
        <v>6753</v>
      </c>
      <c r="G9" s="5">
        <v>0</v>
      </c>
      <c r="H9" s="5">
        <v>49665</v>
      </c>
      <c r="I9" s="11">
        <f t="shared" si="3"/>
        <v>127664</v>
      </c>
      <c r="J9" s="5"/>
      <c r="K9" s="5">
        <v>91517</v>
      </c>
      <c r="L9" s="5">
        <v>16897</v>
      </c>
      <c r="M9" s="5">
        <v>3767</v>
      </c>
      <c r="N9" s="5">
        <v>9829</v>
      </c>
      <c r="O9" s="5">
        <v>5300</v>
      </c>
      <c r="P9" s="5">
        <v>354</v>
      </c>
      <c r="Q9" s="5"/>
      <c r="R9" s="5">
        <v>-13627</v>
      </c>
    </row>
    <row r="10" spans="1:18" x14ac:dyDescent="0.25">
      <c r="A10" s="43">
        <v>3400</v>
      </c>
      <c r="B10" s="44" t="s">
        <v>392</v>
      </c>
      <c r="C10" s="5">
        <f t="shared" si="2"/>
        <v>332494</v>
      </c>
      <c r="D10" s="5">
        <v>237803</v>
      </c>
      <c r="E10" s="5">
        <v>13023</v>
      </c>
      <c r="F10" s="5">
        <v>5318</v>
      </c>
      <c r="G10" s="5">
        <v>1102</v>
      </c>
      <c r="H10" s="5">
        <v>21246</v>
      </c>
      <c r="I10" s="11">
        <f t="shared" si="3"/>
        <v>45527</v>
      </c>
      <c r="J10" s="5"/>
      <c r="K10" s="5">
        <v>28635</v>
      </c>
      <c r="L10" s="5">
        <v>8009</v>
      </c>
      <c r="M10" s="5">
        <v>3826</v>
      </c>
      <c r="N10" s="5">
        <v>5057</v>
      </c>
      <c r="O10" s="5">
        <v>0</v>
      </c>
      <c r="P10" s="5">
        <v>0</v>
      </c>
      <c r="Q10" s="5"/>
      <c r="R10" s="5">
        <v>8475</v>
      </c>
    </row>
    <row r="11" spans="1:18" x14ac:dyDescent="0.25">
      <c r="A11" s="43">
        <v>3800</v>
      </c>
      <c r="B11" s="44" t="s">
        <v>393</v>
      </c>
      <c r="C11" s="5">
        <f t="shared" si="2"/>
        <v>388092</v>
      </c>
      <c r="D11" s="5">
        <v>292105</v>
      </c>
      <c r="E11" s="5">
        <v>23046</v>
      </c>
      <c r="F11" s="5">
        <v>4070</v>
      </c>
      <c r="G11" s="5">
        <v>0</v>
      </c>
      <c r="H11" s="5">
        <v>25443</v>
      </c>
      <c r="I11" s="11">
        <f t="shared" si="3"/>
        <v>49469</v>
      </c>
      <c r="J11" s="5"/>
      <c r="K11" s="5">
        <v>30414</v>
      </c>
      <c r="L11" s="5">
        <v>10877</v>
      </c>
      <c r="M11" s="5">
        <v>3544</v>
      </c>
      <c r="N11" s="5">
        <v>4337</v>
      </c>
      <c r="O11" s="5">
        <v>175</v>
      </c>
      <c r="P11" s="5">
        <v>122</v>
      </c>
      <c r="Q11" s="5"/>
      <c r="R11" s="5">
        <v>-6041</v>
      </c>
    </row>
    <row r="12" spans="1:18" x14ac:dyDescent="0.25">
      <c r="A12" s="43">
        <v>4200</v>
      </c>
      <c r="B12" s="44" t="s">
        <v>394</v>
      </c>
      <c r="C12" s="5">
        <f t="shared" si="2"/>
        <v>299387</v>
      </c>
      <c r="D12" s="5">
        <v>221207</v>
      </c>
      <c r="E12" s="5">
        <v>12927</v>
      </c>
      <c r="F12" s="5">
        <v>244</v>
      </c>
      <c r="G12" s="5">
        <v>46</v>
      </c>
      <c r="H12" s="5">
        <v>16994</v>
      </c>
      <c r="I12" s="11">
        <f t="shared" si="3"/>
        <v>37577</v>
      </c>
      <c r="J12" s="5"/>
      <c r="K12" s="5">
        <v>24514</v>
      </c>
      <c r="L12" s="5">
        <v>10765</v>
      </c>
      <c r="M12" s="5">
        <v>85</v>
      </c>
      <c r="N12" s="5">
        <v>2095</v>
      </c>
      <c r="O12" s="5">
        <v>0</v>
      </c>
      <c r="P12" s="5">
        <v>118</v>
      </c>
      <c r="Q12" s="5"/>
      <c r="R12" s="5">
        <v>10392</v>
      </c>
    </row>
    <row r="13" spans="1:18" x14ac:dyDescent="0.25">
      <c r="A13" s="43">
        <v>4600</v>
      </c>
      <c r="B13" s="44" t="s">
        <v>395</v>
      </c>
      <c r="C13" s="5">
        <f t="shared" si="2"/>
        <v>504512</v>
      </c>
      <c r="D13" s="5">
        <v>358578</v>
      </c>
      <c r="E13" s="5">
        <v>30900</v>
      </c>
      <c r="F13" s="5">
        <v>10561</v>
      </c>
      <c r="G13" s="5">
        <v>0</v>
      </c>
      <c r="H13" s="5">
        <v>37515</v>
      </c>
      <c r="I13" s="11">
        <f t="shared" si="3"/>
        <v>60445</v>
      </c>
      <c r="J13" s="5"/>
      <c r="K13" s="5">
        <v>40148</v>
      </c>
      <c r="L13" s="5">
        <v>7393</v>
      </c>
      <c r="M13" s="5">
        <v>7552</v>
      </c>
      <c r="N13" s="5">
        <v>5208</v>
      </c>
      <c r="O13" s="5">
        <v>0</v>
      </c>
      <c r="P13" s="5">
        <v>144</v>
      </c>
      <c r="Q13" s="5"/>
      <c r="R13" s="5">
        <v>6513</v>
      </c>
    </row>
    <row r="14" spans="1:18" x14ac:dyDescent="0.25">
      <c r="A14" s="43">
        <v>5000</v>
      </c>
      <c r="B14" s="44" t="s">
        <v>390</v>
      </c>
      <c r="C14" s="5">
        <f t="shared" si="2"/>
        <v>390146</v>
      </c>
      <c r="D14" s="5">
        <v>287475</v>
      </c>
      <c r="E14" s="5">
        <v>20106</v>
      </c>
      <c r="F14" s="5">
        <v>2437</v>
      </c>
      <c r="G14" s="5">
        <v>342</v>
      </c>
      <c r="H14" s="5">
        <v>31527</v>
      </c>
      <c r="I14" s="11">
        <f t="shared" si="3"/>
        <v>38096</v>
      </c>
      <c r="J14" s="5"/>
      <c r="K14" s="5">
        <v>19704</v>
      </c>
      <c r="L14" s="5">
        <v>8976</v>
      </c>
      <c r="M14" s="5">
        <v>3008</v>
      </c>
      <c r="N14" s="5">
        <v>6408</v>
      </c>
      <c r="O14" s="5">
        <v>0</v>
      </c>
      <c r="P14" s="5">
        <v>0</v>
      </c>
      <c r="Q14" s="5"/>
      <c r="R14" s="5">
        <v>10163</v>
      </c>
    </row>
    <row r="15" spans="1:18" x14ac:dyDescent="0.25">
      <c r="A15" s="43">
        <v>5400</v>
      </c>
      <c r="B15" s="44" t="s">
        <v>396</v>
      </c>
      <c r="C15" s="5">
        <f t="shared" si="2"/>
        <v>93822</v>
      </c>
      <c r="D15" s="5">
        <v>59888</v>
      </c>
      <c r="E15" s="5">
        <v>2771</v>
      </c>
      <c r="F15" s="5">
        <v>2302</v>
      </c>
      <c r="G15" s="5">
        <v>69</v>
      </c>
      <c r="H15" s="5">
        <v>9752</v>
      </c>
      <c r="I15" s="11">
        <f t="shared" si="3"/>
        <v>21162</v>
      </c>
      <c r="J15" s="5"/>
      <c r="K15" s="5">
        <v>11963</v>
      </c>
      <c r="L15" s="5">
        <v>2630</v>
      </c>
      <c r="M15" s="5">
        <v>1233</v>
      </c>
      <c r="N15" s="5">
        <v>1691</v>
      </c>
      <c r="O15" s="5">
        <v>0</v>
      </c>
      <c r="P15" s="5">
        <v>3645</v>
      </c>
      <c r="Q15" s="5"/>
      <c r="R15" s="5">
        <v>-2122</v>
      </c>
    </row>
    <row r="16" spans="1:18" x14ac:dyDescent="0.25">
      <c r="B16" s="45"/>
      <c r="C16" s="5"/>
      <c r="D16" s="5"/>
      <c r="E16" s="5"/>
      <c r="F16" s="5"/>
      <c r="G16" s="5"/>
      <c r="H16" s="5"/>
      <c r="I16" s="11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25">
      <c r="B17" s="44" t="s">
        <v>3</v>
      </c>
      <c r="C17" s="5">
        <f t="shared" ref="C17:R17" si="4">SUM(C5:C16)</f>
        <v>4144121.2757145716</v>
      </c>
      <c r="D17" s="5">
        <f t="shared" si="4"/>
        <v>3183129</v>
      </c>
      <c r="E17" s="5">
        <f t="shared" si="4"/>
        <v>172135</v>
      </c>
      <c r="F17" s="5">
        <f t="shared" si="4"/>
        <v>40245</v>
      </c>
      <c r="G17" s="5">
        <f t="shared" si="4"/>
        <v>4226</v>
      </c>
      <c r="H17" s="5">
        <f t="shared" si="4"/>
        <v>277892</v>
      </c>
      <c r="I17" s="17">
        <f t="shared" si="4"/>
        <v>476885</v>
      </c>
      <c r="J17" s="5">
        <f t="shared" si="4"/>
        <v>0</v>
      </c>
      <c r="K17" s="5">
        <f t="shared" si="4"/>
        <v>311983</v>
      </c>
      <c r="L17" s="5">
        <f t="shared" si="4"/>
        <v>83130</v>
      </c>
      <c r="M17" s="5">
        <f t="shared" si="4"/>
        <v>29369</v>
      </c>
      <c r="N17" s="5">
        <f t="shared" si="4"/>
        <v>41768</v>
      </c>
      <c r="O17" s="5">
        <f t="shared" si="4"/>
        <v>5475</v>
      </c>
      <c r="P17" s="5">
        <f t="shared" si="4"/>
        <v>5160</v>
      </c>
      <c r="Q17" s="5">
        <f t="shared" si="4"/>
        <v>0</v>
      </c>
      <c r="R17" s="5">
        <f t="shared" si="4"/>
        <v>-10390.724285428674</v>
      </c>
    </row>
    <row r="18" spans="2:18" x14ac:dyDescent="0.25">
      <c r="B18" s="4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C8B48-C480-4DA7-A583-BB4EAFBB7A09}">
  <sheetPr>
    <tabColor rgb="FF92D050"/>
  </sheetPr>
  <dimension ref="A1:R20"/>
  <sheetViews>
    <sheetView workbookViewId="0">
      <pane xSplit="2" ySplit="4" topLeftCell="C5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ColWidth="11.42578125" defaultRowHeight="15" x14ac:dyDescent="0.25"/>
  <cols>
    <col min="2" max="2" width="13.42578125" customWidth="1"/>
    <col min="9" max="9" width="12.42578125" customWidth="1"/>
  </cols>
  <sheetData>
    <row r="1" spans="1:18" x14ac:dyDescent="0.25">
      <c r="C1" s="5"/>
    </row>
    <row r="2" spans="1:18" ht="90" x14ac:dyDescent="0.25">
      <c r="A2" s="24" t="s">
        <v>2</v>
      </c>
      <c r="B2" s="24" t="s">
        <v>1</v>
      </c>
      <c r="C2" s="24" t="s">
        <v>59</v>
      </c>
      <c r="D2" s="24" t="s">
        <v>194</v>
      </c>
      <c r="E2" s="24" t="s">
        <v>195</v>
      </c>
      <c r="F2" s="24" t="s">
        <v>292</v>
      </c>
      <c r="G2" s="24" t="s">
        <v>293</v>
      </c>
      <c r="H2" s="24" t="s">
        <v>196</v>
      </c>
      <c r="I2" s="13" t="s">
        <v>71</v>
      </c>
      <c r="J2" s="24" t="s">
        <v>61</v>
      </c>
      <c r="K2" s="24" t="s">
        <v>197</v>
      </c>
      <c r="L2" s="24" t="s">
        <v>198</v>
      </c>
      <c r="M2" s="24" t="s">
        <v>62</v>
      </c>
      <c r="N2" s="24" t="s">
        <v>199</v>
      </c>
      <c r="O2" s="24" t="s">
        <v>63</v>
      </c>
      <c r="P2" s="24" t="s">
        <v>64</v>
      </c>
      <c r="Q2" s="24" t="s">
        <v>200</v>
      </c>
      <c r="R2" s="24" t="s">
        <v>60</v>
      </c>
    </row>
    <row r="3" spans="1:18" x14ac:dyDescent="0.25">
      <c r="A3" s="107">
        <v>1</v>
      </c>
      <c r="B3" s="107">
        <v>2</v>
      </c>
      <c r="C3" s="107">
        <v>3</v>
      </c>
      <c r="D3" s="107">
        <f t="shared" ref="D3:R3" si="0">+C3+1</f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</row>
    <row r="4" spans="1:18" x14ac:dyDescent="0.25">
      <c r="I4" s="21"/>
    </row>
    <row r="5" spans="1:18" x14ac:dyDescent="0.25">
      <c r="A5" s="43">
        <v>300</v>
      </c>
      <c r="B5" s="44" t="s">
        <v>0</v>
      </c>
      <c r="C5" s="5">
        <f t="shared" ref="C5:C15" si="1">SUM(D5:I5)+R5</f>
        <v>2209104</v>
      </c>
      <c r="D5" s="5">
        <v>2009143</v>
      </c>
      <c r="E5" s="5">
        <v>0</v>
      </c>
      <c r="F5" s="5">
        <v>22041</v>
      </c>
      <c r="G5" s="5">
        <v>0</v>
      </c>
      <c r="H5" s="5">
        <v>119247</v>
      </c>
      <c r="I5" s="11">
        <f t="shared" ref="I5:I15" si="2">SUM(J5:Q5)</f>
        <v>58673</v>
      </c>
      <c r="J5" s="5"/>
      <c r="K5" s="5">
        <v>54618</v>
      </c>
      <c r="L5" s="5">
        <v>0</v>
      </c>
      <c r="M5" s="5">
        <v>850</v>
      </c>
      <c r="N5" s="5">
        <v>3205</v>
      </c>
      <c r="O5" s="5">
        <v>0</v>
      </c>
      <c r="P5" s="5">
        <v>0</v>
      </c>
      <c r="Q5" s="5"/>
      <c r="R5" s="5">
        <v>0</v>
      </c>
    </row>
    <row r="6" spans="1:18" x14ac:dyDescent="0.25">
      <c r="A6" s="43">
        <v>1100</v>
      </c>
      <c r="B6" s="44" t="s">
        <v>141</v>
      </c>
      <c r="C6" s="5">
        <f t="shared" si="1"/>
        <v>2638705</v>
      </c>
      <c r="D6" s="5">
        <v>2156906</v>
      </c>
      <c r="E6" s="5">
        <v>60678</v>
      </c>
      <c r="F6" s="5">
        <v>4192</v>
      </c>
      <c r="G6" s="5">
        <v>118</v>
      </c>
      <c r="H6" s="5">
        <v>222506</v>
      </c>
      <c r="I6" s="11">
        <f t="shared" si="2"/>
        <v>194305</v>
      </c>
      <c r="J6" s="5"/>
      <c r="K6" s="5">
        <v>113290</v>
      </c>
      <c r="L6" s="5">
        <v>46821</v>
      </c>
      <c r="M6" s="5">
        <v>12878</v>
      </c>
      <c r="N6" s="5">
        <v>13219</v>
      </c>
      <c r="O6" s="5">
        <v>0</v>
      </c>
      <c r="P6" s="5">
        <v>8097</v>
      </c>
      <c r="Q6" s="5"/>
      <c r="R6" s="5">
        <v>0</v>
      </c>
    </row>
    <row r="7" spans="1:18" x14ac:dyDescent="0.25">
      <c r="A7" s="43">
        <v>1500</v>
      </c>
      <c r="B7" s="44" t="s">
        <v>142</v>
      </c>
      <c r="C7" s="5">
        <f t="shared" si="1"/>
        <v>1520875</v>
      </c>
      <c r="D7" s="5">
        <v>1183329</v>
      </c>
      <c r="E7" s="5">
        <v>35965</v>
      </c>
      <c r="F7" s="5">
        <v>15274</v>
      </c>
      <c r="G7" s="5">
        <v>11843</v>
      </c>
      <c r="H7" s="5">
        <v>102291</v>
      </c>
      <c r="I7" s="11">
        <f t="shared" si="2"/>
        <v>172173</v>
      </c>
      <c r="J7" s="5"/>
      <c r="K7" s="5">
        <v>108204</v>
      </c>
      <c r="L7" s="5">
        <v>36856</v>
      </c>
      <c r="M7" s="5">
        <v>13226</v>
      </c>
      <c r="N7" s="5">
        <v>13887</v>
      </c>
      <c r="O7" s="5">
        <v>0</v>
      </c>
      <c r="P7" s="5">
        <v>0</v>
      </c>
      <c r="Q7" s="5"/>
      <c r="R7" s="5">
        <v>0</v>
      </c>
    </row>
    <row r="8" spans="1:18" x14ac:dyDescent="0.25">
      <c r="A8" s="43">
        <v>1800</v>
      </c>
      <c r="B8" s="44" t="s">
        <v>143</v>
      </c>
      <c r="C8" s="5">
        <f t="shared" si="1"/>
        <v>1780810</v>
      </c>
      <c r="D8" s="5">
        <v>1327463</v>
      </c>
      <c r="E8" s="5">
        <v>41845</v>
      </c>
      <c r="F8" s="5">
        <v>8699</v>
      </c>
      <c r="G8" s="5">
        <v>7982</v>
      </c>
      <c r="H8" s="5">
        <v>158234</v>
      </c>
      <c r="I8" s="11">
        <f t="shared" si="2"/>
        <v>236587</v>
      </c>
      <c r="J8" s="5"/>
      <c r="K8" s="5">
        <v>141243</v>
      </c>
      <c r="L8" s="5">
        <v>44013</v>
      </c>
      <c r="M8" s="5">
        <v>22432</v>
      </c>
      <c r="N8" s="5">
        <v>28906</v>
      </c>
      <c r="O8" s="5">
        <v>-7</v>
      </c>
      <c r="P8" s="5">
        <v>0</v>
      </c>
      <c r="Q8" s="5"/>
      <c r="R8" s="5">
        <v>0</v>
      </c>
    </row>
    <row r="9" spans="1:18" x14ac:dyDescent="0.25">
      <c r="A9" s="43">
        <v>3000</v>
      </c>
      <c r="B9" s="44" t="s">
        <v>391</v>
      </c>
      <c r="C9" s="5">
        <f t="shared" si="1"/>
        <v>6388745</v>
      </c>
      <c r="D9" s="5">
        <v>5291181</v>
      </c>
      <c r="E9" s="5">
        <v>111946</v>
      </c>
      <c r="F9" s="5">
        <v>40655</v>
      </c>
      <c r="G9" s="5">
        <v>0</v>
      </c>
      <c r="H9" s="5">
        <v>315308</v>
      </c>
      <c r="I9" s="11">
        <f t="shared" si="2"/>
        <v>629655</v>
      </c>
      <c r="J9" s="5"/>
      <c r="K9" s="5">
        <v>399888</v>
      </c>
      <c r="L9" s="5">
        <v>106952</v>
      </c>
      <c r="M9" s="5">
        <v>24882</v>
      </c>
      <c r="N9" s="5">
        <v>62278</v>
      </c>
      <c r="O9" s="5">
        <v>33380</v>
      </c>
      <c r="P9" s="5">
        <v>2275</v>
      </c>
      <c r="Q9" s="5"/>
      <c r="R9" s="5">
        <v>0</v>
      </c>
    </row>
    <row r="10" spans="1:18" x14ac:dyDescent="0.25">
      <c r="A10" s="43">
        <v>3400</v>
      </c>
      <c r="B10" s="44" t="s">
        <v>392</v>
      </c>
      <c r="C10" s="5">
        <f t="shared" si="1"/>
        <v>2256997</v>
      </c>
      <c r="D10" s="5">
        <v>1722780</v>
      </c>
      <c r="E10" s="5">
        <v>86359</v>
      </c>
      <c r="F10" s="5">
        <v>30270</v>
      </c>
      <c r="G10" s="5">
        <v>7498</v>
      </c>
      <c r="H10" s="5">
        <v>143381</v>
      </c>
      <c r="I10" s="11">
        <f t="shared" si="2"/>
        <v>266709</v>
      </c>
      <c r="J10" s="5"/>
      <c r="K10" s="5">
        <v>167381</v>
      </c>
      <c r="L10" s="5">
        <v>44928</v>
      </c>
      <c r="M10" s="5">
        <v>22273</v>
      </c>
      <c r="N10" s="5">
        <v>32127</v>
      </c>
      <c r="O10" s="5">
        <v>0</v>
      </c>
      <c r="P10" s="5">
        <v>0</v>
      </c>
      <c r="Q10" s="5"/>
      <c r="R10" s="5">
        <v>0</v>
      </c>
    </row>
    <row r="11" spans="1:18" x14ac:dyDescent="0.25">
      <c r="A11" s="43">
        <v>3800</v>
      </c>
      <c r="B11" s="44" t="s">
        <v>393</v>
      </c>
      <c r="C11" s="5">
        <f t="shared" si="1"/>
        <v>2488715</v>
      </c>
      <c r="D11" s="5">
        <v>1892141</v>
      </c>
      <c r="E11" s="5">
        <v>133508</v>
      </c>
      <c r="F11" s="5">
        <v>22956</v>
      </c>
      <c r="G11" s="5">
        <v>0</v>
      </c>
      <c r="H11" s="5">
        <v>148677</v>
      </c>
      <c r="I11" s="11">
        <f t="shared" si="2"/>
        <v>291433</v>
      </c>
      <c r="J11" s="5"/>
      <c r="K11" s="5">
        <v>179198</v>
      </c>
      <c r="L11" s="5">
        <v>64926</v>
      </c>
      <c r="M11" s="5">
        <v>20505</v>
      </c>
      <c r="N11" s="5">
        <v>24736</v>
      </c>
      <c r="O11" s="5">
        <v>1420</v>
      </c>
      <c r="P11" s="5">
        <v>648</v>
      </c>
      <c r="Q11" s="5"/>
      <c r="R11" s="5">
        <v>0</v>
      </c>
    </row>
    <row r="12" spans="1:18" x14ac:dyDescent="0.25">
      <c r="A12" s="43">
        <v>4200</v>
      </c>
      <c r="B12" s="44" t="s">
        <v>394</v>
      </c>
      <c r="C12" s="5">
        <f t="shared" si="1"/>
        <v>1869347</v>
      </c>
      <c r="D12" s="5">
        <v>1476235</v>
      </c>
      <c r="E12" s="5">
        <v>50513</v>
      </c>
      <c r="F12" s="5">
        <v>1547</v>
      </c>
      <c r="G12" s="5">
        <v>543</v>
      </c>
      <c r="H12" s="5">
        <v>110267</v>
      </c>
      <c r="I12" s="11">
        <f t="shared" si="2"/>
        <v>229855</v>
      </c>
      <c r="J12" s="5"/>
      <c r="K12" s="5">
        <v>146750</v>
      </c>
      <c r="L12" s="5">
        <v>67571</v>
      </c>
      <c r="M12" s="5">
        <v>729</v>
      </c>
      <c r="N12" s="5">
        <v>14098</v>
      </c>
      <c r="O12" s="5">
        <v>0</v>
      </c>
      <c r="P12" s="5">
        <v>707</v>
      </c>
      <c r="Q12" s="5"/>
      <c r="R12" s="5">
        <v>387</v>
      </c>
    </row>
    <row r="13" spans="1:18" x14ac:dyDescent="0.25">
      <c r="A13" s="43">
        <v>4600</v>
      </c>
      <c r="B13" s="44" t="s">
        <v>395</v>
      </c>
      <c r="C13" s="5">
        <f t="shared" si="1"/>
        <v>3320457</v>
      </c>
      <c r="D13" s="5">
        <v>2539653</v>
      </c>
      <c r="E13" s="5">
        <v>49174</v>
      </c>
      <c r="F13" s="5">
        <v>68022</v>
      </c>
      <c r="G13" s="5">
        <v>0</v>
      </c>
      <c r="H13" s="5">
        <v>251679</v>
      </c>
      <c r="I13" s="11">
        <f t="shared" si="2"/>
        <v>411929</v>
      </c>
      <c r="J13" s="5"/>
      <c r="K13" s="5">
        <v>274493</v>
      </c>
      <c r="L13" s="5">
        <v>49779</v>
      </c>
      <c r="M13" s="5">
        <v>50705</v>
      </c>
      <c r="N13" s="5">
        <v>36036</v>
      </c>
      <c r="O13" s="5">
        <v>0</v>
      </c>
      <c r="P13" s="5">
        <v>916</v>
      </c>
      <c r="Q13" s="5"/>
      <c r="R13" s="5">
        <v>0</v>
      </c>
    </row>
    <row r="14" spans="1:18" x14ac:dyDescent="0.25">
      <c r="A14" s="43">
        <v>5000</v>
      </c>
      <c r="B14" s="44" t="s">
        <v>390</v>
      </c>
      <c r="C14" s="5">
        <f t="shared" si="1"/>
        <v>2621221</v>
      </c>
      <c r="D14" s="5">
        <v>2055406</v>
      </c>
      <c r="E14" s="5">
        <v>53550</v>
      </c>
      <c r="F14" s="5">
        <v>14857</v>
      </c>
      <c r="G14" s="5">
        <v>2569</v>
      </c>
      <c r="H14" s="5">
        <v>220337</v>
      </c>
      <c r="I14" s="11">
        <f t="shared" si="2"/>
        <v>274502</v>
      </c>
      <c r="J14" s="5"/>
      <c r="K14" s="5">
        <v>155135</v>
      </c>
      <c r="L14" s="5">
        <v>57607</v>
      </c>
      <c r="M14" s="5">
        <v>21910</v>
      </c>
      <c r="N14" s="5">
        <v>39850</v>
      </c>
      <c r="O14" s="5">
        <v>0</v>
      </c>
      <c r="P14" s="5">
        <v>0</v>
      </c>
      <c r="Q14" s="5"/>
      <c r="R14" s="5">
        <v>0</v>
      </c>
    </row>
    <row r="15" spans="1:18" x14ac:dyDescent="0.25">
      <c r="A15" s="43">
        <v>5400</v>
      </c>
      <c r="B15" s="44" t="s">
        <v>396</v>
      </c>
      <c r="C15" s="5">
        <f t="shared" si="1"/>
        <v>1981686</v>
      </c>
      <c r="D15" s="5">
        <v>1348223</v>
      </c>
      <c r="E15" s="5">
        <v>53027</v>
      </c>
      <c r="F15" s="5">
        <v>30717</v>
      </c>
      <c r="G15" s="5">
        <v>2218</v>
      </c>
      <c r="H15" s="5">
        <v>219751</v>
      </c>
      <c r="I15" s="11">
        <f t="shared" si="2"/>
        <v>327750</v>
      </c>
      <c r="J15" s="5"/>
      <c r="K15" s="5">
        <v>187114</v>
      </c>
      <c r="L15" s="5">
        <v>41244</v>
      </c>
      <c r="M15" s="5">
        <v>20012</v>
      </c>
      <c r="N15" s="5">
        <v>41644</v>
      </c>
      <c r="O15" s="5">
        <v>0</v>
      </c>
      <c r="P15" s="5">
        <v>37736</v>
      </c>
      <c r="Q15" s="5"/>
      <c r="R15" s="5">
        <v>0</v>
      </c>
    </row>
    <row r="16" spans="1:18" x14ac:dyDescent="0.25">
      <c r="B16" s="45"/>
      <c r="C16" s="5"/>
      <c r="D16" s="5"/>
      <c r="E16" s="5"/>
      <c r="F16" s="5"/>
      <c r="G16" s="5"/>
      <c r="H16" s="5"/>
      <c r="I16" s="11"/>
      <c r="J16" s="5"/>
      <c r="K16" s="5"/>
      <c r="L16" s="5"/>
      <c r="M16" s="5"/>
      <c r="N16" s="5"/>
      <c r="O16" s="5"/>
      <c r="P16" s="5"/>
      <c r="Q16" s="5"/>
      <c r="R16" s="5"/>
    </row>
    <row r="17" spans="2:18" x14ac:dyDescent="0.25">
      <c r="B17" s="44" t="s">
        <v>3</v>
      </c>
      <c r="C17" s="5">
        <f t="shared" ref="C17:R17" si="3">SUM(C5:C16)</f>
        <v>29076662</v>
      </c>
      <c r="D17" s="5">
        <f t="shared" si="3"/>
        <v>23002460</v>
      </c>
      <c r="E17" s="5">
        <f t="shared" si="3"/>
        <v>676565</v>
      </c>
      <c r="F17" s="5">
        <f t="shared" si="3"/>
        <v>259230</v>
      </c>
      <c r="G17" s="5">
        <f t="shared" si="3"/>
        <v>32771</v>
      </c>
      <c r="H17" s="5">
        <f t="shared" si="3"/>
        <v>2011678</v>
      </c>
      <c r="I17" s="17">
        <f t="shared" si="3"/>
        <v>3093571</v>
      </c>
      <c r="J17" s="5">
        <f t="shared" si="3"/>
        <v>0</v>
      </c>
      <c r="K17" s="5">
        <f t="shared" si="3"/>
        <v>1927314</v>
      </c>
      <c r="L17" s="5">
        <f t="shared" si="3"/>
        <v>560697</v>
      </c>
      <c r="M17" s="5">
        <f t="shared" si="3"/>
        <v>210402</v>
      </c>
      <c r="N17" s="5">
        <f t="shared" si="3"/>
        <v>309986</v>
      </c>
      <c r="O17" s="5">
        <f t="shared" si="3"/>
        <v>34793</v>
      </c>
      <c r="P17" s="5">
        <f t="shared" si="3"/>
        <v>50379</v>
      </c>
      <c r="Q17" s="5">
        <f t="shared" si="3"/>
        <v>0</v>
      </c>
      <c r="R17" s="5">
        <f t="shared" si="3"/>
        <v>387</v>
      </c>
    </row>
    <row r="18" spans="2:18" x14ac:dyDescent="0.25">
      <c r="B18" s="45"/>
      <c r="C18" s="5">
        <f>+C17*1000/'2022 Nto driftsutg'!$V$17</f>
        <v>5359.4866246288202</v>
      </c>
      <c r="D18" s="5">
        <f>+D17*1000/'2022 Nto driftsutg'!$V$17</f>
        <v>4239.873775867376</v>
      </c>
      <c r="E18" s="5">
        <f>+E17*1000/'2022 Nto driftsutg'!$V$17</f>
        <v>124.70623581867815</v>
      </c>
      <c r="F18" s="5">
        <f>+F17*1000/'2022 Nto driftsutg'!$V$17</f>
        <v>47.781953709216317</v>
      </c>
      <c r="G18" s="5">
        <f>+G17*1000/'2022 Nto driftsutg'!$V$17</f>
        <v>6.0404366971597723</v>
      </c>
      <c r="H18" s="5">
        <f>+H17*1000/'2022 Nto driftsutg'!$V$17</f>
        <v>370.79776674709279</v>
      </c>
      <c r="I18" s="5">
        <f>+I17*1000/'2022 Nto driftsutg'!$V$17</f>
        <v>570.21512293397382</v>
      </c>
      <c r="J18" s="5"/>
      <c r="K18" s="5"/>
      <c r="L18" s="5"/>
      <c r="M18" s="5"/>
      <c r="N18" s="5"/>
      <c r="O18" s="5"/>
      <c r="P18" s="5"/>
      <c r="Q18" s="5"/>
      <c r="R18" s="5"/>
    </row>
    <row r="19" spans="2:18" x14ac:dyDescent="0.25">
      <c r="C19" s="5"/>
      <c r="D19" s="5">
        <f>SUM(D18:H18)</f>
        <v>4789.2001688395239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8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</sheetData>
  <sheetProtection sheet="1" objects="1" scenarios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AC15-F0F5-48C7-BB89-79F0FA991458}">
  <sheetPr>
    <tabColor rgb="FF92D050"/>
  </sheetPr>
  <dimension ref="A1:S20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ColWidth="11.42578125" defaultRowHeight="15" x14ac:dyDescent="0.25"/>
  <cols>
    <col min="2" max="2" width="13.42578125" customWidth="1"/>
  </cols>
  <sheetData>
    <row r="1" spans="1:18" x14ac:dyDescent="0.25">
      <c r="C1" s="5"/>
    </row>
    <row r="2" spans="1:18" ht="90" x14ac:dyDescent="0.25">
      <c r="A2" s="24" t="s">
        <v>2</v>
      </c>
      <c r="B2" s="24" t="s">
        <v>1</v>
      </c>
      <c r="C2" s="24" t="s">
        <v>92</v>
      </c>
      <c r="D2" s="24" t="s">
        <v>208</v>
      </c>
      <c r="E2" s="24" t="s">
        <v>209</v>
      </c>
      <c r="F2" s="24" t="s">
        <v>296</v>
      </c>
      <c r="G2" s="24" t="s">
        <v>297</v>
      </c>
      <c r="H2" s="24" t="s">
        <v>210</v>
      </c>
      <c r="I2" s="13" t="s">
        <v>93</v>
      </c>
      <c r="J2" s="24" t="s">
        <v>94</v>
      </c>
      <c r="K2" s="24" t="s">
        <v>211</v>
      </c>
      <c r="L2" s="24" t="s">
        <v>212</v>
      </c>
      <c r="M2" s="24" t="s">
        <v>95</v>
      </c>
      <c r="N2" s="24" t="s">
        <v>213</v>
      </c>
      <c r="O2" s="24" t="s">
        <v>96</v>
      </c>
      <c r="P2" s="24" t="s">
        <v>97</v>
      </c>
      <c r="Q2" s="24" t="s">
        <v>214</v>
      </c>
      <c r="R2" s="24" t="s">
        <v>106</v>
      </c>
    </row>
    <row r="3" spans="1:18" x14ac:dyDescent="0.25">
      <c r="A3" s="107">
        <v>1</v>
      </c>
      <c r="B3" s="107">
        <v>2</v>
      </c>
      <c r="C3" s="107">
        <v>3</v>
      </c>
      <c r="D3" s="107">
        <f t="shared" ref="D3:R3" si="0">+C3+1</f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</row>
    <row r="4" spans="1:18" x14ac:dyDescent="0.25">
      <c r="I4" s="21"/>
    </row>
    <row r="5" spans="1:18" x14ac:dyDescent="0.25">
      <c r="A5" s="43">
        <v>300</v>
      </c>
      <c r="B5" s="44" t="s">
        <v>0</v>
      </c>
      <c r="C5" s="5">
        <f t="shared" ref="C5:C15" si="1">SUM(D5:I5)+R5</f>
        <v>-18392.430900390784</v>
      </c>
      <c r="D5" s="5">
        <v>248292</v>
      </c>
      <c r="E5" s="5">
        <v>0</v>
      </c>
      <c r="F5" s="5">
        <v>5551</v>
      </c>
      <c r="G5" s="5">
        <v>0</v>
      </c>
      <c r="H5" s="5">
        <v>45389</v>
      </c>
      <c r="I5" s="11">
        <f t="shared" ref="I5:I15" si="2">SUM(J5:Q5)</f>
        <v>31768</v>
      </c>
      <c r="J5" s="5"/>
      <c r="K5" s="5">
        <v>30429</v>
      </c>
      <c r="L5" s="5">
        <v>0</v>
      </c>
      <c r="M5" s="5">
        <v>279</v>
      </c>
      <c r="N5" s="5">
        <v>1060</v>
      </c>
      <c r="O5" s="5">
        <v>0</v>
      </c>
      <c r="P5" s="5">
        <v>0</v>
      </c>
      <c r="Q5" s="5"/>
      <c r="R5" s="113">
        <v>-349392.43090039078</v>
      </c>
    </row>
    <row r="6" spans="1:18" x14ac:dyDescent="0.25">
      <c r="A6" s="43">
        <v>1100</v>
      </c>
      <c r="B6" s="44" t="s">
        <v>141</v>
      </c>
      <c r="C6" s="5">
        <f t="shared" si="1"/>
        <v>285592</v>
      </c>
      <c r="D6" s="5">
        <v>220461</v>
      </c>
      <c r="E6" s="5">
        <v>9691</v>
      </c>
      <c r="F6" s="5">
        <v>682</v>
      </c>
      <c r="G6" s="5">
        <v>23</v>
      </c>
      <c r="H6" s="5">
        <v>42351</v>
      </c>
      <c r="I6" s="11">
        <f t="shared" si="2"/>
        <v>30649</v>
      </c>
      <c r="J6" s="5"/>
      <c r="K6" s="5">
        <v>17792</v>
      </c>
      <c r="L6" s="5">
        <v>7725</v>
      </c>
      <c r="M6" s="5">
        <v>2180</v>
      </c>
      <c r="N6" s="5">
        <v>2185</v>
      </c>
      <c r="O6" s="5">
        <v>0</v>
      </c>
      <c r="P6" s="5">
        <v>767</v>
      </c>
      <c r="Q6" s="5"/>
      <c r="R6" s="5">
        <v>-18265</v>
      </c>
    </row>
    <row r="7" spans="1:18" x14ac:dyDescent="0.25">
      <c r="A7" s="43">
        <v>1500</v>
      </c>
      <c r="B7" s="44" t="s">
        <v>142</v>
      </c>
      <c r="C7" s="5">
        <f t="shared" si="1"/>
        <v>204256</v>
      </c>
      <c r="D7" s="5">
        <v>117153</v>
      </c>
      <c r="E7" s="5">
        <v>17534</v>
      </c>
      <c r="F7" s="5">
        <v>3944</v>
      </c>
      <c r="G7" s="5">
        <v>2326</v>
      </c>
      <c r="H7" s="5">
        <v>21370</v>
      </c>
      <c r="I7" s="11">
        <f t="shared" si="2"/>
        <v>33362</v>
      </c>
      <c r="J7" s="5"/>
      <c r="K7" s="5">
        <v>20849</v>
      </c>
      <c r="L7" s="5">
        <v>7042</v>
      </c>
      <c r="M7" s="5">
        <v>2604</v>
      </c>
      <c r="N7" s="5">
        <v>2867</v>
      </c>
      <c r="O7" s="5">
        <v>0</v>
      </c>
      <c r="P7" s="5">
        <v>0</v>
      </c>
      <c r="Q7" s="5"/>
      <c r="R7" s="5">
        <v>8567</v>
      </c>
    </row>
    <row r="8" spans="1:18" x14ac:dyDescent="0.25">
      <c r="A8" s="43">
        <v>1800</v>
      </c>
      <c r="B8" s="44" t="s">
        <v>143</v>
      </c>
      <c r="C8" s="5">
        <f t="shared" si="1"/>
        <v>229481</v>
      </c>
      <c r="D8" s="5">
        <v>153678</v>
      </c>
      <c r="E8" s="5">
        <v>15479</v>
      </c>
      <c r="F8" s="5">
        <v>2089</v>
      </c>
      <c r="G8" s="5">
        <v>1839</v>
      </c>
      <c r="H8" s="5">
        <v>37149</v>
      </c>
      <c r="I8" s="11">
        <f t="shared" si="2"/>
        <v>53947</v>
      </c>
      <c r="J8" s="5"/>
      <c r="K8" s="5">
        <v>32317</v>
      </c>
      <c r="L8" s="5">
        <v>10137</v>
      </c>
      <c r="M8" s="5">
        <v>5006</v>
      </c>
      <c r="N8" s="5">
        <v>6487</v>
      </c>
      <c r="O8" s="5">
        <v>0</v>
      </c>
      <c r="P8" s="5">
        <v>0</v>
      </c>
      <c r="Q8" s="5"/>
      <c r="R8" s="5">
        <v>-34700</v>
      </c>
    </row>
    <row r="9" spans="1:18" x14ac:dyDescent="0.25">
      <c r="A9" s="43">
        <v>3000</v>
      </c>
      <c r="B9" s="44" t="s">
        <v>391</v>
      </c>
      <c r="C9" s="5">
        <f t="shared" si="1"/>
        <v>733983</v>
      </c>
      <c r="D9" s="5">
        <v>513204</v>
      </c>
      <c r="E9" s="5">
        <v>27053</v>
      </c>
      <c r="F9" s="5">
        <v>7004</v>
      </c>
      <c r="G9" s="5">
        <v>0</v>
      </c>
      <c r="H9" s="5">
        <v>38463</v>
      </c>
      <c r="I9" s="11">
        <f t="shared" si="2"/>
        <v>291626</v>
      </c>
      <c r="J9" s="5"/>
      <c r="K9" s="5">
        <v>265095</v>
      </c>
      <c r="L9" s="5">
        <v>12369</v>
      </c>
      <c r="M9" s="5">
        <v>2843</v>
      </c>
      <c r="N9" s="5">
        <v>7077</v>
      </c>
      <c r="O9" s="5">
        <v>3997</v>
      </c>
      <c r="P9" s="5">
        <v>245</v>
      </c>
      <c r="Q9" s="5"/>
      <c r="R9" s="5">
        <v>-143367</v>
      </c>
    </row>
    <row r="10" spans="1:18" x14ac:dyDescent="0.25">
      <c r="A10" s="43">
        <v>3400</v>
      </c>
      <c r="B10" s="44" t="s">
        <v>392</v>
      </c>
      <c r="C10" s="5">
        <f t="shared" si="1"/>
        <v>367798</v>
      </c>
      <c r="D10" s="5">
        <v>187717</v>
      </c>
      <c r="E10" s="5">
        <v>21414</v>
      </c>
      <c r="F10" s="5">
        <v>7447</v>
      </c>
      <c r="G10" s="5">
        <v>624</v>
      </c>
      <c r="H10" s="5">
        <v>33923</v>
      </c>
      <c r="I10" s="11">
        <f t="shared" si="2"/>
        <v>56572</v>
      </c>
      <c r="J10" s="5"/>
      <c r="K10" s="5">
        <v>36002</v>
      </c>
      <c r="L10" s="5">
        <v>12100</v>
      </c>
      <c r="M10" s="5">
        <v>4909</v>
      </c>
      <c r="N10" s="5">
        <v>3561</v>
      </c>
      <c r="O10" s="5">
        <v>0</v>
      </c>
      <c r="P10" s="5">
        <v>0</v>
      </c>
      <c r="Q10" s="5"/>
      <c r="R10" s="5">
        <v>60101</v>
      </c>
    </row>
    <row r="11" spans="1:18" x14ac:dyDescent="0.25">
      <c r="A11" s="43">
        <v>3800</v>
      </c>
      <c r="B11" s="44" t="s">
        <v>393</v>
      </c>
      <c r="C11" s="5">
        <f t="shared" si="1"/>
        <v>301082</v>
      </c>
      <c r="D11" s="5">
        <v>208155</v>
      </c>
      <c r="E11" s="5">
        <v>28898</v>
      </c>
      <c r="F11" s="5">
        <v>5070</v>
      </c>
      <c r="G11" s="5">
        <v>0</v>
      </c>
      <c r="H11" s="5">
        <v>34795</v>
      </c>
      <c r="I11" s="11">
        <f t="shared" si="2"/>
        <v>61949</v>
      </c>
      <c r="J11" s="5"/>
      <c r="K11" s="5">
        <v>37148</v>
      </c>
      <c r="L11" s="5">
        <v>14178</v>
      </c>
      <c r="M11" s="5">
        <v>4451</v>
      </c>
      <c r="N11" s="5">
        <v>5834</v>
      </c>
      <c r="O11" s="5">
        <v>221</v>
      </c>
      <c r="P11" s="5">
        <v>117</v>
      </c>
      <c r="Q11" s="5"/>
      <c r="R11" s="5">
        <v>-37785</v>
      </c>
    </row>
    <row r="12" spans="1:18" x14ac:dyDescent="0.25">
      <c r="A12" s="43">
        <v>4200</v>
      </c>
      <c r="B12" s="44" t="s">
        <v>394</v>
      </c>
      <c r="C12" s="5">
        <f t="shared" si="1"/>
        <v>246571</v>
      </c>
      <c r="D12" s="5">
        <v>104491</v>
      </c>
      <c r="E12" s="5">
        <v>13866</v>
      </c>
      <c r="F12" s="5">
        <v>275</v>
      </c>
      <c r="G12" s="5">
        <v>97</v>
      </c>
      <c r="H12" s="5">
        <v>21536</v>
      </c>
      <c r="I12" s="11">
        <f t="shared" si="2"/>
        <v>107815</v>
      </c>
      <c r="J12" s="5"/>
      <c r="K12" s="5">
        <v>93005</v>
      </c>
      <c r="L12" s="5">
        <v>12099</v>
      </c>
      <c r="M12" s="5">
        <v>130</v>
      </c>
      <c r="N12" s="5">
        <v>2535</v>
      </c>
      <c r="O12" s="5">
        <v>0</v>
      </c>
      <c r="P12" s="5">
        <v>46</v>
      </c>
      <c r="Q12" s="5"/>
      <c r="R12" s="5">
        <v>-1509</v>
      </c>
    </row>
    <row r="13" spans="1:18" x14ac:dyDescent="0.25">
      <c r="A13" s="43">
        <v>4600</v>
      </c>
      <c r="B13" s="44" t="s">
        <v>395</v>
      </c>
      <c r="C13" s="5">
        <f t="shared" si="1"/>
        <v>379637</v>
      </c>
      <c r="D13" s="5">
        <v>107162</v>
      </c>
      <c r="E13" s="5">
        <v>23173</v>
      </c>
      <c r="F13" s="5">
        <v>6964</v>
      </c>
      <c r="G13" s="5">
        <v>0</v>
      </c>
      <c r="H13" s="5">
        <v>29693</v>
      </c>
      <c r="I13" s="11">
        <f t="shared" si="2"/>
        <v>169189</v>
      </c>
      <c r="J13" s="5"/>
      <c r="K13" s="5">
        <v>154005</v>
      </c>
      <c r="L13" s="5">
        <v>5345</v>
      </c>
      <c r="M13" s="5">
        <v>5671</v>
      </c>
      <c r="N13" s="5">
        <v>4061</v>
      </c>
      <c r="O13" s="5">
        <v>0</v>
      </c>
      <c r="P13" s="5">
        <v>107</v>
      </c>
      <c r="Q13" s="5"/>
      <c r="R13" s="5">
        <v>43456</v>
      </c>
    </row>
    <row r="14" spans="1:18" x14ac:dyDescent="0.25">
      <c r="A14" s="43">
        <v>5000</v>
      </c>
      <c r="B14" s="44" t="s">
        <v>390</v>
      </c>
      <c r="C14" s="5">
        <f t="shared" si="1"/>
        <v>349582</v>
      </c>
      <c r="D14" s="5">
        <v>188235</v>
      </c>
      <c r="E14" s="5">
        <v>15720</v>
      </c>
      <c r="F14" s="5">
        <v>2102</v>
      </c>
      <c r="G14" s="5">
        <v>295</v>
      </c>
      <c r="H14" s="5">
        <v>30744</v>
      </c>
      <c r="I14" s="11">
        <f t="shared" si="2"/>
        <v>144668</v>
      </c>
      <c r="J14" s="5"/>
      <c r="K14" s="5">
        <v>129873</v>
      </c>
      <c r="L14" s="5">
        <v>7436</v>
      </c>
      <c r="M14" s="5">
        <v>2485</v>
      </c>
      <c r="N14" s="5">
        <v>4874</v>
      </c>
      <c r="O14" s="5">
        <v>0</v>
      </c>
      <c r="P14" s="5">
        <v>0</v>
      </c>
      <c r="Q14" s="5"/>
      <c r="R14" s="5">
        <v>-32182</v>
      </c>
    </row>
    <row r="15" spans="1:18" x14ac:dyDescent="0.25">
      <c r="A15" s="43">
        <v>5400</v>
      </c>
      <c r="B15" s="44" t="s">
        <v>396</v>
      </c>
      <c r="C15" s="5">
        <f t="shared" si="1"/>
        <v>238340</v>
      </c>
      <c r="D15" s="5">
        <v>159150</v>
      </c>
      <c r="E15" s="5">
        <v>15224</v>
      </c>
      <c r="F15" s="5">
        <v>6793</v>
      </c>
      <c r="G15" s="5">
        <v>468</v>
      </c>
      <c r="H15" s="5">
        <v>50856</v>
      </c>
      <c r="I15" s="11">
        <f t="shared" si="2"/>
        <v>71573</v>
      </c>
      <c r="J15" s="5"/>
      <c r="K15" s="5">
        <v>39553</v>
      </c>
      <c r="L15" s="5">
        <v>9190</v>
      </c>
      <c r="M15" s="5">
        <v>4435</v>
      </c>
      <c r="N15" s="5">
        <v>9395</v>
      </c>
      <c r="O15" s="5">
        <v>0</v>
      </c>
      <c r="P15" s="5">
        <v>9000</v>
      </c>
      <c r="Q15" s="5"/>
      <c r="R15" s="5">
        <v>-65724</v>
      </c>
    </row>
    <row r="16" spans="1:18" x14ac:dyDescent="0.25">
      <c r="B16" s="45"/>
      <c r="C16" s="5"/>
      <c r="D16" s="5"/>
      <c r="E16" s="5"/>
      <c r="F16" s="5"/>
      <c r="G16" s="5"/>
      <c r="H16" s="5"/>
      <c r="I16" s="11"/>
      <c r="J16" s="5"/>
      <c r="K16" s="5"/>
      <c r="L16" s="5"/>
      <c r="M16" s="5"/>
      <c r="N16" s="5"/>
      <c r="O16" s="5"/>
      <c r="P16" s="5"/>
      <c r="Q16" s="5"/>
    </row>
    <row r="17" spans="2:19" x14ac:dyDescent="0.25">
      <c r="B17" s="44" t="s">
        <v>3</v>
      </c>
      <c r="C17" s="5">
        <f t="shared" ref="C17:R17" si="3">SUM(C5:C16)</f>
        <v>3317929.5690996093</v>
      </c>
      <c r="D17" s="5">
        <f t="shared" si="3"/>
        <v>2207698</v>
      </c>
      <c r="E17" s="5">
        <f t="shared" si="3"/>
        <v>188052</v>
      </c>
      <c r="F17" s="5">
        <f t="shared" si="3"/>
        <v>47921</v>
      </c>
      <c r="G17" s="5">
        <f t="shared" si="3"/>
        <v>5672</v>
      </c>
      <c r="H17" s="5">
        <f t="shared" si="3"/>
        <v>386269</v>
      </c>
      <c r="I17" s="17">
        <f t="shared" si="3"/>
        <v>1053118</v>
      </c>
      <c r="J17" s="5">
        <f t="shared" si="3"/>
        <v>0</v>
      </c>
      <c r="K17" s="5">
        <f t="shared" si="3"/>
        <v>856068</v>
      </c>
      <c r="L17" s="5">
        <f t="shared" si="3"/>
        <v>97621</v>
      </c>
      <c r="M17" s="5">
        <f t="shared" si="3"/>
        <v>34993</v>
      </c>
      <c r="N17" s="5">
        <f t="shared" si="3"/>
        <v>49936</v>
      </c>
      <c r="O17" s="5">
        <f t="shared" si="3"/>
        <v>4218</v>
      </c>
      <c r="P17" s="5">
        <f t="shared" si="3"/>
        <v>10282</v>
      </c>
      <c r="Q17" s="5">
        <f t="shared" si="3"/>
        <v>0</v>
      </c>
      <c r="R17" s="5">
        <f t="shared" si="3"/>
        <v>-570800.43090039073</v>
      </c>
      <c r="S17" s="60"/>
    </row>
    <row r="18" spans="2:19" x14ac:dyDescent="0.25">
      <c r="B18" s="4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2:19" x14ac:dyDescent="0.25"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2:19" x14ac:dyDescent="0.2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</sheetData>
  <sheetProtection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E8219-30F1-4585-969D-ECFAAAA24439}">
  <dimension ref="A2:AE17"/>
  <sheetViews>
    <sheetView workbookViewId="0">
      <pane xSplit="2" ySplit="3" topLeftCell="F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5" x14ac:dyDescent="0.25"/>
  <cols>
    <col min="1" max="1" width="6.140625" customWidth="1"/>
    <col min="2" max="2" width="17.85546875" bestFit="1" customWidth="1"/>
    <col min="3" max="3" width="12" customWidth="1"/>
    <col min="4" max="9" width="17.85546875" customWidth="1"/>
    <col min="10" max="10" width="14.42578125" customWidth="1"/>
    <col min="11" max="11" width="14.140625" customWidth="1"/>
    <col min="12" max="12" width="15.42578125" customWidth="1"/>
    <col min="13" max="13" width="14.42578125" customWidth="1"/>
    <col min="14" max="14" width="12.42578125" customWidth="1"/>
    <col min="15" max="15" width="15.42578125" customWidth="1"/>
    <col min="16" max="16" width="14.42578125" customWidth="1"/>
    <col min="17" max="17" width="13.42578125" customWidth="1"/>
    <col min="18" max="21" width="15.42578125" customWidth="1"/>
    <col min="22" max="22" width="14.42578125" customWidth="1"/>
    <col min="23" max="23" width="13.42578125" customWidth="1"/>
    <col min="24" max="24" width="15.42578125" customWidth="1"/>
    <col min="26" max="30" width="13.5703125" customWidth="1"/>
  </cols>
  <sheetData>
    <row r="2" spans="1:30" ht="39" x14ac:dyDescent="0.25">
      <c r="A2" s="24" t="s">
        <v>2</v>
      </c>
      <c r="B2" s="24" t="s">
        <v>1</v>
      </c>
      <c r="C2" s="24" t="s">
        <v>398</v>
      </c>
      <c r="D2" s="24" t="s">
        <v>215</v>
      </c>
      <c r="E2" s="24" t="s">
        <v>216</v>
      </c>
      <c r="F2" s="24" t="s">
        <v>300</v>
      </c>
      <c r="G2" s="24" t="s">
        <v>301</v>
      </c>
      <c r="H2" s="24" t="s">
        <v>217</v>
      </c>
      <c r="I2" s="24" t="s">
        <v>132</v>
      </c>
      <c r="J2" s="24" t="s">
        <v>218</v>
      </c>
      <c r="K2" s="24" t="s">
        <v>219</v>
      </c>
      <c r="L2" s="24" t="s">
        <v>220</v>
      </c>
      <c r="M2" s="24" t="s">
        <v>221</v>
      </c>
      <c r="N2" s="24" t="s">
        <v>222</v>
      </c>
      <c r="O2" s="24" t="s">
        <v>223</v>
      </c>
      <c r="P2" s="24" t="s">
        <v>302</v>
      </c>
      <c r="Q2" s="24" t="s">
        <v>303</v>
      </c>
      <c r="R2" s="24" t="s">
        <v>304</v>
      </c>
      <c r="S2" s="24" t="s">
        <v>318</v>
      </c>
      <c r="T2" s="24" t="s">
        <v>319</v>
      </c>
      <c r="U2" s="24" t="s">
        <v>320</v>
      </c>
      <c r="V2" s="24" t="s">
        <v>224</v>
      </c>
      <c r="W2" s="24" t="s">
        <v>225</v>
      </c>
      <c r="X2" s="24" t="s">
        <v>226</v>
      </c>
      <c r="Y2" s="24"/>
      <c r="Z2" s="24" t="s">
        <v>227</v>
      </c>
      <c r="AA2" s="24" t="s">
        <v>228</v>
      </c>
      <c r="AB2" s="24" t="s">
        <v>305</v>
      </c>
      <c r="AC2" s="24" t="s">
        <v>306</v>
      </c>
      <c r="AD2" s="24" t="s">
        <v>229</v>
      </c>
    </row>
    <row r="3" spans="1:30" x14ac:dyDescent="0.25">
      <c r="A3" s="107">
        <v>1</v>
      </c>
      <c r="B3" s="107">
        <f t="shared" ref="B3:AD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7">
        <f t="shared" si="0"/>
        <v>26</v>
      </c>
      <c r="AA3" s="107">
        <f t="shared" si="0"/>
        <v>27</v>
      </c>
      <c r="AB3" s="107">
        <f t="shared" si="0"/>
        <v>28</v>
      </c>
      <c r="AC3" s="107">
        <f t="shared" si="0"/>
        <v>29</v>
      </c>
      <c r="AD3" s="107">
        <f t="shared" si="0"/>
        <v>30</v>
      </c>
    </row>
    <row r="5" spans="1:30" x14ac:dyDescent="0.25">
      <c r="A5" s="43">
        <v>300</v>
      </c>
      <c r="B5" s="44" t="s">
        <v>0</v>
      </c>
      <c r="C5" s="44">
        <f>+'2022 Nto driftsutg'!W5</f>
        <v>699827</v>
      </c>
      <c r="D5" s="3">
        <f>+'2022 Grunnlag korreksjoner'!D5</f>
        <v>0.71024135999999993</v>
      </c>
      <c r="E5" s="3">
        <f>+'2022 Grunnlag korreksjoner'!E5</f>
        <v>0.27176674000000001</v>
      </c>
      <c r="F5" s="3">
        <f>+'2022 Grunnlag korreksjoner'!F5</f>
        <v>1.7543052799999999</v>
      </c>
      <c r="G5" s="3">
        <f>+'2022 Grunnlag korreksjoner'!G5</f>
        <v>1.1954999999999999E-3</v>
      </c>
      <c r="H5" s="3">
        <f>+'2022 Grunnlag korreksjoner'!H5</f>
        <v>0.87472398000000007</v>
      </c>
      <c r="I5" s="2">
        <v>0.749</v>
      </c>
      <c r="J5" s="5">
        <f>(D5-1)*'2022 Nto driftsutg landet'!$C$5*C5</f>
        <v>-1307641298.1609933</v>
      </c>
      <c r="K5" s="5">
        <f t="shared" ref="K5:K15" si="1">+J5-$J$17*C5/$C$17</f>
        <v>-1307719995.3749275</v>
      </c>
      <c r="L5" s="5">
        <f t="shared" ref="L5:L15" si="2">+K5/C5</f>
        <v>-1868.6332413223947</v>
      </c>
      <c r="M5" s="5">
        <f>(E5-1)*'2022 Nto driftsutg landet'!$C$6*$C5</f>
        <v>-922626809.34164333</v>
      </c>
      <c r="N5" s="5">
        <f t="shared" ref="N5:N15" si="3">+M5-$M$17*$C5/$C$17</f>
        <v>-923822141.97554815</v>
      </c>
      <c r="O5" s="5">
        <f t="shared" ref="O5:O15" si="4">+N5/$C5</f>
        <v>-1320.0721635140515</v>
      </c>
      <c r="P5" s="5">
        <f>(F5-1)*'2022 Nto driftsutg landet'!$C$7*$C5</f>
        <v>1304638636.2988296</v>
      </c>
      <c r="Q5" s="5">
        <f t="shared" ref="Q5:Q15" si="5">+P5-$P$17*$C5/$C$17</f>
        <v>1304124868.7804043</v>
      </c>
      <c r="R5" s="5">
        <f t="shared" ref="R5:R15" si="6">+Q5/$C5</f>
        <v>1863.4960765737881</v>
      </c>
      <c r="S5" s="5">
        <f>(G5-1)*'2022 Nto driftsutg landet'!$C$8*$C5</f>
        <v>-650854800.57612109</v>
      </c>
      <c r="T5" s="5">
        <f t="shared" ref="T5:T15" si="7">+S5-$S$17*$C5/$C$17</f>
        <v>-652322956.85617518</v>
      </c>
      <c r="U5" s="5">
        <f t="shared" ref="U5:U15" si="8">+T5/$C5</f>
        <v>-932.12030524140278</v>
      </c>
      <c r="V5" s="5">
        <f>(H5-1)*'2022 Nto driftsutg landet'!$C$9*$C5</f>
        <v>-46624491.839030124</v>
      </c>
      <c r="W5" s="5">
        <f t="shared" ref="W5:W15" si="9">+V5-$V$17*$C5/$C$17</f>
        <v>-46610900.161620893</v>
      </c>
      <c r="X5" s="5">
        <f t="shared" ref="X5:X15" si="10">+W5/$C5</f>
        <v>-66.603460800484825</v>
      </c>
      <c r="Z5" s="2">
        <f>1+L5/'2022 Nto driftsutg landet'!$C$5</f>
        <v>0.71022392158037106</v>
      </c>
      <c r="AA5" s="2">
        <f>1+O5/'2022 Nto driftsutg landet'!$C$6</f>
        <v>0.270823258874198</v>
      </c>
      <c r="AB5" s="2">
        <f>1+R5/'2022 Nto driftsutg landet'!$C$7</f>
        <v>1.7540082341046399</v>
      </c>
      <c r="AC5" s="2">
        <f>1+U5/'2022 Nto driftsutg landet'!$C$8</f>
        <v>-1.0575387698197325E-3</v>
      </c>
      <c r="AD5" s="2">
        <f>1+X5/'2022 Nto driftsutg landet'!$C$9</f>
        <v>0.87476049967418401</v>
      </c>
    </row>
    <row r="6" spans="1:30" x14ac:dyDescent="0.25">
      <c r="A6" s="43">
        <v>1100</v>
      </c>
      <c r="B6" s="44" t="s">
        <v>141</v>
      </c>
      <c r="C6" s="44">
        <f>+'2022 Nto driftsutg'!W6</f>
        <v>485797</v>
      </c>
      <c r="D6" s="3">
        <f>+'2022 Grunnlag korreksjoner'!D6</f>
        <v>1.07050008</v>
      </c>
      <c r="E6" s="3">
        <f>+'2022 Grunnlag korreksjoner'!E6</f>
        <v>0.80741668</v>
      </c>
      <c r="F6" s="3">
        <f>+'2022 Grunnlag korreksjoner'!F6</f>
        <v>1.0211484799999999</v>
      </c>
      <c r="G6" s="3">
        <f>+'2022 Grunnlag korreksjoner'!G6</f>
        <v>0.74883710000000003</v>
      </c>
      <c r="H6" s="3">
        <f>+'2022 Grunnlag korreksjoner'!H6</f>
        <v>1.0760788699999999</v>
      </c>
      <c r="I6" s="2">
        <v>0.98709999999999998</v>
      </c>
      <c r="J6" s="5">
        <f>(D6-1)*'2022 Nto driftsutg landet'!$C$5*C6</f>
        <v>220854360.28378069</v>
      </c>
      <c r="K6" s="5">
        <f t="shared" si="1"/>
        <v>220799731.25340956</v>
      </c>
      <c r="L6" s="5">
        <f t="shared" si="2"/>
        <v>454.51028156495317</v>
      </c>
      <c r="M6" s="5">
        <f>(E6-1)*'2022 Nto driftsutg landet'!$C$6*$C6</f>
        <v>-169370731.69368565</v>
      </c>
      <c r="N6" s="5">
        <f t="shared" si="3"/>
        <v>-170200492.48821494</v>
      </c>
      <c r="O6" s="5">
        <f t="shared" si="4"/>
        <v>-350.35311557752505</v>
      </c>
      <c r="P6" s="5">
        <f>(F6-1)*'2022 Nto driftsutg landet'!$C$7*$C6</f>
        <v>25391384.472315963</v>
      </c>
      <c r="Q6" s="5">
        <f t="shared" si="5"/>
        <v>25034743.875213508</v>
      </c>
      <c r="R6" s="5">
        <f t="shared" si="6"/>
        <v>51.533343917754756</v>
      </c>
      <c r="S6" s="5">
        <f>(G6-1)*'2022 Nto driftsutg landet'!$C$8*$C6</f>
        <v>-113611748.98129706</v>
      </c>
      <c r="T6" s="5">
        <f t="shared" si="7"/>
        <v>-114630895.02222067</v>
      </c>
      <c r="U6" s="5">
        <f t="shared" si="8"/>
        <v>-235.96460048584217</v>
      </c>
      <c r="V6" s="5">
        <f>(H6-1)*'2022 Nto driftsutg landet'!$C$9*$C6</f>
        <v>19655059.006422311</v>
      </c>
      <c r="W6" s="5">
        <f t="shared" si="9"/>
        <v>19664493.904061832</v>
      </c>
      <c r="X6" s="5">
        <f t="shared" si="10"/>
        <v>40.478829437114335</v>
      </c>
      <c r="Z6" s="2">
        <f>1+L6/'2022 Nto driftsutg landet'!$C$5</f>
        <v>1.0704826415803712</v>
      </c>
      <c r="AA6" s="2">
        <f>1+O6/'2022 Nto driftsutg landet'!$C$6</f>
        <v>0.80647319887419788</v>
      </c>
      <c r="AB6" s="2">
        <f>1+R6/'2022 Nto driftsutg landet'!$C$7</f>
        <v>1.02085143410464</v>
      </c>
      <c r="AC6" s="2">
        <f>1+U6/'2022 Nto driftsutg landet'!$C$8</f>
        <v>0.74658406123018028</v>
      </c>
      <c r="AD6" s="2">
        <f>1+X6/'2022 Nto driftsutg landet'!$C$9</f>
        <v>1.0761153896741837</v>
      </c>
    </row>
    <row r="7" spans="1:30" x14ac:dyDescent="0.25">
      <c r="A7" s="43">
        <v>1500</v>
      </c>
      <c r="B7" s="44" t="s">
        <v>142</v>
      </c>
      <c r="C7" s="44">
        <f>+'2022 Nto driftsutg'!W7</f>
        <v>265848</v>
      </c>
      <c r="D7" s="3">
        <f>+'2022 Grunnlag korreksjoner'!D7</f>
        <v>1.11393319</v>
      </c>
      <c r="E7" s="3">
        <f>+'2022 Grunnlag korreksjoner'!E7</f>
        <v>1.5473002600000001</v>
      </c>
      <c r="F7" s="3">
        <f>+'2022 Grunnlag korreksjoner'!F7</f>
        <v>0.9953996799999999</v>
      </c>
      <c r="G7" s="3">
        <f>+'2022 Grunnlag korreksjoner'!G7</f>
        <v>3.08348662</v>
      </c>
      <c r="H7" s="3">
        <f>+'2022 Grunnlag korreksjoner'!H7</f>
        <v>1.03004516</v>
      </c>
      <c r="I7" s="2">
        <v>1.3223</v>
      </c>
      <c r="J7" s="5">
        <f>(D7-1)*'2022 Nto driftsutg landet'!$C$5*C7</f>
        <v>195319315.78694707</v>
      </c>
      <c r="K7" s="5">
        <f t="shared" si="1"/>
        <v>195289420.5457947</v>
      </c>
      <c r="L7" s="5">
        <f t="shared" si="2"/>
        <v>734.59051994295498</v>
      </c>
      <c r="M7" s="5">
        <f>(E7-1)*'2022 Nto driftsutg landet'!$C$6*$C7</f>
        <v>263404941.25813156</v>
      </c>
      <c r="N7" s="5">
        <f t="shared" si="3"/>
        <v>262950862.19279352</v>
      </c>
      <c r="O7" s="5">
        <f t="shared" si="4"/>
        <v>989.10227721402271</v>
      </c>
      <c r="P7" s="5">
        <f>(F7-1)*'2022 Nto driftsutg landet'!$C$7*$C7</f>
        <v>-3022552.367337021</v>
      </c>
      <c r="Q7" s="5">
        <f t="shared" si="5"/>
        <v>-3217720.6978505771</v>
      </c>
      <c r="R7" s="5">
        <f t="shared" si="6"/>
        <v>-12.103610701794173</v>
      </c>
      <c r="S7" s="5">
        <f>(G7-1)*'2022 Nto driftsutg landet'!$C$8*$C7</f>
        <v>515747392.98589253</v>
      </c>
      <c r="T7" s="5">
        <f t="shared" si="7"/>
        <v>515189674.56299686</v>
      </c>
      <c r="U7" s="5">
        <f t="shared" si="8"/>
        <v>1937.9106653538747</v>
      </c>
      <c r="V7" s="5">
        <f>(H7-1)*'2022 Nto driftsutg landet'!$C$9*$C7</f>
        <v>4247793.4270276176</v>
      </c>
      <c r="W7" s="5">
        <f t="shared" si="9"/>
        <v>4252956.5891460972</v>
      </c>
      <c r="X7" s="5">
        <f t="shared" si="10"/>
        <v>15.997700148754541</v>
      </c>
      <c r="Z7" s="2">
        <f>1+L7/'2022 Nto driftsutg landet'!$C$5</f>
        <v>1.1139157515803713</v>
      </c>
      <c r="AA7" s="2">
        <f>1+O7/'2022 Nto driftsutg landet'!$C$6</f>
        <v>1.5463567788741979</v>
      </c>
      <c r="AB7" s="2">
        <f>1+R7/'2022 Nto driftsutg landet'!$C$7</f>
        <v>0.99510263410463984</v>
      </c>
      <c r="AC7" s="2">
        <f>1+U7/'2022 Nto driftsutg landet'!$C$8</f>
        <v>3.0812335812301805</v>
      </c>
      <c r="AD7" s="2">
        <f>1+X7/'2022 Nto driftsutg landet'!$C$9</f>
        <v>1.0300816796741838</v>
      </c>
    </row>
    <row r="8" spans="1:30" x14ac:dyDescent="0.25">
      <c r="A8" s="43">
        <v>1800</v>
      </c>
      <c r="B8" s="44" t="s">
        <v>143</v>
      </c>
      <c r="C8" s="44">
        <f>+'2022 Nto driftsutg'!W8</f>
        <v>240190</v>
      </c>
      <c r="D8" s="3">
        <f>+'2022 Grunnlag korreksjoner'!D8</f>
        <v>1.0739446699999999</v>
      </c>
      <c r="E8" s="3">
        <f>+'2022 Grunnlag korreksjoner'!E8</f>
        <v>1.75356388</v>
      </c>
      <c r="F8" s="3">
        <f>+'2022 Grunnlag korreksjoner'!F8</f>
        <v>1.0204600800000001</v>
      </c>
      <c r="G8" s="3">
        <f>+'2022 Grunnlag korreksjoner'!G8</f>
        <v>5.3669618200000002</v>
      </c>
      <c r="H8" s="3">
        <f>+'2022 Grunnlag korreksjoner'!H8</f>
        <v>0.98230778000000007</v>
      </c>
      <c r="I8" s="2">
        <v>1.5132000000000001</v>
      </c>
      <c r="J8" s="5">
        <f>(D8-1)*'2022 Nto driftsutg landet'!$C$5*C8</f>
        <v>114531074.92979217</v>
      </c>
      <c r="K8" s="5">
        <f t="shared" si="1"/>
        <v>114504064.99188633</v>
      </c>
      <c r="L8" s="5">
        <f t="shared" si="2"/>
        <v>476.72286519791135</v>
      </c>
      <c r="M8" s="5">
        <f>(E8-1)*'2022 Nto driftsutg landet'!$C$6*$C8</f>
        <v>327672399.59493148</v>
      </c>
      <c r="N8" s="5">
        <f t="shared" si="3"/>
        <v>327262145.42448992</v>
      </c>
      <c r="O8" s="5">
        <f t="shared" si="4"/>
        <v>1362.513615989383</v>
      </c>
      <c r="P8" s="5">
        <f>(F8-1)*'2022 Nto driftsutg landet'!$C$7*$C8</f>
        <v>12145478.898357704</v>
      </c>
      <c r="Q8" s="5">
        <f t="shared" si="5"/>
        <v>11969147.004546011</v>
      </c>
      <c r="R8" s="5">
        <f t="shared" si="6"/>
        <v>49.831995522486409</v>
      </c>
      <c r="S8" s="5">
        <f>(G8-1)*'2022 Nto driftsutg landet'!$C$8*$C8</f>
        <v>976668644.77459288</v>
      </c>
      <c r="T8" s="5">
        <f t="shared" si="7"/>
        <v>976164753.87454724</v>
      </c>
      <c r="U8" s="5">
        <f t="shared" si="8"/>
        <v>4064.1357003811449</v>
      </c>
      <c r="V8" s="5">
        <f>(H8-1)*'2022 Nto driftsutg landet'!$C$9*$C8</f>
        <v>-2259918.218673585</v>
      </c>
      <c r="W8" s="5">
        <f t="shared" si="9"/>
        <v>-2255253.3729375345</v>
      </c>
      <c r="X8" s="5">
        <f t="shared" si="10"/>
        <v>-9.3894557347830236</v>
      </c>
      <c r="Z8" s="2">
        <f>1+L8/'2022 Nto driftsutg landet'!$C$5</f>
        <v>1.0739272315803712</v>
      </c>
      <c r="AA8" s="2">
        <f>1+O8/'2022 Nto driftsutg landet'!$C$6</f>
        <v>1.752620398874198</v>
      </c>
      <c r="AB8" s="2">
        <f>1+R8/'2022 Nto driftsutg landet'!$C$7</f>
        <v>1.0201630341046402</v>
      </c>
      <c r="AC8" s="2">
        <f>1+U8/'2022 Nto driftsutg landet'!$C$8</f>
        <v>5.3647087812301804</v>
      </c>
      <c r="AD8" s="2">
        <f>1+X8/'2022 Nto driftsutg landet'!$C$9</f>
        <v>0.98234429967418402</v>
      </c>
    </row>
    <row r="9" spans="1:30" x14ac:dyDescent="0.25">
      <c r="A9" s="43">
        <v>3000</v>
      </c>
      <c r="B9" s="44" t="s">
        <v>391</v>
      </c>
      <c r="C9" s="44">
        <f>+'2022 Nto driftsutg'!W9</f>
        <v>1269230</v>
      </c>
      <c r="D9" s="3">
        <f>+'2022 Grunnlag korreksjoner'!D9</f>
        <v>1.0186378599999999</v>
      </c>
      <c r="E9" s="3">
        <f>+'2022 Grunnlag korreksjoner'!E9</f>
        <v>0.64148788000000012</v>
      </c>
      <c r="F9" s="3">
        <f>+'2022 Grunnlag korreksjoner'!F9</f>
        <v>0.65952591999999999</v>
      </c>
      <c r="G9" s="3">
        <f>+'2022 Grunnlag korreksjoner'!G9</f>
        <v>6.9758440000000005E-2</v>
      </c>
      <c r="H9" s="3">
        <f>+'2022 Grunnlag korreksjoner'!H9</f>
        <v>1.0247303400000001</v>
      </c>
      <c r="I9" s="2">
        <v>0.81579999999999997</v>
      </c>
      <c r="J9" s="5">
        <f>(D9-1)*'2022 Nto driftsutg landet'!$C$5*C9</f>
        <v>152544977.57295477</v>
      </c>
      <c r="K9" s="5">
        <f t="shared" si="1"/>
        <v>152402249.63470495</v>
      </c>
      <c r="L9" s="5">
        <f t="shared" si="2"/>
        <v>120.07457248465995</v>
      </c>
      <c r="M9" s="5">
        <f>(E9-1)*'2022 Nto driftsutg landet'!$C$6*$C9</f>
        <v>-823775813.52728331</v>
      </c>
      <c r="N9" s="5">
        <f t="shared" si="3"/>
        <v>-825943709.36286974</v>
      </c>
      <c r="O9" s="5">
        <f t="shared" si="4"/>
        <v>-650.74392297918405</v>
      </c>
      <c r="P9" s="5">
        <f>(F9-1)*'2022 Nto driftsutg landet'!$C$7*$C9</f>
        <v>-1068013587.4030069</v>
      </c>
      <c r="Q9" s="5">
        <f t="shared" si="5"/>
        <v>-1068945373.6121856</v>
      </c>
      <c r="R9" s="5">
        <f t="shared" si="6"/>
        <v>-842.19989569438599</v>
      </c>
      <c r="S9" s="5">
        <f>(G9-1)*'2022 Nto driftsutg landet'!$C$8*$C9</f>
        <v>-1099382944.6934366</v>
      </c>
      <c r="T9" s="5">
        <f t="shared" si="7"/>
        <v>-1102045642.7535758</v>
      </c>
      <c r="U9" s="5">
        <f t="shared" si="8"/>
        <v>-868.27891142943031</v>
      </c>
      <c r="V9" s="5">
        <f>(H9-1)*'2022 Nto driftsutg landet'!$C$9*$C9</f>
        <v>16692673.002086816</v>
      </c>
      <c r="W9" s="5">
        <f t="shared" si="9"/>
        <v>16717323.329550771</v>
      </c>
      <c r="X9" s="5">
        <f t="shared" si="10"/>
        <v>13.17123242402935</v>
      </c>
      <c r="Z9" s="2">
        <f>1+L9/'2022 Nto driftsutg landet'!$C$5</f>
        <v>1.0186204215803711</v>
      </c>
      <c r="AA9" s="2">
        <f>1+O9/'2022 Nto driftsutg landet'!$C$6</f>
        <v>0.64054439887419801</v>
      </c>
      <c r="AB9" s="2">
        <f>1+R9/'2022 Nto driftsutg landet'!$C$7</f>
        <v>0.65922887410463993</v>
      </c>
      <c r="AC9" s="2">
        <f>1+U9/'2022 Nto driftsutg landet'!$C$8</f>
        <v>6.7505401230180229E-2</v>
      </c>
      <c r="AD9" s="2">
        <f>1+X9/'2022 Nto driftsutg landet'!$C$9</f>
        <v>1.0247668596741839</v>
      </c>
    </row>
    <row r="10" spans="1:30" x14ac:dyDescent="0.25">
      <c r="A10" s="43">
        <v>3400</v>
      </c>
      <c r="B10" s="44" t="s">
        <v>392</v>
      </c>
      <c r="C10" s="44">
        <f>+'2022 Nto driftsutg'!W10</f>
        <v>371253</v>
      </c>
      <c r="D10" s="3">
        <f>+'2022 Grunnlag korreksjoner'!D10</f>
        <v>1.0114143099999999</v>
      </c>
      <c r="E10" s="3">
        <f>+'2022 Grunnlag korreksjoner'!E10</f>
        <v>1.5407690200000002</v>
      </c>
      <c r="F10" s="3">
        <f>+'2022 Grunnlag korreksjoner'!F10</f>
        <v>1.0059225599999999</v>
      </c>
      <c r="G10" s="3">
        <f>+'2022 Grunnlag korreksjoner'!G10</f>
        <v>3.7465999999999999E-2</v>
      </c>
      <c r="H10" s="3">
        <f>+'2022 Grunnlag korreksjoner'!H10</f>
        <v>0.9667207000000001</v>
      </c>
      <c r="I10" s="2">
        <v>1.0403</v>
      </c>
      <c r="J10" s="5">
        <f>(D10-1)*'2022 Nto driftsutg landet'!$C$5*C10</f>
        <v>27326321.564739212</v>
      </c>
      <c r="K10" s="5">
        <f t="shared" si="1"/>
        <v>27284573.280142199</v>
      </c>
      <c r="L10" s="5">
        <f t="shared" si="2"/>
        <v>73.49320619669659</v>
      </c>
      <c r="M10" s="5">
        <f>(E10-1)*'2022 Nto driftsutg landet'!$C$6*$C10</f>
        <v>363451646.83569473</v>
      </c>
      <c r="N10" s="5">
        <f t="shared" si="3"/>
        <v>362817531.79535609</v>
      </c>
      <c r="O10" s="5">
        <f t="shared" si="4"/>
        <v>977.27838373119164</v>
      </c>
      <c r="P10" s="5">
        <f>(F10-1)*'2022 Nto driftsutg landet'!$C$7*$C10</f>
        <v>5434152.6636409732</v>
      </c>
      <c r="Q10" s="5">
        <f t="shared" si="5"/>
        <v>5161602.829870739</v>
      </c>
      <c r="R10" s="5">
        <f t="shared" si="6"/>
        <v>13.903194936797114</v>
      </c>
      <c r="S10" s="5">
        <f>(G10-1)*'2022 Nto driftsutg landet'!$C$8*$C10</f>
        <v>-332735377.6653769</v>
      </c>
      <c r="T10" s="5">
        <f t="shared" si="7"/>
        <v>-333514223.61364543</v>
      </c>
      <c r="U10" s="5">
        <f t="shared" si="8"/>
        <v>-898.34755170637118</v>
      </c>
      <c r="V10" s="5">
        <f>(H10-1)*'2022 Nto driftsutg landet'!$C$9*$C10</f>
        <v>-6570518.2288068151</v>
      </c>
      <c r="W10" s="5">
        <f t="shared" si="9"/>
        <v>-6563307.9453893295</v>
      </c>
      <c r="X10" s="5">
        <f t="shared" si="10"/>
        <v>-17.678801101645856</v>
      </c>
      <c r="Z10" s="2">
        <f>1+L10/'2022 Nto driftsutg landet'!$C$5</f>
        <v>1.0113968715803712</v>
      </c>
      <c r="AA10" s="2">
        <f>1+O10/'2022 Nto driftsutg landet'!$C$6</f>
        <v>1.5398255388741982</v>
      </c>
      <c r="AB10" s="2">
        <f>1+R10/'2022 Nto driftsutg landet'!$C$7</f>
        <v>1.00562551410464</v>
      </c>
      <c r="AC10" s="2">
        <f>1+U10/'2022 Nto driftsutg landet'!$C$8</f>
        <v>3.5212961230180362E-2</v>
      </c>
      <c r="AD10" s="2">
        <f>1+X10/'2022 Nto driftsutg landet'!$C$9</f>
        <v>0.96675721967418404</v>
      </c>
    </row>
    <row r="11" spans="1:30" x14ac:dyDescent="0.25">
      <c r="A11" s="43">
        <v>3800</v>
      </c>
      <c r="B11" s="44" t="s">
        <v>393</v>
      </c>
      <c r="C11" s="44">
        <f>+'2022 Nto driftsutg'!W11</f>
        <v>424832</v>
      </c>
      <c r="D11" s="3">
        <f>+'2022 Grunnlag korreksjoner'!D11</f>
        <v>1.01806916</v>
      </c>
      <c r="E11" s="3">
        <f>+'2022 Grunnlag korreksjoner'!E11</f>
        <v>0.95163352000000012</v>
      </c>
      <c r="F11" s="3">
        <f>+'2022 Grunnlag korreksjoner'!F11</f>
        <v>0.72960991999999991</v>
      </c>
      <c r="G11" s="3">
        <f>+'2022 Grunnlag korreksjoner'!G11</f>
        <v>0.13406012</v>
      </c>
      <c r="H11" s="3">
        <f>+'2022 Grunnlag korreksjoner'!H11</f>
        <v>0.99232936000000005</v>
      </c>
      <c r="I11" s="2">
        <v>0.89119999999999999</v>
      </c>
      <c r="J11" s="5">
        <f>(D11-1)*'2022 Nto driftsutg landet'!$C$5*C11</f>
        <v>49501313.748401254</v>
      </c>
      <c r="K11" s="5">
        <f t="shared" si="1"/>
        <v>49453540.377568103</v>
      </c>
      <c r="L11" s="5">
        <f t="shared" si="2"/>
        <v>116.40728659227202</v>
      </c>
      <c r="M11" s="5">
        <f>(E11-1)*'2022 Nto driftsutg landet'!$C$6*$C11</f>
        <v>-37198597.800294489</v>
      </c>
      <c r="N11" s="5">
        <f t="shared" si="3"/>
        <v>-37924227.925349735</v>
      </c>
      <c r="O11" s="5">
        <f t="shared" si="4"/>
        <v>-89.268764889061401</v>
      </c>
      <c r="P11" s="5">
        <f>(F11-1)*'2022 Nto driftsutg landet'!$C$7*$C11</f>
        <v>-283896717.08459401</v>
      </c>
      <c r="Q11" s="5">
        <f t="shared" si="5"/>
        <v>-284208601.13934988</v>
      </c>
      <c r="R11" s="5">
        <f t="shared" si="6"/>
        <v>-668.99056836431782</v>
      </c>
      <c r="S11" s="5">
        <f>(G11-1)*'2022 Nto driftsutg landet'!$C$8*$C11</f>
        <v>-342545204.00012839</v>
      </c>
      <c r="T11" s="5">
        <f t="shared" si="7"/>
        <v>-343436452.50692785</v>
      </c>
      <c r="U11" s="5">
        <f t="shared" si="8"/>
        <v>-808.40532847555698</v>
      </c>
      <c r="V11" s="5">
        <f>(H11-1)*'2022 Nto driftsutg landet'!$C$9*$C11</f>
        <v>-1733022.8658244163</v>
      </c>
      <c r="W11" s="5">
        <f t="shared" si="9"/>
        <v>-1724771.9988285473</v>
      </c>
      <c r="X11" s="5">
        <f t="shared" si="10"/>
        <v>-4.0598919074564703</v>
      </c>
      <c r="Z11" s="2">
        <f>1+L11/'2022 Nto driftsutg landet'!$C$5</f>
        <v>1.0180517215803713</v>
      </c>
      <c r="AA11" s="2">
        <f>1+O11/'2022 Nto driftsutg landet'!$C$6</f>
        <v>0.95069003887419801</v>
      </c>
      <c r="AB11" s="2">
        <f>1+R11/'2022 Nto driftsutg landet'!$C$7</f>
        <v>0.72931287410463996</v>
      </c>
      <c r="AC11" s="2">
        <f>1+U11/'2022 Nto driftsutg landet'!$C$8</f>
        <v>0.13180708123018026</v>
      </c>
      <c r="AD11" s="2">
        <f>1+X11/'2022 Nto driftsutg landet'!$C$9</f>
        <v>0.99236587967418399</v>
      </c>
    </row>
    <row r="12" spans="1:30" x14ac:dyDescent="0.25">
      <c r="A12" s="43">
        <v>4200</v>
      </c>
      <c r="B12" s="44" t="s">
        <v>394</v>
      </c>
      <c r="C12" s="44">
        <f>+'2022 Nto driftsutg'!W12</f>
        <v>311134</v>
      </c>
      <c r="D12" s="3">
        <f>+'2022 Grunnlag korreksjoner'!D12</f>
        <v>1.0686202599999999</v>
      </c>
      <c r="E12" s="3">
        <f>+'2022 Grunnlag korreksjoner'!E12</f>
        <v>1.15154242</v>
      </c>
      <c r="F12" s="3">
        <f>+'2022 Grunnlag korreksjoner'!F12</f>
        <v>0.82527287999999999</v>
      </c>
      <c r="G12" s="3">
        <f>+'2022 Grunnlag korreksjoner'!G12</f>
        <v>0.22924375999999999</v>
      </c>
      <c r="H12" s="3">
        <f>+'2022 Grunnlag korreksjoner'!H12</f>
        <v>1.0503528199999999</v>
      </c>
      <c r="I12" s="2">
        <v>0.98209999999999997</v>
      </c>
      <c r="J12" s="5">
        <f>(D12-1)*'2022 Nto driftsutg landet'!$C$5*C12</f>
        <v>137676992.73725474</v>
      </c>
      <c r="K12" s="5">
        <f t="shared" si="1"/>
        <v>137642004.97747958</v>
      </c>
      <c r="L12" s="5">
        <f t="shared" si="2"/>
        <v>442.38818315413801</v>
      </c>
      <c r="M12" s="5">
        <f>(E12-1)*'2022 Nto driftsutg landet'!$C$6*$C12</f>
        <v>85358457.121369749</v>
      </c>
      <c r="N12" s="5">
        <f t="shared" si="3"/>
        <v>84827027.748514265</v>
      </c>
      <c r="O12" s="5">
        <f t="shared" si="4"/>
        <v>272.63824509219262</v>
      </c>
      <c r="P12" s="5">
        <f>(F12-1)*'2022 Nto driftsutg landet'!$C$7*$C12</f>
        <v>-134356965.03852871</v>
      </c>
      <c r="Q12" s="5">
        <f t="shared" si="5"/>
        <v>-134585379.40819108</v>
      </c>
      <c r="R12" s="5">
        <f t="shared" si="6"/>
        <v>-432.5640380292449</v>
      </c>
      <c r="S12" s="5">
        <f>(G12-1)*'2022 Nto driftsutg landet'!$C$8*$C12</f>
        <v>-223294203.82027665</v>
      </c>
      <c r="T12" s="5">
        <f t="shared" si="7"/>
        <v>-223946927.0447855</v>
      </c>
      <c r="U12" s="5">
        <f t="shared" si="8"/>
        <v>-719.77645337631213</v>
      </c>
      <c r="V12" s="5">
        <f>(H12-1)*'2022 Nto driftsutg landet'!$C$9*$C12</f>
        <v>8331567.9483397203</v>
      </c>
      <c r="W12" s="5">
        <f t="shared" si="9"/>
        <v>8337610.6316872379</v>
      </c>
      <c r="X12" s="5">
        <f t="shared" si="10"/>
        <v>26.797491214998161</v>
      </c>
      <c r="Z12" s="2">
        <f>1+L12/'2022 Nto driftsutg landet'!$C$5</f>
        <v>1.0686028215803711</v>
      </c>
      <c r="AA12" s="2">
        <f>1+O12/'2022 Nto driftsutg landet'!$C$6</f>
        <v>1.1505989388741977</v>
      </c>
      <c r="AB12" s="2">
        <f>1+R12/'2022 Nto driftsutg landet'!$C$7</f>
        <v>0.82497583410464004</v>
      </c>
      <c r="AC12" s="2">
        <f>1+U12/'2022 Nto driftsutg landet'!$C$8</f>
        <v>0.22699072123018027</v>
      </c>
      <c r="AD12" s="2">
        <f>1+X12/'2022 Nto driftsutg landet'!$C$9</f>
        <v>1.0503893396741837</v>
      </c>
    </row>
    <row r="13" spans="1:30" x14ac:dyDescent="0.25">
      <c r="A13" s="43">
        <v>4600</v>
      </c>
      <c r="B13" s="44" t="s">
        <v>395</v>
      </c>
      <c r="C13" s="44">
        <f>+'2022 Nto driftsutg'!W13</f>
        <v>641292</v>
      </c>
      <c r="D13" s="3">
        <f>+'2022 Grunnlag korreksjoner'!D13</f>
        <v>1.0600025</v>
      </c>
      <c r="E13" s="3">
        <f>+'2022 Grunnlag korreksjoner'!E13</f>
        <v>1.1855225199999999</v>
      </c>
      <c r="F13" s="3">
        <f>+'2022 Grunnlag korreksjoner'!F13</f>
        <v>1.0005352000000001</v>
      </c>
      <c r="G13" s="3">
        <f>+'2022 Grunnlag korreksjoner'!G13</f>
        <v>2.1551446599999999</v>
      </c>
      <c r="H13" s="3">
        <f>+'2022 Grunnlag korreksjoner'!H13</f>
        <v>1.0314929100000001</v>
      </c>
      <c r="I13" s="2">
        <v>1.155</v>
      </c>
      <c r="J13" s="5">
        <f>(D13-1)*'2022 Nto driftsutg landet'!$C$5*C13</f>
        <v>248134246.12777871</v>
      </c>
      <c r="K13" s="5">
        <f t="shared" si="1"/>
        <v>248062131.31409159</v>
      </c>
      <c r="L13" s="5">
        <f t="shared" si="2"/>
        <v>386.81619498464289</v>
      </c>
      <c r="M13" s="5">
        <f>(E13-1)*'2022 Nto driftsutg landet'!$C$6*$C13</f>
        <v>215385926.55840024</v>
      </c>
      <c r="N13" s="5">
        <f t="shared" si="3"/>
        <v>214290574.05633608</v>
      </c>
      <c r="O13" s="5">
        <f t="shared" si="4"/>
        <v>334.15444767178769</v>
      </c>
      <c r="P13" s="5">
        <f>(F13-1)*'2022 Nto driftsutg landet'!$C$7*$C13</f>
        <v>848250.88437087764</v>
      </c>
      <c r="Q13" s="5">
        <f t="shared" si="5"/>
        <v>377455.96015967679</v>
      </c>
      <c r="R13" s="5">
        <f t="shared" si="6"/>
        <v>0.58858672829175596</v>
      </c>
      <c r="S13" s="5">
        <f>(G13-1)*'2022 Nto driftsutg landet'!$C$8*$C13</f>
        <v>689771307.72981501</v>
      </c>
      <c r="T13" s="5">
        <f t="shared" si="7"/>
        <v>688425951.12432754</v>
      </c>
      <c r="U13" s="5">
        <f t="shared" si="8"/>
        <v>1073.4984236889397</v>
      </c>
      <c r="V13" s="5">
        <f>(H13-1)*'2022 Nto driftsutg landet'!$C$9*$C13</f>
        <v>10740489.732999051</v>
      </c>
      <c r="W13" s="5">
        <f t="shared" si="9"/>
        <v>10752944.573965633</v>
      </c>
      <c r="X13" s="5">
        <f t="shared" si="10"/>
        <v>16.767626251326437</v>
      </c>
      <c r="Z13" s="2">
        <f>1+L13/'2022 Nto driftsutg landet'!$C$5</f>
        <v>1.0599850615803712</v>
      </c>
      <c r="AA13" s="2">
        <f>1+O13/'2022 Nto driftsutg landet'!$C$6</f>
        <v>1.1845790388741979</v>
      </c>
      <c r="AB13" s="2">
        <f>1+R13/'2022 Nto driftsutg landet'!$C$7</f>
        <v>1.0002381541046401</v>
      </c>
      <c r="AC13" s="2">
        <f>1+U13/'2022 Nto driftsutg landet'!$C$8</f>
        <v>2.1528916212301801</v>
      </c>
      <c r="AD13" s="2">
        <f>1+X13/'2022 Nto driftsutg landet'!$C$9</f>
        <v>1.0315294296741839</v>
      </c>
    </row>
    <row r="14" spans="1:30" x14ac:dyDescent="0.25">
      <c r="A14" s="43">
        <v>5000</v>
      </c>
      <c r="B14" s="44" t="s">
        <v>390</v>
      </c>
      <c r="C14" s="44">
        <f>+'2022 Nto driftsutg'!W14</f>
        <v>474131</v>
      </c>
      <c r="D14" s="3">
        <f>+'2022 Grunnlag korreksjoner'!D14</f>
        <v>1.02035371</v>
      </c>
      <c r="E14" s="3">
        <f>+'2022 Grunnlag korreksjoner'!E14</f>
        <v>1.2804020200000001</v>
      </c>
      <c r="F14" s="3">
        <f>+'2022 Grunnlag korreksjoner'!F14</f>
        <v>1.0615868000000002</v>
      </c>
      <c r="G14" s="3">
        <f>+'2022 Grunnlag korreksjoner'!G14</f>
        <v>1.2282993799999999</v>
      </c>
      <c r="H14" s="3">
        <f>+'2022 Grunnlag korreksjoner'!H14</f>
        <v>1.0043769899999999</v>
      </c>
      <c r="I14" s="2">
        <v>1.0929</v>
      </c>
      <c r="J14" s="5">
        <f>(D14-1)*'2022 Nto driftsutg landet'!$C$5*C14</f>
        <v>62230526.243643023</v>
      </c>
      <c r="K14" s="5">
        <f t="shared" si="1"/>
        <v>62177209.082773574</v>
      </c>
      <c r="L14" s="5">
        <f t="shared" si="2"/>
        <v>131.13930344730375</v>
      </c>
      <c r="M14" s="5">
        <f>(E14-1)*'2022 Nto driftsutg landet'!$C$6*$C14</f>
        <v>240682412.14548093</v>
      </c>
      <c r="N14" s="5">
        <f t="shared" si="3"/>
        <v>239872577.34767246</v>
      </c>
      <c r="O14" s="5">
        <f t="shared" si="4"/>
        <v>505.92046786156664</v>
      </c>
      <c r="P14" s="5">
        <f>(F14-1)*'2022 Nto driftsutg landet'!$C$7*$C14</f>
        <v>72166955.617106557</v>
      </c>
      <c r="Q14" s="5">
        <f t="shared" si="5"/>
        <v>71818879.439310506</v>
      </c>
      <c r="R14" s="5">
        <f t="shared" si="6"/>
        <v>151.47476001212851</v>
      </c>
      <c r="S14" s="5">
        <f>(G14-1)*'2022 Nto driftsutg landet'!$C$8*$C14</f>
        <v>100789667.34901819</v>
      </c>
      <c r="T14" s="5">
        <f t="shared" si="7"/>
        <v>99794995.229739666</v>
      </c>
      <c r="U14" s="5">
        <f t="shared" si="8"/>
        <v>210.47979404371296</v>
      </c>
      <c r="V14" s="5">
        <f>(H14-1)*'2022 Nto driftsutg landet'!$C$9*$C14</f>
        <v>1103644.9389144771</v>
      </c>
      <c r="W14" s="5">
        <f t="shared" si="9"/>
        <v>1112853.2655462243</v>
      </c>
      <c r="X14" s="5">
        <f t="shared" si="10"/>
        <v>2.3471430164790412</v>
      </c>
      <c r="Z14" s="2">
        <f>1+L14/'2022 Nto driftsutg landet'!$C$5</f>
        <v>1.0203362715803712</v>
      </c>
      <c r="AA14" s="2">
        <f>1+O14/'2022 Nto driftsutg landet'!$C$6</f>
        <v>1.2794585388741979</v>
      </c>
      <c r="AB14" s="2">
        <f>1+R14/'2022 Nto driftsutg landet'!$C$7</f>
        <v>1.0612897541046402</v>
      </c>
      <c r="AC14" s="2">
        <f>1+U14/'2022 Nto driftsutg landet'!$C$8</f>
        <v>1.2260463412301803</v>
      </c>
      <c r="AD14" s="2">
        <f>1+X14/'2022 Nto driftsutg landet'!$C$9</f>
        <v>1.0044135096741837</v>
      </c>
    </row>
    <row r="15" spans="1:30" x14ac:dyDescent="0.25">
      <c r="A15" s="43">
        <v>5400</v>
      </c>
      <c r="B15" s="44" t="s">
        <v>396</v>
      </c>
      <c r="C15" s="44">
        <f>+'2022 Nto driftsutg'!W15</f>
        <v>241736</v>
      </c>
      <c r="D15" s="3">
        <f>+'2022 Grunnlag korreksjoner'!D15</f>
        <v>1.0642349100000001</v>
      </c>
      <c r="E15" s="3">
        <f>+'2022 Grunnlag korreksjoner'!E15</f>
        <v>2.0654747200000001</v>
      </c>
      <c r="F15" s="3">
        <f>+'2022 Grunnlag korreksjoner'!F15</f>
        <v>1.1215987199999999</v>
      </c>
      <c r="G15" s="3">
        <f>+'2022 Grunnlag korreksjoner'!G15</f>
        <v>3.1805990999999998</v>
      </c>
      <c r="H15" s="3">
        <f>+'2022 Grunnlag korreksjoner'!H15</f>
        <v>0.97130740000000015</v>
      </c>
      <c r="I15" s="2">
        <v>1.4232</v>
      </c>
      <c r="J15" s="5">
        <f>(D15-1)*'2022 Nto driftsutg landet'!$C$5*C15</f>
        <v>100132253.70636697</v>
      </c>
      <c r="K15" s="5">
        <f t="shared" si="1"/>
        <v>100105069.9170768</v>
      </c>
      <c r="L15" s="5">
        <f t="shared" si="2"/>
        <v>414.10906905498888</v>
      </c>
      <c r="M15" s="5">
        <f>(E15-1)*'2022 Nto driftsutg landet'!$C$6*$C15</f>
        <v>466282747.98737741</v>
      </c>
      <c r="N15" s="5">
        <f t="shared" si="3"/>
        <v>465869853.18682009</v>
      </c>
      <c r="O15" s="5">
        <f t="shared" si="4"/>
        <v>1927.1844209667574</v>
      </c>
      <c r="P15" s="5">
        <f>(F15-1)*'2022 Nto driftsutg landet'!$C$7*$C15</f>
        <v>72647843.834646523</v>
      </c>
      <c r="Q15" s="5">
        <f t="shared" si="5"/>
        <v>72470376.968072295</v>
      </c>
      <c r="R15" s="5">
        <f t="shared" si="6"/>
        <v>299.79141281427798</v>
      </c>
      <c r="S15" s="5">
        <f>(G15-1)*'2022 Nto driftsutg landet'!$C$8*$C15</f>
        <v>490828857.23534316</v>
      </c>
      <c r="T15" s="5">
        <f t="shared" si="7"/>
        <v>490321723.00571907</v>
      </c>
      <c r="U15" s="5">
        <f t="shared" si="8"/>
        <v>2028.3355520308066</v>
      </c>
      <c r="V15" s="5">
        <f>(H15-1)*'2022 Nto driftsutg landet'!$C$9*$C15</f>
        <v>-3688643.6865285481</v>
      </c>
      <c r="W15" s="5">
        <f t="shared" si="9"/>
        <v>-3683948.81518149</v>
      </c>
      <c r="X15" s="5">
        <f t="shared" si="10"/>
        <v>-15.239553956305597</v>
      </c>
      <c r="Z15" s="2">
        <f>1+L15/'2022 Nto driftsutg landet'!$C$5</f>
        <v>1.0642174715803714</v>
      </c>
      <c r="AA15" s="2">
        <f>1+O15/'2022 Nto driftsutg landet'!$C$6</f>
        <v>2.0645312388741979</v>
      </c>
      <c r="AB15" s="2">
        <f>1+R15/'2022 Nto driftsutg landet'!$C$7</f>
        <v>1.12130167410464</v>
      </c>
      <c r="AC15" s="2">
        <f>1+U15/'2022 Nto driftsutg landet'!$C$8</f>
        <v>3.1783460612301804</v>
      </c>
      <c r="AD15" s="2">
        <f>1+X15/'2022 Nto driftsutg landet'!$C$9</f>
        <v>0.9713439196741841</v>
      </c>
    </row>
    <row r="16" spans="1:30" x14ac:dyDescent="0.25">
      <c r="B16" s="45"/>
      <c r="C16" s="45"/>
      <c r="D16" s="4"/>
      <c r="E16" s="4"/>
      <c r="F16" s="4"/>
      <c r="G16" s="4"/>
      <c r="H16" s="4"/>
      <c r="I16" s="4"/>
      <c r="Z16" s="4"/>
      <c r="AA16" s="4"/>
    </row>
    <row r="17" spans="2:31" x14ac:dyDescent="0.25">
      <c r="B17" s="44" t="s">
        <v>3</v>
      </c>
      <c r="C17" s="5">
        <f>SUM(C5:C16)</f>
        <v>5425270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5">
        <f>SUM(J5:J16)</f>
        <v>610084.54066537321</v>
      </c>
      <c r="K17" s="5">
        <f>SUM(K5:K16)</f>
        <v>0</v>
      </c>
      <c r="L17" s="5">
        <v>0</v>
      </c>
      <c r="M17" s="5">
        <f>SUM(M5:M16)</f>
        <v>9266579.1384794116</v>
      </c>
      <c r="N17" s="5">
        <f>SUM(N5:N16)</f>
        <v>0</v>
      </c>
      <c r="O17" s="5">
        <v>0</v>
      </c>
      <c r="P17" s="5">
        <f>SUM(P5:P16)</f>
        <v>3982880.7758015096</v>
      </c>
      <c r="Q17" s="5">
        <f>SUM(Q5:Q16)</f>
        <v>0</v>
      </c>
      <c r="R17" s="5">
        <v>0</v>
      </c>
      <c r="S17" s="5">
        <f>SUM(S5:S16)</f>
        <v>11381590.338025153</v>
      </c>
      <c r="T17" s="5">
        <f>SUM(T5:T16)</f>
        <v>0</v>
      </c>
      <c r="U17" s="5">
        <v>0</v>
      </c>
      <c r="V17" s="5">
        <f>SUM(V5:V16)</f>
        <v>-105366.78307349375</v>
      </c>
      <c r="W17" s="5">
        <f>SUM(W5:W16)</f>
        <v>0</v>
      </c>
      <c r="X17" s="5">
        <v>0</v>
      </c>
      <c r="Z17" s="3">
        <v>1</v>
      </c>
      <c r="AA17" s="3">
        <v>1</v>
      </c>
      <c r="AB17" s="3">
        <v>1</v>
      </c>
      <c r="AC17" s="3">
        <v>1</v>
      </c>
      <c r="AD17" s="3">
        <v>1</v>
      </c>
      <c r="AE17" s="3"/>
    </row>
  </sheetData>
  <sheetProtection algorithmName="SHA-512" hashValue="k2Ca6LaiX/UhsZVMcUt8aoDDNzbYvuhTMTJHZ+FLu+q65Y2T0vP9g0n0DQsz02Ch8rOqzKNLVdfmNBlnfZwR3w==" saltValue="9AAswV3y36I74qWCVPxpig==" spinCount="100000" sheet="1" selectLockedCells="1" selectUnlockedCells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3CB2F-7CC0-4D3F-BEBB-337342FE0A1F}">
  <dimension ref="A1:CE18"/>
  <sheetViews>
    <sheetView zoomScale="80" zoomScaleNormal="8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5" x14ac:dyDescent="0.25"/>
  <cols>
    <col min="1" max="1" width="6.42578125" customWidth="1"/>
    <col min="2" max="2" width="17.85546875" bestFit="1" customWidth="1"/>
    <col min="3" max="5" width="12" customWidth="1"/>
    <col min="6" max="6" width="13.42578125" customWidth="1"/>
    <col min="7" max="7" width="13.5703125" customWidth="1"/>
    <col min="8" max="8" width="14.42578125" customWidth="1"/>
    <col min="9" max="9" width="14.140625" customWidth="1"/>
    <col min="10" max="14" width="15.42578125" customWidth="1"/>
    <col min="15" max="15" width="14.42578125" customWidth="1"/>
    <col min="16" max="16" width="12.42578125" customWidth="1"/>
    <col min="17" max="21" width="15.42578125" customWidth="1"/>
    <col min="22" max="22" width="14.42578125" customWidth="1"/>
    <col min="23" max="23" width="13.42578125" customWidth="1"/>
    <col min="24" max="35" width="15.42578125" customWidth="1"/>
    <col min="36" max="36" width="14.42578125" customWidth="1"/>
    <col min="37" max="37" width="13.42578125" customWidth="1"/>
    <col min="38" max="42" width="15.42578125" customWidth="1"/>
    <col min="43" max="43" width="14.42578125" customWidth="1"/>
    <col min="44" max="44" width="13.42578125" customWidth="1"/>
    <col min="45" max="49" width="15.42578125" customWidth="1"/>
    <col min="50" max="50" width="14.42578125" customWidth="1"/>
    <col min="51" max="51" width="13.42578125" customWidth="1"/>
    <col min="52" max="56" width="15.42578125" customWidth="1"/>
    <col min="57" max="57" width="14.42578125" customWidth="1"/>
    <col min="58" max="58" width="13.42578125" customWidth="1"/>
    <col min="59" max="63" width="15.42578125" customWidth="1"/>
    <col min="64" max="64" width="14.42578125" customWidth="1"/>
    <col min="65" max="65" width="13.42578125" customWidth="1"/>
    <col min="66" max="70" width="15.42578125" customWidth="1"/>
    <col min="71" max="71" width="14.42578125" customWidth="1"/>
    <col min="72" max="72" width="13.42578125" customWidth="1"/>
    <col min="73" max="77" width="15.42578125" customWidth="1"/>
    <col min="78" max="78" width="14.42578125" customWidth="1"/>
    <col min="79" max="79" width="13.42578125" customWidth="1"/>
    <col min="80" max="80" width="15.42578125" customWidth="1"/>
    <col min="81" max="81" width="14.42578125" customWidth="1"/>
    <col min="82" max="82" width="13.42578125" customWidth="1"/>
    <col min="83" max="83" width="15.42578125" customWidth="1"/>
  </cols>
  <sheetData>
    <row r="1" spans="1:83" x14ac:dyDescent="0.25">
      <c r="H1" s="58"/>
      <c r="CB1" s="5"/>
    </row>
    <row r="2" spans="1:83" ht="77.25" x14ac:dyDescent="0.25">
      <c r="A2" s="24" t="s">
        <v>2</v>
      </c>
      <c r="B2" s="24" t="s">
        <v>1</v>
      </c>
      <c r="C2" s="24" t="s">
        <v>398</v>
      </c>
      <c r="D2" s="24" t="s">
        <v>322</v>
      </c>
      <c r="E2" s="24" t="s">
        <v>323</v>
      </c>
      <c r="F2" s="24" t="s">
        <v>325</v>
      </c>
      <c r="G2" s="24" t="s">
        <v>324</v>
      </c>
      <c r="H2" s="24" t="s">
        <v>326</v>
      </c>
      <c r="I2" s="24" t="s">
        <v>231</v>
      </c>
      <c r="J2" s="24" t="s">
        <v>230</v>
      </c>
      <c r="K2" s="108" t="s">
        <v>327</v>
      </c>
      <c r="L2" s="108" t="s">
        <v>328</v>
      </c>
      <c r="M2" s="108" t="s">
        <v>329</v>
      </c>
      <c r="N2" s="108" t="s">
        <v>330</v>
      </c>
      <c r="O2" s="108" t="s">
        <v>331</v>
      </c>
      <c r="P2" s="108" t="s">
        <v>233</v>
      </c>
      <c r="Q2" s="108" t="s">
        <v>232</v>
      </c>
      <c r="R2" s="24" t="s">
        <v>332</v>
      </c>
      <c r="S2" s="24" t="s">
        <v>333</v>
      </c>
      <c r="T2" s="24" t="s">
        <v>334</v>
      </c>
      <c r="U2" s="24" t="s">
        <v>335</v>
      </c>
      <c r="V2" s="24" t="s">
        <v>336</v>
      </c>
      <c r="W2" s="24" t="s">
        <v>312</v>
      </c>
      <c r="X2" s="24" t="s">
        <v>311</v>
      </c>
      <c r="Y2" s="108" t="s">
        <v>337</v>
      </c>
      <c r="Z2" s="108" t="s">
        <v>338</v>
      </c>
      <c r="AA2" s="108" t="s">
        <v>339</v>
      </c>
      <c r="AB2" s="108" t="s">
        <v>340</v>
      </c>
      <c r="AC2" s="108" t="s">
        <v>341</v>
      </c>
      <c r="AD2" s="108" t="s">
        <v>314</v>
      </c>
      <c r="AE2" s="108" t="s">
        <v>313</v>
      </c>
      <c r="AF2" s="24" t="s">
        <v>342</v>
      </c>
      <c r="AG2" s="24" t="s">
        <v>343</v>
      </c>
      <c r="AH2" s="24" t="s">
        <v>344</v>
      </c>
      <c r="AI2" s="24" t="s">
        <v>345</v>
      </c>
      <c r="AJ2" s="24" t="s">
        <v>346</v>
      </c>
      <c r="AK2" s="24" t="s">
        <v>347</v>
      </c>
      <c r="AL2" s="24" t="s">
        <v>348</v>
      </c>
      <c r="AM2" s="108" t="s">
        <v>349</v>
      </c>
      <c r="AN2" s="108" t="s">
        <v>350</v>
      </c>
      <c r="AO2" s="108" t="s">
        <v>351</v>
      </c>
      <c r="AP2" s="108" t="s">
        <v>352</v>
      </c>
      <c r="AQ2" s="108" t="s">
        <v>353</v>
      </c>
      <c r="AR2" s="108" t="s">
        <v>235</v>
      </c>
      <c r="AS2" s="108" t="s">
        <v>234</v>
      </c>
      <c r="AT2" s="24" t="s">
        <v>354</v>
      </c>
      <c r="AU2" s="24" t="s">
        <v>355</v>
      </c>
      <c r="AV2" s="24" t="s">
        <v>356</v>
      </c>
      <c r="AW2" s="24" t="s">
        <v>357</v>
      </c>
      <c r="AX2" s="24" t="s">
        <v>358</v>
      </c>
      <c r="AY2" s="24" t="s">
        <v>359</v>
      </c>
      <c r="AZ2" s="24" t="s">
        <v>360</v>
      </c>
      <c r="BA2" s="108" t="s">
        <v>361</v>
      </c>
      <c r="BB2" s="108" t="s">
        <v>362</v>
      </c>
      <c r="BC2" s="108" t="s">
        <v>363</v>
      </c>
      <c r="BD2" s="108" t="s">
        <v>364</v>
      </c>
      <c r="BE2" s="108" t="s">
        <v>365</v>
      </c>
      <c r="BF2" s="108" t="s">
        <v>237</v>
      </c>
      <c r="BG2" s="108" t="s">
        <v>236</v>
      </c>
      <c r="BH2" s="24" t="s">
        <v>366</v>
      </c>
      <c r="BI2" s="24" t="s">
        <v>367</v>
      </c>
      <c r="BJ2" s="24" t="s">
        <v>368</v>
      </c>
      <c r="BK2" s="24" t="s">
        <v>369</v>
      </c>
      <c r="BL2" s="24" t="s">
        <v>370</v>
      </c>
      <c r="BM2" s="24" t="s">
        <v>239</v>
      </c>
      <c r="BN2" s="24" t="s">
        <v>238</v>
      </c>
      <c r="BO2" s="108" t="s">
        <v>371</v>
      </c>
      <c r="BP2" s="108" t="s">
        <v>372</v>
      </c>
      <c r="BQ2" s="108" t="s">
        <v>373</v>
      </c>
      <c r="BR2" s="108" t="s">
        <v>374</v>
      </c>
      <c r="BS2" s="108" t="s">
        <v>375</v>
      </c>
      <c r="BT2" s="108" t="s">
        <v>376</v>
      </c>
      <c r="BU2" s="108" t="s">
        <v>377</v>
      </c>
      <c r="BV2" s="24" t="s">
        <v>378</v>
      </c>
      <c r="BW2" s="24" t="s">
        <v>379</v>
      </c>
      <c r="BX2" s="24" t="s">
        <v>380</v>
      </c>
      <c r="BY2" s="24" t="s">
        <v>381</v>
      </c>
      <c r="BZ2" s="24" t="s">
        <v>382</v>
      </c>
      <c r="CA2" s="24" t="s">
        <v>383</v>
      </c>
      <c r="CB2" s="24" t="s">
        <v>384</v>
      </c>
      <c r="CC2" s="108"/>
      <c r="CD2" s="108"/>
      <c r="CE2" s="108"/>
    </row>
    <row r="3" spans="1:83" x14ac:dyDescent="0.25">
      <c r="A3" s="107">
        <v>1</v>
      </c>
      <c r="B3" s="107">
        <f t="shared" ref="B3:AG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9">
        <f t="shared" si="0"/>
        <v>11</v>
      </c>
      <c r="L3" s="109">
        <f t="shared" si="0"/>
        <v>12</v>
      </c>
      <c r="M3" s="109">
        <f t="shared" si="0"/>
        <v>13</v>
      </c>
      <c r="N3" s="109">
        <f t="shared" si="0"/>
        <v>14</v>
      </c>
      <c r="O3" s="109">
        <f t="shared" si="0"/>
        <v>15</v>
      </c>
      <c r="P3" s="109">
        <f t="shared" si="0"/>
        <v>16</v>
      </c>
      <c r="Q3" s="109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9">
        <f t="shared" si="0"/>
        <v>25</v>
      </c>
      <c r="Z3" s="109">
        <f t="shared" si="0"/>
        <v>26</v>
      </c>
      <c r="AA3" s="109">
        <f t="shared" si="0"/>
        <v>27</v>
      </c>
      <c r="AB3" s="109">
        <f t="shared" si="0"/>
        <v>28</v>
      </c>
      <c r="AC3" s="109">
        <f t="shared" si="0"/>
        <v>29</v>
      </c>
      <c r="AD3" s="109">
        <f t="shared" si="0"/>
        <v>30</v>
      </c>
      <c r="AE3" s="109">
        <f t="shared" si="0"/>
        <v>31</v>
      </c>
      <c r="AF3" s="107">
        <f t="shared" si="0"/>
        <v>32</v>
      </c>
      <c r="AG3" s="107">
        <f t="shared" si="0"/>
        <v>33</v>
      </c>
      <c r="AH3" s="107">
        <f t="shared" ref="AH3:BR3" si="1">+AG3+1</f>
        <v>34</v>
      </c>
      <c r="AI3" s="107">
        <f t="shared" si="1"/>
        <v>35</v>
      </c>
      <c r="AJ3" s="107">
        <f t="shared" si="1"/>
        <v>36</v>
      </c>
      <c r="AK3" s="107">
        <f t="shared" si="1"/>
        <v>37</v>
      </c>
      <c r="AL3" s="107">
        <f t="shared" si="1"/>
        <v>38</v>
      </c>
      <c r="AM3" s="109">
        <f t="shared" si="1"/>
        <v>39</v>
      </c>
      <c r="AN3" s="109">
        <f t="shared" si="1"/>
        <v>40</v>
      </c>
      <c r="AO3" s="109">
        <f t="shared" si="1"/>
        <v>41</v>
      </c>
      <c r="AP3" s="109">
        <f t="shared" si="1"/>
        <v>42</v>
      </c>
      <c r="AQ3" s="109">
        <f t="shared" si="1"/>
        <v>43</v>
      </c>
      <c r="AR3" s="109">
        <f t="shared" si="1"/>
        <v>44</v>
      </c>
      <c r="AS3" s="109">
        <f t="shared" si="1"/>
        <v>45</v>
      </c>
      <c r="AT3" s="107">
        <f t="shared" si="1"/>
        <v>46</v>
      </c>
      <c r="AU3" s="107">
        <f t="shared" si="1"/>
        <v>47</v>
      </c>
      <c r="AV3" s="107">
        <f t="shared" si="1"/>
        <v>48</v>
      </c>
      <c r="AW3" s="107">
        <f t="shared" si="1"/>
        <v>49</v>
      </c>
      <c r="AX3" s="107">
        <f t="shared" si="1"/>
        <v>50</v>
      </c>
      <c r="AY3" s="107">
        <f t="shared" si="1"/>
        <v>51</v>
      </c>
      <c r="AZ3" s="107">
        <f t="shared" si="1"/>
        <v>52</v>
      </c>
      <c r="BA3" s="109">
        <f t="shared" si="1"/>
        <v>53</v>
      </c>
      <c r="BB3" s="109">
        <f t="shared" si="1"/>
        <v>54</v>
      </c>
      <c r="BC3" s="109">
        <f t="shared" si="1"/>
        <v>55</v>
      </c>
      <c r="BD3" s="109">
        <f t="shared" si="1"/>
        <v>56</v>
      </c>
      <c r="BE3" s="109">
        <f t="shared" si="1"/>
        <v>57</v>
      </c>
      <c r="BF3" s="109">
        <f t="shared" si="1"/>
        <v>58</v>
      </c>
      <c r="BG3" s="109">
        <f t="shared" si="1"/>
        <v>59</v>
      </c>
      <c r="BH3" s="107">
        <f t="shared" si="1"/>
        <v>60</v>
      </c>
      <c r="BI3" s="107">
        <f t="shared" si="1"/>
        <v>61</v>
      </c>
      <c r="BJ3" s="107">
        <f t="shared" si="1"/>
        <v>62</v>
      </c>
      <c r="BK3" s="107">
        <f t="shared" si="1"/>
        <v>63</v>
      </c>
      <c r="BL3" s="107">
        <f t="shared" si="1"/>
        <v>64</v>
      </c>
      <c r="BM3" s="107">
        <f t="shared" si="1"/>
        <v>65</v>
      </c>
      <c r="BN3" s="107">
        <f t="shared" si="1"/>
        <v>66</v>
      </c>
      <c r="BO3" s="109">
        <f t="shared" si="1"/>
        <v>67</v>
      </c>
      <c r="BP3" s="109">
        <f t="shared" si="1"/>
        <v>68</v>
      </c>
      <c r="BQ3" s="109">
        <f t="shared" si="1"/>
        <v>69</v>
      </c>
      <c r="BR3" s="109">
        <f t="shared" si="1"/>
        <v>70</v>
      </c>
      <c r="BS3" s="109">
        <f>+BN3+1</f>
        <v>67</v>
      </c>
      <c r="BT3" s="109">
        <f t="shared" ref="BT3:CE3" si="2">+BS3+1</f>
        <v>68</v>
      </c>
      <c r="BU3" s="109">
        <f t="shared" si="2"/>
        <v>69</v>
      </c>
      <c r="BV3" s="107">
        <f t="shared" si="2"/>
        <v>70</v>
      </c>
      <c r="BW3" s="107">
        <f t="shared" si="2"/>
        <v>71</v>
      </c>
      <c r="BX3" s="107">
        <f t="shared" si="2"/>
        <v>72</v>
      </c>
      <c r="BY3" s="107">
        <f t="shared" si="2"/>
        <v>73</v>
      </c>
      <c r="BZ3" s="107">
        <f t="shared" si="2"/>
        <v>74</v>
      </c>
      <c r="CA3" s="107">
        <f t="shared" si="2"/>
        <v>75</v>
      </c>
      <c r="CB3" s="107">
        <f t="shared" si="2"/>
        <v>76</v>
      </c>
      <c r="CC3" s="109">
        <f t="shared" si="2"/>
        <v>77</v>
      </c>
      <c r="CD3" s="109">
        <f t="shared" si="2"/>
        <v>78</v>
      </c>
      <c r="CE3" s="109">
        <f t="shared" si="2"/>
        <v>79</v>
      </c>
    </row>
    <row r="5" spans="1:83" x14ac:dyDescent="0.25">
      <c r="A5" s="43">
        <v>300</v>
      </c>
      <c r="B5" s="44" t="s">
        <v>0</v>
      </c>
      <c r="C5" s="44">
        <f>+'2022 Nto driftsutg'!W5</f>
        <v>699827</v>
      </c>
      <c r="D5" s="59">
        <f>IF('2022 Lønnsgr pensjon tjeneste'!D5&lt;100,0,(C5/$C$17)*'2022 Revekting utgiftsbehov'!D5*'2022 Pensjon tjeneste'!D5/'2022 Lønnsgr pensjon tjeneste'!D5)</f>
        <v>1.1322104911646024E-2</v>
      </c>
      <c r="E5" s="5">
        <f>IF('2022 Lønnsgr pensjon tjeneste'!D5&lt;100,0,C5)</f>
        <v>699827</v>
      </c>
      <c r="F5" s="59">
        <f>'2022 Revekting utgiftsbehov'!D5*E5/$E$17</f>
        <v>9.1616837548125704E-2</v>
      </c>
      <c r="G5" s="59">
        <f>'2022 Revekting utgiftsbehov'!D5/$F$17</f>
        <v>0.71022897472910607</v>
      </c>
      <c r="H5" s="59">
        <f>IF(E5=0,0,(E5/$E$17)*G5*'2022 Pensjon tjeneste'!D5/'2022 Lønnsgr pensjon tjeneste'!D5)</f>
        <v>1.1321907475472468E-2</v>
      </c>
      <c r="I5" s="5">
        <f>IF(E5=0,0,'2022 Nto driftsutg landet'!$C$5*'2022 Lønnsand og pensjon landet'!$D$6*('2022 Pensjon tjeneste'!D5/'2022 Lønnsgr pensjon tjeneste'!D5-$H$17)*'2022 Revekting utgiftsbehov'!D5)</f>
        <v>72.969050198747681</v>
      </c>
      <c r="J5" s="5">
        <f t="shared" ref="J5:J15" si="3">I5*C5/1000</f>
        <v>51065.711493438997</v>
      </c>
      <c r="K5" s="59">
        <f>IF('2022 Lønnsgr pensjon tjeneste'!E5&lt;100,0,(C5/$C$17)*'2022 Revekting utgiftsbehov'!E5*'2022 Pensjon tjeneste'!E5/'2022 Lønnsgr pensjon tjeneste'!E5)</f>
        <v>0</v>
      </c>
      <c r="L5" s="5">
        <f>IF('2022 Lønnsgr pensjon tjeneste'!E5&lt;100,0,C5)</f>
        <v>0</v>
      </c>
      <c r="M5" s="59">
        <f>'2022 Revekting utgiftsbehov'!E5*L5/$L$17</f>
        <v>0</v>
      </c>
      <c r="N5" s="59">
        <f>'2022 Revekting utgiftsbehov'!E5/$M$17</f>
        <v>0.24507051249090814</v>
      </c>
      <c r="O5" s="59">
        <f>IF(L5=0,0,(L5/$L$17)*N5*'2022 Pensjon tjeneste'!E5/'2022 Lønnsgr pensjon tjeneste'!E5)</f>
        <v>0</v>
      </c>
      <c r="P5" s="5">
        <f>IF(L5=0,0,'2022 Nto driftsutg landet'!$C$6*'2022 Lønnsand og pensjon landet'!$D$7*('2022 Pensjon tjeneste'!E5/'2022 Lønnsgr pensjon tjeneste'!E5-$O$17)*'2022 Revekting utgiftsbehov'!E5)</f>
        <v>0</v>
      </c>
      <c r="Q5" s="5">
        <f t="shared" ref="Q5:Q15" si="4">P5*C5/1000</f>
        <v>0</v>
      </c>
      <c r="R5" s="59">
        <f>IF('2022 Lønnsgr pensjon tjeneste'!F5&lt;100,0,(C5/$C$17)*'2022 Revekting utgiftsbehov'!F5*'2022 Pensjon tjeneste'!F5/'2022 Lønnsgr pensjon tjeneste'!F5)</f>
        <v>5.6992071231985533E-2</v>
      </c>
      <c r="S5" s="5">
        <f>IF('2022 Lønnsgr pensjon tjeneste'!F5&lt;100,0,C5)</f>
        <v>699827</v>
      </c>
      <c r="T5" s="59">
        <f>'2022 Revekting utgiftsbehov'!F5*S5/$S$17</f>
        <v>0.2262947652718777</v>
      </c>
      <c r="U5" s="59">
        <f>'2022 Revekting utgiftsbehov'!F5/$T$17</f>
        <v>1.7537843255647443</v>
      </c>
      <c r="V5" s="59">
        <f>IF(S5=0,0,(S5/$S$17)*U5*'2022 Pensjon tjeneste'!F5/'2022 Lønnsgr pensjon tjeneste'!F5)</f>
        <v>5.6975146998432119E-2</v>
      </c>
      <c r="W5" s="5">
        <f>IF(S5=0,0,'2022 Nto driftsutg landet'!$C$7*'2022 Lønnsand og pensjon landet'!$D$8*('2022 Pensjon tjeneste'!F5/'2022 Lønnsgr pensjon tjeneste'!F5-$V$17)*'2022 Revekting utgiftsbehov'!F5)</f>
        <v>3.5247107746274384</v>
      </c>
      <c r="X5" s="5">
        <f t="shared" ref="X5:X15" si="5">W5*C5/1000</f>
        <v>2466.6877672751966</v>
      </c>
      <c r="Y5" s="59">
        <f>IF('2022 Lønnsgr pensjon tjeneste'!G5&lt;100,0,(C5/$C$17)*'2022 Revekting utgiftsbehov'!G5*'2022 Pensjon tjeneste'!G5/'2022 Lønnsgr pensjon tjeneste'!G5)</f>
        <v>0</v>
      </c>
      <c r="Z5" s="5">
        <f>IF('2022 Lønnsgr pensjon tjeneste'!G5&lt;100,0,C5)</f>
        <v>0</v>
      </c>
      <c r="AA5" s="59">
        <f>'2022 Revekting utgiftsbehov'!G5*Z5/$Z$17</f>
        <v>0</v>
      </c>
      <c r="AB5" s="59">
        <f>'2022 Revekting utgiftsbehov'!G5/$AA$17</f>
        <v>7.3095106325818024E-4</v>
      </c>
      <c r="AC5" s="59">
        <f>IF(Z5=0,0,(Z5/$Z$17)*AB5*'2022 Pensjon tjeneste'!G5/'2022 Lønnsgr pensjon tjeneste'!G5)</f>
        <v>0</v>
      </c>
      <c r="AD5" s="5">
        <f>IF(Z5=0,0,'2022 Nto driftsutg landet'!$C$8*'2022 Lønnsand og pensjon landet'!$D$9*('2022 Pensjon tjeneste'!G5/'2022 Lønnsgr pensjon tjeneste'!G5-$AC$17)*'2022 Revekting utgiftsbehov'!G5)</f>
        <v>0</v>
      </c>
      <c r="AE5" s="5">
        <f t="shared" ref="AE5:AE15" si="6">+AD5*$C5/1000</f>
        <v>0</v>
      </c>
      <c r="AF5" s="59">
        <f>IF('2022 Lønnsgr pensjon tjeneste'!H5&lt;100,0,(C5/$C$17)*'2022 Revekting utgiftsbehov'!H5*'2022 Pensjon tjeneste'!H5/'2022 Lønnsgr pensjon tjeneste'!H5)</f>
        <v>4.2948057172408377E-2</v>
      </c>
      <c r="AG5" s="5">
        <f>IF('2022 Lønnsgr pensjon tjeneste'!H5&lt;100,0,C5)</f>
        <v>699827</v>
      </c>
      <c r="AH5" s="59">
        <f>'2022 Revekting utgiftsbehov'!H5*AG5/$AG$17</f>
        <v>0.11283410019251762</v>
      </c>
      <c r="AI5" s="59">
        <f>'2022 Revekting utgiftsbehov'!H5/$AH$17</f>
        <v>0.87475592580140082</v>
      </c>
      <c r="AJ5" s="59">
        <f>IF(AG5=0,0,(AG5/$AG$17)*AI5*'2022 Pensjon tjeneste'!H5/'2022 Lønnsgr pensjon tjeneste'!H5)</f>
        <v>4.2949625678744489E-2</v>
      </c>
      <c r="AK5" s="5">
        <f>IF(AG5=0,0,'2022 Nto driftsutg landet'!$C$9*'2022 Lønnsand og pensjon landet'!$D$10*('2022 Pensjon tjeneste'!H5/'2022 Lønnsgr pensjon tjeneste'!H5-$AJ$17)*'2022 Revekting utgiftsbehov'!H5)</f>
        <v>45.914369074344172</v>
      </c>
      <c r="AL5" s="5">
        <f t="shared" ref="AL5:AL15" si="7">+AK5*$C5/1000</f>
        <v>32132.115166191059</v>
      </c>
      <c r="AM5" s="59">
        <f>IF('2022 Lønnsgr pensjon tjeneste'!K5&lt;100,0,(C5/$C$17)*'2022 Pensjon tjeneste'!K5/'2022 Lønnsgr pensjon tjeneste'!K5)</f>
        <v>7.186562789987383E-2</v>
      </c>
      <c r="AN5" s="5">
        <f>IF('2022 Lønnsgr pensjon tjeneste'!K5&lt;100,0,C5)</f>
        <v>699827</v>
      </c>
      <c r="AO5" s="59">
        <f t="shared" ref="AO5:AO15" si="8">AN5/$AN$17</f>
        <v>0.12899394868826805</v>
      </c>
      <c r="AP5" s="59">
        <f t="shared" ref="AP5:AP15" si="9">1/$AH$17</f>
        <v>1.0000365210079192</v>
      </c>
      <c r="AQ5" s="59">
        <f>IF(AN5=0,0,(AN5/$AN$17)*AP5*'2022 Pensjon tjeneste'!K5/'2022 Lønnsgr pensjon tjeneste'!K5)</f>
        <v>7.1868252505039476E-2</v>
      </c>
      <c r="AR5" s="5">
        <f>IF(AN5=0,0,'2022 Nto driftsutg landet'!$C$23*'2022 Lønnsand og pensjon landet'!$D$13*('2022 Pensjon tjeneste'!K5/'2022 Lønnsgr pensjon tjeneste'!K5-$AQ$17))</f>
        <v>26.547104988572375</v>
      </c>
      <c r="AS5" s="5">
        <f t="shared" ref="AS5:AS15" si="10">+AR5*$C5/1000</f>
        <v>18578.38084283764</v>
      </c>
      <c r="AT5" s="59">
        <f>IF('2022 Lønnsgr pensjon tjeneste'!L5&lt;100,0,(C5/$C$17)*'2022 Pensjon tjeneste'!L5/'2022 Lønnsgr pensjon tjeneste'!L5)</f>
        <v>0</v>
      </c>
      <c r="AU5" s="5">
        <f>IF('2022 Lønnsgr pensjon tjeneste'!L5&lt;100,0,C5)</f>
        <v>0</v>
      </c>
      <c r="AV5" s="59">
        <f t="shared" ref="AV5:AV15" si="11">AU5/$AU$17</f>
        <v>0</v>
      </c>
      <c r="AW5" s="59">
        <f t="shared" ref="AW5:AW15" si="12">1/$AV$17</f>
        <v>1</v>
      </c>
      <c r="AX5" s="59">
        <f>IF(AU5=0,0,(AU5/$AU$17)*AW5*'2022 Pensjon tjeneste'!L5/'2022 Lønnsgr pensjon tjeneste'!L5)</f>
        <v>0</v>
      </c>
      <c r="AY5" s="5">
        <f>IF(AU5=0,0,'2022 Nto driftsutg landet'!$C$24*'2022 Lønnsand og pensjon landet'!$D$14*('2022 Pensjon tjeneste'!L5/'2022 Lønnsgr pensjon tjeneste'!L5-$AX$17))</f>
        <v>0</v>
      </c>
      <c r="AZ5" s="5">
        <f t="shared" ref="AZ5:AZ15" si="13">+AY5*$C5/1000</f>
        <v>0</v>
      </c>
      <c r="BA5" s="59">
        <f>IF('2022 Lønnsgr pensjon tjeneste'!M5&lt;100,0,(C5/$C$17)*'2022 Pensjon tjeneste'!M5/'2022 Lønnsgr pensjon tjeneste'!M5)</f>
        <v>4.234036668709034E-2</v>
      </c>
      <c r="BB5" s="5">
        <f>IF('2022 Lønnsgr pensjon tjeneste'!M5&lt;100,0,C5)</f>
        <v>699827</v>
      </c>
      <c r="BC5" s="59">
        <f t="shared" ref="BC5:BC15" si="14">BB5/$BB$17</f>
        <v>0.12899394868826805</v>
      </c>
      <c r="BD5" s="59">
        <f t="shared" ref="BD5:BD15" si="15">1/$BC$17</f>
        <v>1</v>
      </c>
      <c r="BE5" s="59">
        <f>IF(BB5=0,0,(BB5/$BB$17)*BD5*'2022 Pensjon tjeneste'!M5/'2022 Lønnsgr pensjon tjeneste'!M5)</f>
        <v>4.234036668709034E-2</v>
      </c>
      <c r="BF5" s="5">
        <f>IF(BB5=0,0,'2022 Nto driftsutg landet'!$C$25*'2022 Lønnsand og pensjon landet'!$D$15*('2022 Pensjon tjeneste'!M5/'2022 Lønnsgr pensjon tjeneste'!M5-$BE$17))</f>
        <v>-0.32740047431171604</v>
      </c>
      <c r="BG5" s="5">
        <f t="shared" ref="BG5:BG15" si="16">+BF5*$C5/1000</f>
        <v>-229.1236917361453</v>
      </c>
      <c r="BH5" s="59">
        <f>IF('2022 Lønnsgr pensjon tjeneste'!N5&lt;100,0,(C5/$C$17)*'2022 Pensjon tjeneste'!N5/'2022 Lønnsgr pensjon tjeneste'!N5)</f>
        <v>4.2662585213592549E-2</v>
      </c>
      <c r="BI5" s="5">
        <f>IF('2022 Lønnsgr pensjon tjeneste'!N5&lt;100,0,C5)</f>
        <v>699827</v>
      </c>
      <c r="BJ5" s="59">
        <f t="shared" ref="BJ5:BJ15" si="17">BI5/$BI$17</f>
        <v>0.12899394868826805</v>
      </c>
      <c r="BK5" s="59">
        <f t="shared" ref="BK5:BK15" si="18">1/$BJ$17</f>
        <v>1</v>
      </c>
      <c r="BL5" s="59">
        <f>IF(BI5=0,0,(BI5/$BI$17)*BK5*'2022 Pensjon tjeneste'!N5/'2022 Lønnsgr pensjon tjeneste'!N5)</f>
        <v>4.2662585213592549E-2</v>
      </c>
      <c r="BM5" s="5">
        <f>IF(BI5=0,0,'2022 Nto driftsutg landet'!$C$26*'2022 Lønnsand og pensjon landet'!$D$16*('2022 Pensjon tjeneste'!N5/'2022 Lønnsgr pensjon tjeneste'!N5-$BL$17))</f>
        <v>4.0910492761613169</v>
      </c>
      <c r="BN5" s="5">
        <f t="shared" ref="BN5:BN15" si="19">+BM5*$C5/1000</f>
        <v>2863.026741788146</v>
      </c>
      <c r="BO5" s="59">
        <f>IF('2022 Lønnsgr pensjon tjeneste'!O5&lt;100,0,(C5/$C$17)*'2022 Pensjon tjeneste'!O5/'2022 Lønnsgr pensjon tjeneste'!O5)</f>
        <v>0</v>
      </c>
      <c r="BP5" s="5">
        <f>IF('2022 Lønnsgr pensjon tjeneste'!O5&lt;100,0,C5)</f>
        <v>0</v>
      </c>
      <c r="BQ5" s="59">
        <f t="shared" ref="BQ5:BQ15" si="20">BP5/$BP$17</f>
        <v>0</v>
      </c>
      <c r="BR5" s="59">
        <f t="shared" ref="BR5:BR15" si="21">1/$BQ$17</f>
        <v>1</v>
      </c>
      <c r="BS5" s="59">
        <f>IF(BP5=0,0,(BP5/$BP$17)*BR5*'2022 Pensjon tjeneste'!O5/'2022 Lønnsgr pensjon tjeneste'!O5)</f>
        <v>0</v>
      </c>
      <c r="BT5" s="5">
        <f>IF(BP5=0,0,'2022 Nto driftsutg landet'!$C$27*'2022 Lønnsand og pensjon landet'!$D$17*('2022 Pensjon tjeneste'!O5/'2022 Lønnsgr pensjon tjeneste'!O5-$BS$17))</f>
        <v>0</v>
      </c>
      <c r="BU5" s="5">
        <f t="shared" ref="BU5:BU15" si="22">+BT5*$C5/1000</f>
        <v>0</v>
      </c>
      <c r="BV5" s="59">
        <f>IF('2022 Lønnsgr pensjon tjeneste'!P5&lt;100,0,(C5/$C$17)*'2022 Pensjon tjeneste'!P5/'2022 Lønnsgr pensjon tjeneste'!P5)</f>
        <v>0</v>
      </c>
      <c r="BW5" s="5">
        <f>IF('2022 Lønnsgr pensjon tjeneste'!P5&lt;100,0,C5)</f>
        <v>0</v>
      </c>
      <c r="BX5" s="59">
        <f t="shared" ref="BX5:BX15" si="23">BW5/$BW$17</f>
        <v>0</v>
      </c>
      <c r="BY5" s="59">
        <f t="shared" ref="BY5:BY15" si="24">1/$BX$17</f>
        <v>1</v>
      </c>
      <c r="BZ5" s="59">
        <f>IF(BW5=0,0,(BW5/$BW$17)*BY5*'2022 Pensjon tjeneste'!P5/'2022 Lønnsgr pensjon tjeneste'!P5)</f>
        <v>0</v>
      </c>
      <c r="CA5" s="5">
        <f>IF(BW5=0,0,'2022 Nto driftsutg landet'!$C$28*'2022 Lønnsand og pensjon landet'!$D$18*('2022 Pensjon tjeneste'!P5/'2022 Lønnsgr pensjon tjeneste'!P5-$BZ$17))</f>
        <v>0</v>
      </c>
      <c r="CB5" s="5">
        <f t="shared" ref="CB5:CB15" si="25">+CA5*$C5/1000</f>
        <v>0</v>
      </c>
      <c r="CC5" s="5"/>
      <c r="CD5" s="5"/>
      <c r="CE5" s="5"/>
    </row>
    <row r="6" spans="1:83" x14ac:dyDescent="0.25">
      <c r="A6" s="43">
        <v>1100</v>
      </c>
      <c r="B6" s="44" t="s">
        <v>141</v>
      </c>
      <c r="C6" s="44">
        <f>+'2022 Nto driftsutg'!W6</f>
        <v>485797</v>
      </c>
      <c r="D6" s="59">
        <f>IF('2022 Lønnsgr pensjon tjeneste'!D6&lt;100,0,(C6/$C$17)*'2022 Revekting utgiftsbehov'!D6*'2022 Pensjon tjeneste'!D6/'2022 Lønnsgr pensjon tjeneste'!D6)</f>
        <v>9.7976231375447188E-3</v>
      </c>
      <c r="E6" s="5">
        <f>IF('2022 Lønnsgr pensjon tjeneste'!D6&lt;100,0,C6)</f>
        <v>485797</v>
      </c>
      <c r="F6" s="59">
        <f>'2022 Revekting utgiftsbehov'!D6*E6/$E$17</f>
        <v>9.5856192846394739E-2</v>
      </c>
      <c r="G6" s="59">
        <f>'2022 Revekting utgiftsbehov'!D6/$F$17</f>
        <v>1.0704814124959241</v>
      </c>
      <c r="H6" s="59">
        <f>IF(E6=0,0,(E6/$E$17)*G6*'2022 Pensjon tjeneste'!D6/'2022 Lønnsgr pensjon tjeneste'!D6)</f>
        <v>9.7974522854604729E-3</v>
      </c>
      <c r="I6" s="5">
        <f>IF(E6=0,0,'2022 Nto driftsutg landet'!$C$5*'2022 Lønnsand og pensjon landet'!$D$6*('2022 Pensjon tjeneste'!D6/'2022 Lønnsgr pensjon tjeneste'!D6-$H$17)*'2022 Revekting utgiftsbehov'!D6)</f>
        <v>28.206284661426931</v>
      </c>
      <c r="J6" s="5">
        <f t="shared" si="3"/>
        <v>13702.528469667219</v>
      </c>
      <c r="K6" s="59">
        <f>IF('2022 Lønnsgr pensjon tjeneste'!E6&lt;100,0,(C6/$C$17)*'2022 Revekting utgiftsbehov'!E6*'2022 Pensjon tjeneste'!E6/'2022 Lønnsgr pensjon tjeneste'!E6)</f>
        <v>1.1546982958464099E-2</v>
      </c>
      <c r="L6" s="5">
        <f>IF('2022 Lønnsgr pensjon tjeneste'!E6&lt;100,0,C6)</f>
        <v>485797</v>
      </c>
      <c r="M6" s="59">
        <f>'2022 Revekting utgiftsbehov'!E6*L6/$L$17</f>
        <v>8.3006101416091563E-2</v>
      </c>
      <c r="N6" s="59">
        <f>'2022 Revekting utgiftsbehov'!E6/$M$17</f>
        <v>0.72810241445037605</v>
      </c>
      <c r="O6" s="59">
        <f>IF(L6=0,0,(L6/$L$17)*N6*'2022 Pensjon tjeneste'!E6/'2022 Lønnsgr pensjon tjeneste'!E6)</f>
        <v>1.1954794270660343E-2</v>
      </c>
      <c r="P6" s="5">
        <f>IF(L6=0,0,'2022 Nto driftsutg landet'!$C$6*'2022 Lønnsand og pensjon landet'!$D$7*('2022 Pensjon tjeneste'!E6/'2022 Lønnsgr pensjon tjeneste'!E6-$O$17)*'2022 Revekting utgiftsbehov'!E6)</f>
        <v>-14.163412786674304</v>
      </c>
      <c r="Q6" s="5">
        <f t="shared" si="4"/>
        <v>-6880.543441528017</v>
      </c>
      <c r="R6" s="59">
        <f>IF('2022 Lønnsgr pensjon tjeneste'!F6&lt;100,0,(C6/$C$17)*'2022 Revekting utgiftsbehov'!F6*'2022 Pensjon tjeneste'!F6/'2022 Lønnsgr pensjon tjeneste'!F6)</f>
        <v>1.4875975957974356E-2</v>
      </c>
      <c r="S6" s="5">
        <f>IF('2022 Lønnsgr pensjon tjeneste'!F6&lt;100,0,C6)</f>
        <v>485797</v>
      </c>
      <c r="T6" s="59">
        <f>'2022 Revekting utgiftsbehov'!F6*S6/$S$17</f>
        <v>9.1437083894176693E-2</v>
      </c>
      <c r="U6" s="59">
        <f>'2022 Revekting utgiftsbehov'!F6/$T$17</f>
        <v>1.020845242111033</v>
      </c>
      <c r="V6" s="59">
        <f>IF(S6=0,0,(S6/$S$17)*U6*'2022 Pensjon tjeneste'!F6/'2022 Lønnsgr pensjon tjeneste'!F6)</f>
        <v>1.4871558422587319E-2</v>
      </c>
      <c r="W6" s="5">
        <f>IF(S6=0,0,'2022 Nto driftsutg landet'!$C$7*'2022 Lønnsand og pensjon landet'!$D$8*('2022 Pensjon tjeneste'!F6/'2022 Lønnsgr pensjon tjeneste'!F6-$V$17)*'2022 Revekting utgiftsbehov'!F6)</f>
        <v>-1.228826867805719</v>
      </c>
      <c r="X6" s="5">
        <f t="shared" si="5"/>
        <v>-596.96040589941492</v>
      </c>
      <c r="Y6" s="59">
        <f>IF('2022 Lønnsgr pensjon tjeneste'!G6&lt;100,0,(C6/$C$17)*'2022 Revekting utgiftsbehov'!G6*'2022 Pensjon tjeneste'!G6/'2022 Lønnsgr pensjon tjeneste'!G6)</f>
        <v>1.3069731128245497E-2</v>
      </c>
      <c r="Z6" s="5">
        <f>IF('2022 Lønnsgr pensjon tjeneste'!G6&lt;100,0,C6)</f>
        <v>485797</v>
      </c>
      <c r="AA6" s="59">
        <f>'2022 Revekting utgiftsbehov'!G6*Z6/$Z$17</f>
        <v>0.15220471566903995</v>
      </c>
      <c r="AB6" s="59">
        <f>'2022 Revekting utgiftsbehov'!G6/$AA$17</f>
        <v>0.45785301083410479</v>
      </c>
      <c r="AC6" s="59">
        <f>IF(Z6=0,0,(Z6/$Z$17)*AB6*'2022 Pensjon tjeneste'!G6/'2022 Lønnsgr pensjon tjeneste'!G6)</f>
        <v>1.8138971505273709E-2</v>
      </c>
      <c r="AD6" s="5">
        <f>IF(Z6=0,0,'2022 Nto driftsutg landet'!$C$8*'2022 Lønnsand og pensjon landet'!$D$9*('2022 Pensjon tjeneste'!G6/'2022 Lønnsgr pensjon tjeneste'!G6-$AC$17)*'2022 Revekting utgiftsbehov'!G6)</f>
        <v>-9.5010577246476373E-3</v>
      </c>
      <c r="AE6" s="5">
        <f t="shared" si="6"/>
        <v>-4.6155853394606483</v>
      </c>
      <c r="AF6" s="59">
        <f>IF('2022 Lønnsgr pensjon tjeneste'!H6&lt;100,0,(C6/$C$17)*'2022 Revekting utgiftsbehov'!H6*'2022 Pensjon tjeneste'!H6/'2022 Lønnsgr pensjon tjeneste'!H6)</f>
        <v>1.8340007902922718E-2</v>
      </c>
      <c r="AG6" s="5">
        <f>IF('2022 Lønnsgr pensjon tjeneste'!H6&lt;100,0,C6)</f>
        <v>485797</v>
      </c>
      <c r="AH6" s="59">
        <f>'2022 Revekting utgiftsbehov'!H6*AG6/$AG$17</f>
        <v>9.6355736545718454E-2</v>
      </c>
      <c r="AI6" s="59">
        <f>'2022 Revekting utgiftsbehov'!H6/$AH$17</f>
        <v>1.0761181694849329</v>
      </c>
      <c r="AJ6" s="59">
        <f>IF(AG6=0,0,(AG6/$AG$17)*AI6*'2022 Pensjon tjeneste'!H6/'2022 Lønnsgr pensjon tjeneste'!H6)</f>
        <v>1.834067769849658E-2</v>
      </c>
      <c r="AK6" s="5">
        <f>IF(AG6=0,0,'2022 Nto driftsutg landet'!$C$9*'2022 Lønnsand og pensjon landet'!$D$10*('2022 Pensjon tjeneste'!H6/'2022 Lønnsgr pensjon tjeneste'!H6-$AJ$17)*'2022 Revekting utgiftsbehov'!H6)</f>
        <v>-0.96831833069352768</v>
      </c>
      <c r="AL6" s="5">
        <f t="shared" si="7"/>
        <v>-470.40614009592366</v>
      </c>
      <c r="AM6" s="59">
        <f>IF('2022 Lønnsgr pensjon tjeneste'!K6&lt;100,0,(C6/$C$17)*'2022 Pensjon tjeneste'!K6/'2022 Lønnsgr pensjon tjeneste'!K6)</f>
        <v>1.4062633715506218E-2</v>
      </c>
      <c r="AN6" s="5">
        <f>IF('2022 Lønnsgr pensjon tjeneste'!K6&lt;100,0,C6)</f>
        <v>485797</v>
      </c>
      <c r="AO6" s="59">
        <f t="shared" si="8"/>
        <v>8.9543377564618901E-2</v>
      </c>
      <c r="AP6" s="59">
        <f t="shared" si="9"/>
        <v>1.0000365210079192</v>
      </c>
      <c r="AQ6" s="59">
        <f>IF(AN6=0,0,(AN6/$AN$17)*AP6*'2022 Pensjon tjeneste'!K6/'2022 Lønnsgr pensjon tjeneste'!K6)</f>
        <v>1.4063147297063507E-2</v>
      </c>
      <c r="AR6" s="5">
        <f>IF(AN6=0,0,'2022 Nto driftsutg landet'!$C$23*'2022 Lønnsand og pensjon landet'!$D$13*('2022 Pensjon tjeneste'!K6/'2022 Lønnsgr pensjon tjeneste'!K6-$AQ$17))</f>
        <v>-105.68441678504875</v>
      </c>
      <c r="AS6" s="5">
        <f t="shared" si="10"/>
        <v>-51341.172620926329</v>
      </c>
      <c r="AT6" s="59">
        <f>IF('2022 Lønnsgr pensjon tjeneste'!L6&lt;100,0,(C6/$C$17)*'2022 Pensjon tjeneste'!L6/'2022 Lønnsgr pensjon tjeneste'!L6)</f>
        <v>1.4773768003389098E-2</v>
      </c>
      <c r="AU6" s="5">
        <f>IF('2022 Lønnsgr pensjon tjeneste'!L6&lt;100,0,C6)</f>
        <v>485797</v>
      </c>
      <c r="AV6" s="59">
        <f t="shared" si="11"/>
        <v>0.10280454128850988</v>
      </c>
      <c r="AW6" s="59">
        <f t="shared" si="12"/>
        <v>1</v>
      </c>
      <c r="AX6" s="59">
        <f>IF(AU6=0,0,(AU6/$AU$17)*AW6*'2022 Pensjon tjeneste'!L6/'2022 Lønnsgr pensjon tjeneste'!L6)</f>
        <v>1.6961728315365729E-2</v>
      </c>
      <c r="AY6" s="5">
        <f>IF(AU6=0,0,'2022 Nto driftsutg landet'!$C$24*'2022 Lønnsand og pensjon landet'!$D$14*('2022 Pensjon tjeneste'!L6/'2022 Lønnsgr pensjon tjeneste'!L6-$AX$17))</f>
        <v>0.1462921251963433</v>
      </c>
      <c r="AZ6" s="5">
        <f t="shared" si="13"/>
        <v>71.068275544007975</v>
      </c>
      <c r="BA6" s="59">
        <f>IF('2022 Lønnsgr pensjon tjeneste'!M6&lt;100,0,(C6/$C$17)*'2022 Pensjon tjeneste'!M6/'2022 Lønnsgr pensjon tjeneste'!M6)</f>
        <v>1.5157987505114864E-2</v>
      </c>
      <c r="BB6" s="5">
        <f>IF('2022 Lønnsgr pensjon tjeneste'!M6&lt;100,0,C6)</f>
        <v>485797</v>
      </c>
      <c r="BC6" s="59">
        <f t="shared" si="14"/>
        <v>8.9543377564618901E-2</v>
      </c>
      <c r="BD6" s="59">
        <f t="shared" si="15"/>
        <v>1</v>
      </c>
      <c r="BE6" s="59">
        <f>IF(BB6=0,0,(BB6/$BB$17)*BD6*'2022 Pensjon tjeneste'!M6/'2022 Lønnsgr pensjon tjeneste'!M6)</f>
        <v>1.5157987505114864E-2</v>
      </c>
      <c r="BF6" s="5">
        <f>IF(BB6=0,0,'2022 Nto driftsutg landet'!$C$25*'2022 Lønnsand og pensjon landet'!$D$15*('2022 Pensjon tjeneste'!M6/'2022 Lønnsgr pensjon tjeneste'!M6-$BE$17))</f>
        <v>2.14873258248434E-2</v>
      </c>
      <c r="BG6" s="5">
        <f t="shared" si="16"/>
        <v>10.438478423731448</v>
      </c>
      <c r="BH6" s="59">
        <f>IF('2022 Lønnsgr pensjon tjeneste'!N6&lt;100,0,(C6/$C$17)*'2022 Pensjon tjeneste'!N6/'2022 Lønnsgr pensjon tjeneste'!N6)</f>
        <v>1.4800838185845547E-2</v>
      </c>
      <c r="BI6" s="5">
        <f>IF('2022 Lønnsgr pensjon tjeneste'!N6&lt;100,0,C6)</f>
        <v>485797</v>
      </c>
      <c r="BJ6" s="59">
        <f t="shared" si="17"/>
        <v>8.9543377564618901E-2</v>
      </c>
      <c r="BK6" s="59">
        <f t="shared" si="18"/>
        <v>1</v>
      </c>
      <c r="BL6" s="59">
        <f>IF(BI6=0,0,(BI6/$BI$17)*BK6*'2022 Pensjon tjeneste'!N6/'2022 Lønnsgr pensjon tjeneste'!N6)</f>
        <v>1.4800838185845547E-2</v>
      </c>
      <c r="BM6" s="5">
        <f>IF(BI6=0,0,'2022 Nto driftsutg landet'!$C$26*'2022 Lønnsand og pensjon landet'!$D$16*('2022 Pensjon tjeneste'!N6/'2022 Lønnsgr pensjon tjeneste'!N6-$BL$17))</f>
        <v>-0.24187775853310844</v>
      </c>
      <c r="BN6" s="5">
        <f t="shared" si="19"/>
        <v>-117.50348946210848</v>
      </c>
      <c r="BO6" s="59">
        <f>IF('2022 Lønnsgr pensjon tjeneste'!O6&lt;100,0,(C6/$C$17)*'2022 Pensjon tjeneste'!O6/'2022 Lønnsgr pensjon tjeneste'!O6)</f>
        <v>0</v>
      </c>
      <c r="BP6" s="5">
        <f>IF('2022 Lønnsgr pensjon tjeneste'!O6&lt;100,0,C6)</f>
        <v>0</v>
      </c>
      <c r="BQ6" s="59">
        <f t="shared" si="20"/>
        <v>0</v>
      </c>
      <c r="BR6" s="59">
        <f t="shared" si="21"/>
        <v>1</v>
      </c>
      <c r="BS6" s="59">
        <f>IF(BP6=0,0,(BP6/$BP$17)*BR6*'2022 Pensjon tjeneste'!O6/'2022 Lønnsgr pensjon tjeneste'!O6)</f>
        <v>0</v>
      </c>
      <c r="BT6" s="5">
        <f>IF(BP6=0,0,'2022 Nto driftsutg landet'!$C$27*'2022 Lønnsand og pensjon landet'!$D$17*('2022 Pensjon tjeneste'!O6/'2022 Lønnsgr pensjon tjeneste'!O6-$BS$17))</f>
        <v>0</v>
      </c>
      <c r="BU6" s="5">
        <f t="shared" si="22"/>
        <v>0</v>
      </c>
      <c r="BV6" s="59">
        <f>IF('2022 Lønnsgr pensjon tjeneste'!P6&lt;100,0,(C6/$C$17)*'2022 Pensjon tjeneste'!P6/'2022 Lønnsgr pensjon tjeneste'!P6)</f>
        <v>8.482125551693552E-3</v>
      </c>
      <c r="BW6" s="5">
        <f>IF('2022 Lønnsgr pensjon tjeneste'!P6&lt;100,0,C6)</f>
        <v>485797</v>
      </c>
      <c r="BX6" s="59">
        <f t="shared" si="23"/>
        <v>0.1439816171861408</v>
      </c>
      <c r="BY6" s="59">
        <f t="shared" si="24"/>
        <v>1</v>
      </c>
      <c r="BZ6" s="59">
        <f>IF(BW6=0,0,(BW6/$BW$17)*BY6*'2022 Pensjon tjeneste'!P6/'2022 Lønnsgr pensjon tjeneste'!P6)</f>
        <v>1.363886629390762E-2</v>
      </c>
      <c r="CA6" s="5">
        <f>IF(BW6=0,0,'2022 Nto driftsutg landet'!$C$28*'2022 Lønnsand og pensjon landet'!$D$18*('2022 Pensjon tjeneste'!P6/'2022 Lønnsgr pensjon tjeneste'!P6-$BZ$17))</f>
        <v>5.0885002780894284E-3</v>
      </c>
      <c r="CB6" s="5">
        <f t="shared" si="25"/>
        <v>2.47197816959501</v>
      </c>
      <c r="CC6" s="5"/>
      <c r="CD6" s="5"/>
      <c r="CE6" s="5"/>
    </row>
    <row r="7" spans="1:83" x14ac:dyDescent="0.25">
      <c r="A7" s="43">
        <v>1500</v>
      </c>
      <c r="B7" s="44" t="s">
        <v>142</v>
      </c>
      <c r="C7" s="44">
        <f>+'2022 Nto driftsutg'!W7</f>
        <v>265848</v>
      </c>
      <c r="D7" s="59">
        <f>IF('2022 Lønnsgr pensjon tjeneste'!D7&lt;100,0,(C7/$C$17)*'2022 Revekting utgiftsbehov'!D7*'2022 Pensjon tjeneste'!D7/'2022 Lønnsgr pensjon tjeneste'!D7)</f>
        <v>5.4040466726355688E-3</v>
      </c>
      <c r="E7" s="5">
        <f>IF('2022 Lønnsgr pensjon tjeneste'!D7&lt;100,0,C7)</f>
        <v>265848</v>
      </c>
      <c r="F7" s="59">
        <f>'2022 Revekting utgiftsbehov'!D7*E7/$E$17</f>
        <v>5.458473231657042E-2</v>
      </c>
      <c r="G7" s="59">
        <f>'2022 Revekting utgiftsbehov'!D7/$F$17</f>
        <v>1.1139137651043338</v>
      </c>
      <c r="H7" s="59">
        <f>IF(E7=0,0,(E7/$E$17)*G7*'2022 Pensjon tjeneste'!D7/'2022 Lønnsgr pensjon tjeneste'!D7)</f>
        <v>5.4039524362453307E-3</v>
      </c>
      <c r="I7" s="5">
        <f>IF(E7=0,0,'2022 Nto driftsutg landet'!$C$5*'2022 Lønnsand og pensjon landet'!$D$6*('2022 Pensjon tjeneste'!D7/'2022 Lønnsgr pensjon tjeneste'!D7-$H$17)*'2022 Revekting utgiftsbehov'!D7)</f>
        <v>16.573262990160959</v>
      </c>
      <c r="J7" s="5">
        <f t="shared" si="3"/>
        <v>4405.968819408311</v>
      </c>
      <c r="K7" s="59">
        <f>IF('2022 Lønnsgr pensjon tjeneste'!E7&lt;100,0,(C7/$C$17)*'2022 Revekting utgiftsbehov'!E7*'2022 Pensjon tjeneste'!E7/'2022 Lønnsgr pensjon tjeneste'!E7)</f>
        <v>3.6964733279840539E-2</v>
      </c>
      <c r="L7" s="5">
        <f>IF('2022 Lønnsgr pensjon tjeneste'!E7&lt;100,0,C7)</f>
        <v>265848</v>
      </c>
      <c r="M7" s="59">
        <f>'2022 Revekting utgiftsbehov'!E7*L7/$L$17</f>
        <v>8.7049336860158935E-2</v>
      </c>
      <c r="N7" s="59">
        <f>'2022 Revekting utgiftsbehov'!E7/$M$17</f>
        <v>1.3953056496005194</v>
      </c>
      <c r="O7" s="59">
        <f>IF(L7=0,0,(L7/$L$17)*N7*'2022 Pensjon tjeneste'!E7/'2022 Lønnsgr pensjon tjeneste'!E7)</f>
        <v>3.8270237621369503E-2</v>
      </c>
      <c r="P7" s="5">
        <f>IF(L7=0,0,'2022 Nto driftsutg landet'!$C$6*'2022 Lønnsand og pensjon landet'!$D$7*('2022 Pensjon tjeneste'!E7/'2022 Lønnsgr pensjon tjeneste'!E7-$O$17)*'2022 Revekting utgiftsbehov'!E7)</f>
        <v>32.150850458298557</v>
      </c>
      <c r="Q7" s="5">
        <f t="shared" si="4"/>
        <v>8547.2392926377543</v>
      </c>
      <c r="R7" s="59">
        <f>IF('2022 Lønnsgr pensjon tjeneste'!F7&lt;100,0,(C7/$C$17)*'2022 Revekting utgiftsbehov'!F7*'2022 Pensjon tjeneste'!F7/'2022 Lønnsgr pensjon tjeneste'!F7)</f>
        <v>1.2594869082488386E-2</v>
      </c>
      <c r="S7" s="5">
        <f>IF('2022 Lønnsgr pensjon tjeneste'!F7&lt;100,0,C7)</f>
        <v>265848</v>
      </c>
      <c r="T7" s="59">
        <f>'2022 Revekting utgiftsbehov'!F7*S7/$S$17</f>
        <v>4.8776376867628694E-2</v>
      </c>
      <c r="U7" s="59">
        <f>'2022 Revekting utgiftsbehov'!F7/$T$17</f>
        <v>0.99510408841508025</v>
      </c>
      <c r="V7" s="59">
        <f>IF(S7=0,0,(S7/$S$17)*U7*'2022 Pensjon tjeneste'!F7/'2022 Lønnsgr pensjon tjeneste'!F7)</f>
        <v>1.2591128939319013E-2</v>
      </c>
      <c r="W7" s="5">
        <f>IF(S7=0,0,'2022 Nto driftsutg landet'!$C$7*'2022 Lønnsand og pensjon landet'!$D$8*('2022 Pensjon tjeneste'!F7/'2022 Lønnsgr pensjon tjeneste'!F7-$V$17)*'2022 Revekting utgiftsbehov'!F7)</f>
        <v>2.2283229527754331</v>
      </c>
      <c r="X7" s="5">
        <f t="shared" si="5"/>
        <v>592.39520034944337</v>
      </c>
      <c r="Y7" s="59">
        <f>IF('2022 Lønnsgr pensjon tjeneste'!G7&lt;100,0,(C7/$C$17)*'2022 Revekting utgiftsbehov'!G7*'2022 Pensjon tjeneste'!G7/'2022 Lønnsgr pensjon tjeneste'!G7)</f>
        <v>2.9675776402698164E-2</v>
      </c>
      <c r="Z7" s="5">
        <f>IF('2022 Lønnsgr pensjon tjeneste'!G7&lt;100,0,C7)</f>
        <v>265848</v>
      </c>
      <c r="AA7" s="59">
        <f>'2022 Revekting utgiftsbehov'!G7*Z7/$Z$17</f>
        <v>0.34297415324440217</v>
      </c>
      <c r="AB7" s="59">
        <f>'2022 Revekting utgiftsbehov'!G7/$AA$17</f>
        <v>1.8853013997753012</v>
      </c>
      <c r="AC7" s="59">
        <f>IF(Z7=0,0,(Z7/$Z$17)*AB7*'2022 Pensjon tjeneste'!G7/'2022 Lønnsgr pensjon tjeneste'!G7)</f>
        <v>4.1185855874425838E-2</v>
      </c>
      <c r="AD7" s="5">
        <f>IF(Z7=0,0,'2022 Nto driftsutg landet'!$C$8*'2022 Lønnsand og pensjon landet'!$D$9*('2022 Pensjon tjeneste'!G7/'2022 Lønnsgr pensjon tjeneste'!G7-$AC$17)*'2022 Revekting utgiftsbehov'!G7)</f>
        <v>-1.6297524226749505E-2</v>
      </c>
      <c r="AE7" s="5">
        <f t="shared" si="6"/>
        <v>-4.3326642206329025</v>
      </c>
      <c r="AF7" s="59">
        <f>IF('2022 Lønnsgr pensjon tjeneste'!H7&lt;100,0,(C7/$C$17)*'2022 Revekting utgiftsbehov'!H7*'2022 Pensjon tjeneste'!H7/'2022 Lønnsgr pensjon tjeneste'!H7)</f>
        <v>1.0544728553075774E-2</v>
      </c>
      <c r="AG7" s="5">
        <f>IF('2022 Lønnsgr pensjon tjeneste'!H7&lt;100,0,C7)</f>
        <v>265848</v>
      </c>
      <c r="AH7" s="59">
        <f>'2022 Revekting utgiftsbehov'!H7*AG7/$AG$17</f>
        <v>5.0474067778318865E-2</v>
      </c>
      <c r="AI7" s="59">
        <f>'2022 Revekting utgiftsbehov'!H7/$AH$17</f>
        <v>1.0300827782874455</v>
      </c>
      <c r="AJ7" s="59">
        <f>IF(AG7=0,0,(AG7/$AG$17)*AI7*'2022 Pensjon tjeneste'!H7/'2022 Lønnsgr pensjon tjeneste'!H7)</f>
        <v>1.0545113657190771E-2</v>
      </c>
      <c r="AK7" s="5">
        <f>IF(AG7=0,0,'2022 Nto driftsutg landet'!$C$9*'2022 Lønnsand og pensjon landet'!$D$10*('2022 Pensjon tjeneste'!H7/'2022 Lønnsgr pensjon tjeneste'!H7-$AJ$17)*'2022 Revekting utgiftsbehov'!H7)</f>
        <v>4.441881766783097</v>
      </c>
      <c r="AL7" s="5">
        <f t="shared" si="7"/>
        <v>1180.8653839357528</v>
      </c>
      <c r="AM7" s="59">
        <f>IF('2022 Lønnsgr pensjon tjeneste'!K7&lt;100,0,(C7/$C$17)*'2022 Pensjon tjeneste'!K7/'2022 Lønnsgr pensjon tjeneste'!K7)</f>
        <v>9.4417816859546956E-3</v>
      </c>
      <c r="AN7" s="5">
        <f>IF('2022 Lønnsgr pensjon tjeneste'!K7&lt;100,0,C7)</f>
        <v>265848</v>
      </c>
      <c r="AO7" s="59">
        <f t="shared" si="8"/>
        <v>4.9001800832032323E-2</v>
      </c>
      <c r="AP7" s="59">
        <f t="shared" si="9"/>
        <v>1.0000365210079192</v>
      </c>
      <c r="AQ7" s="59">
        <f>IF(AN7=0,0,(AN7/$AN$17)*AP7*'2022 Pensjon tjeneste'!K7/'2022 Lønnsgr pensjon tjeneste'!K7)</f>
        <v>9.442126509338419E-3</v>
      </c>
      <c r="AR7" s="5">
        <f>IF(AN7=0,0,'2022 Nto driftsutg landet'!$C$23*'2022 Lønnsand og pensjon landet'!$D$13*('2022 Pensjon tjeneste'!K7/'2022 Lønnsgr pensjon tjeneste'!K7-$AQ$17))</f>
        <v>-93.906782777956451</v>
      </c>
      <c r="AS7" s="5">
        <f t="shared" si="10"/>
        <v>-24964.930387954169</v>
      </c>
      <c r="AT7" s="59">
        <f>IF('2022 Lønnsgr pensjon tjeneste'!L7&lt;100,0,(C7/$C$17)*'2022 Pensjon tjeneste'!L7/'2022 Lønnsgr pensjon tjeneste'!L7)</f>
        <v>9.3626731457339823E-3</v>
      </c>
      <c r="AU7" s="5">
        <f>IF('2022 Lønnsgr pensjon tjeneste'!L7&lt;100,0,C7)</f>
        <v>265848</v>
      </c>
      <c r="AV7" s="59">
        <f t="shared" si="11"/>
        <v>5.6258852344637317E-2</v>
      </c>
      <c r="AW7" s="59">
        <f t="shared" si="12"/>
        <v>1</v>
      </c>
      <c r="AX7" s="59">
        <f>IF(AU7=0,0,(AU7/$AU$17)*AW7*'2022 Pensjon tjeneste'!L7/'2022 Lønnsgr pensjon tjeneste'!L7)</f>
        <v>1.0749263029382896E-2</v>
      </c>
      <c r="AY7" s="5">
        <f>IF(AU7=0,0,'2022 Nto driftsutg landet'!$C$24*'2022 Lønnsand og pensjon landet'!$D$14*('2022 Pensjon tjeneste'!L7/'2022 Lønnsgr pensjon tjeneste'!L7-$AX$17))</f>
        <v>1.415243373231055</v>
      </c>
      <c r="AZ7" s="5">
        <f t="shared" si="13"/>
        <v>376.23962028672946</v>
      </c>
      <c r="BA7" s="59">
        <f>IF('2022 Lønnsgr pensjon tjeneste'!M7&lt;100,0,(C7/$C$17)*'2022 Pensjon tjeneste'!M7/'2022 Lønnsgr pensjon tjeneste'!M7)</f>
        <v>9.6477158148050943E-3</v>
      </c>
      <c r="BB7" s="5">
        <f>IF('2022 Lønnsgr pensjon tjeneste'!M7&lt;100,0,C7)</f>
        <v>265848</v>
      </c>
      <c r="BC7" s="59">
        <f t="shared" si="14"/>
        <v>4.9001800832032323E-2</v>
      </c>
      <c r="BD7" s="59">
        <f t="shared" si="15"/>
        <v>1</v>
      </c>
      <c r="BE7" s="59">
        <f>IF(BB7=0,0,(BB7/$BB$17)*BD7*'2022 Pensjon tjeneste'!M7/'2022 Lønnsgr pensjon tjeneste'!M7)</f>
        <v>9.6477158148050943E-3</v>
      </c>
      <c r="BF7" s="5">
        <f>IF(BB7=0,0,'2022 Nto driftsutg landet'!$C$25*'2022 Lønnsand og pensjon landet'!$D$15*('2022 Pensjon tjeneste'!M7/'2022 Lønnsgr pensjon tjeneste'!M7-$BE$17))</f>
        <v>-3.9100457094664975E-2</v>
      </c>
      <c r="BG7" s="5">
        <f t="shared" si="16"/>
        <v>-10.394778317702494</v>
      </c>
      <c r="BH7" s="59">
        <f>IF('2022 Lønnsgr pensjon tjeneste'!N7&lt;100,0,(C7/$C$17)*'2022 Pensjon tjeneste'!N7/'2022 Lønnsgr pensjon tjeneste'!N7)</f>
        <v>1.0116523582158614E-2</v>
      </c>
      <c r="BI7" s="5">
        <f>IF('2022 Lønnsgr pensjon tjeneste'!N7&lt;100,0,C7)</f>
        <v>265848</v>
      </c>
      <c r="BJ7" s="59">
        <f t="shared" si="17"/>
        <v>4.9001800832032323E-2</v>
      </c>
      <c r="BK7" s="59">
        <f t="shared" si="18"/>
        <v>1</v>
      </c>
      <c r="BL7" s="59">
        <f>IF(BI7=0,0,(BI7/$BI$17)*BK7*'2022 Pensjon tjeneste'!N7/'2022 Lønnsgr pensjon tjeneste'!N7)</f>
        <v>1.0116523582158614E-2</v>
      </c>
      <c r="BM7" s="5">
        <f>IF(BI7=0,0,'2022 Nto driftsutg landet'!$C$26*'2022 Lønnsand og pensjon landet'!$D$16*('2022 Pensjon tjeneste'!N7/'2022 Lønnsgr pensjon tjeneste'!N7-$BL$17))</f>
        <v>0.83610243558762598</v>
      </c>
      <c r="BN7" s="5">
        <f t="shared" si="19"/>
        <v>222.27616029609919</v>
      </c>
      <c r="BO7" s="59">
        <f>IF('2022 Lønnsgr pensjon tjeneste'!O7&lt;100,0,(C7/$C$17)*'2022 Pensjon tjeneste'!O7/'2022 Lønnsgr pensjon tjeneste'!O7)</f>
        <v>0</v>
      </c>
      <c r="BP7" s="5">
        <f>IF('2022 Lønnsgr pensjon tjeneste'!O7&lt;100,0,C7)</f>
        <v>0</v>
      </c>
      <c r="BQ7" s="59">
        <f t="shared" si="20"/>
        <v>0</v>
      </c>
      <c r="BR7" s="59">
        <f t="shared" si="21"/>
        <v>1</v>
      </c>
      <c r="BS7" s="59">
        <f>IF(BP7=0,0,(BP7/$BP$17)*BR7*'2022 Pensjon tjeneste'!O7/'2022 Lønnsgr pensjon tjeneste'!O7)</f>
        <v>0</v>
      </c>
      <c r="BT7" s="5">
        <f>IF(BP7=0,0,'2022 Nto driftsutg landet'!$C$27*'2022 Lønnsand og pensjon landet'!$D$17*('2022 Pensjon tjeneste'!O7/'2022 Lønnsgr pensjon tjeneste'!O7-$BS$17))</f>
        <v>0</v>
      </c>
      <c r="BU7" s="5">
        <f t="shared" si="22"/>
        <v>0</v>
      </c>
      <c r="BV7" s="59">
        <f>IF('2022 Lønnsgr pensjon tjeneste'!P7&lt;100,0,(C7/$C$17)*'2022 Pensjon tjeneste'!P7/'2022 Lønnsgr pensjon tjeneste'!P7)</f>
        <v>0</v>
      </c>
      <c r="BW7" s="5">
        <f>IF('2022 Lønnsgr pensjon tjeneste'!P7&lt;100,0,C7)</f>
        <v>0</v>
      </c>
      <c r="BX7" s="59">
        <f t="shared" si="23"/>
        <v>0</v>
      </c>
      <c r="BY7" s="59">
        <f t="shared" si="24"/>
        <v>1</v>
      </c>
      <c r="BZ7" s="59">
        <f>IF(BW7=0,0,(BW7/$BW$17)*BY7*'2022 Pensjon tjeneste'!P7/'2022 Lønnsgr pensjon tjeneste'!P7)</f>
        <v>0</v>
      </c>
      <c r="CA7" s="5">
        <f>IF(BW7=0,0,'2022 Nto driftsutg landet'!$C$28*'2022 Lønnsand og pensjon landet'!$D$18*('2022 Pensjon tjeneste'!P7/'2022 Lønnsgr pensjon tjeneste'!P7-$BZ$17))</f>
        <v>0</v>
      </c>
      <c r="CB7" s="5">
        <f t="shared" si="25"/>
        <v>0</v>
      </c>
      <c r="CC7" s="5"/>
      <c r="CD7" s="5"/>
      <c r="CE7" s="5"/>
    </row>
    <row r="8" spans="1:83" x14ac:dyDescent="0.25">
      <c r="A8" s="43">
        <v>1800</v>
      </c>
      <c r="B8" s="44" t="s">
        <v>143</v>
      </c>
      <c r="C8" s="44">
        <f>+'2022 Nto driftsutg'!W8</f>
        <v>240190</v>
      </c>
      <c r="D8" s="59">
        <f>IF('2022 Lønnsgr pensjon tjeneste'!D8&lt;100,0,(C8/$C$17)*'2022 Revekting utgiftsbehov'!D8*'2022 Pensjon tjeneste'!D8/'2022 Lønnsgr pensjon tjeneste'!D8)</f>
        <v>5.5043336020607582E-3</v>
      </c>
      <c r="E8" s="5">
        <f>IF('2022 Lønnsgr pensjon tjeneste'!D8&lt;100,0,C8)</f>
        <v>240190</v>
      </c>
      <c r="F8" s="59">
        <f>'2022 Revekting utgiftsbehov'!D8*E8/$E$17</f>
        <v>4.7546162732417005E-2</v>
      </c>
      <c r="G8" s="59">
        <f>'2022 Revekting utgiftsbehov'!D8/$F$17</f>
        <v>1.0739259424287657</v>
      </c>
      <c r="H8" s="59">
        <f>IF(E8=0,0,(E8/$E$17)*G8*'2022 Pensjon tjeneste'!D8/'2022 Lønnsgr pensjon tjeneste'!D8)</f>
        <v>5.5042376168554594E-3</v>
      </c>
      <c r="I8" s="5">
        <f>IF(E8=0,0,'2022 Nto driftsutg landet'!$C$5*'2022 Lønnsand og pensjon landet'!$D$6*('2022 Pensjon tjeneste'!D8/'2022 Lønnsgr pensjon tjeneste'!D8-$H$17)*'2022 Revekting utgiftsbehov'!D8)</f>
        <v>80.341326806397205</v>
      </c>
      <c r="J8" s="5">
        <f t="shared" si="3"/>
        <v>19297.183285628547</v>
      </c>
      <c r="K8" s="59">
        <f>IF('2022 Lønnsgr pensjon tjeneste'!E8&lt;100,0,(C8/$C$17)*'2022 Revekting utgiftsbehov'!E8*'2022 Pensjon tjeneste'!E8/'2022 Lønnsgr pensjon tjeneste'!E8)</f>
        <v>2.8718019419089073E-2</v>
      </c>
      <c r="L8" s="5">
        <f>IF('2022 Lønnsgr pensjon tjeneste'!E8&lt;100,0,C8)</f>
        <v>240190</v>
      </c>
      <c r="M8" s="59">
        <f>'2022 Revekting utgiftsbehov'!E8*L8/$L$17</f>
        <v>8.9132068324006872E-2</v>
      </c>
      <c r="N8" s="59">
        <f>'2022 Revekting utgiftsbehov'!E8/$M$17</f>
        <v>1.5813075535186731</v>
      </c>
      <c r="O8" s="59">
        <f>IF(L8=0,0,(L8/$L$17)*N8*'2022 Pensjon tjeneste'!E8/'2022 Lønnsgr pensjon tjeneste'!E8)</f>
        <v>2.9732269914227394E-2</v>
      </c>
      <c r="P8" s="5">
        <f>IF(L8=0,0,'2022 Nto driftsutg landet'!$C$6*'2022 Lønnsand og pensjon landet'!$D$7*('2022 Pensjon tjeneste'!E8/'2022 Lønnsgr pensjon tjeneste'!E8-$O$17)*'2022 Revekting utgiftsbehov'!E8)</f>
        <v>12.327267553333954</v>
      </c>
      <c r="Q8" s="5">
        <f t="shared" si="4"/>
        <v>2960.8863936352823</v>
      </c>
      <c r="R8" s="59">
        <f>IF('2022 Lønnsgr pensjon tjeneste'!F8&lt;100,0,(C8/$C$17)*'2022 Revekting utgiftsbehov'!F8*'2022 Pensjon tjeneste'!F8/'2022 Lønnsgr pensjon tjeneste'!F8)</f>
        <v>1.0849224464492744E-2</v>
      </c>
      <c r="S8" s="5">
        <f>IF('2022 Lønnsgr pensjon tjeneste'!F8&lt;100,0,C8)</f>
        <v>240190</v>
      </c>
      <c r="T8" s="59">
        <f>'2022 Revekting utgiftsbehov'!F8*S8/$S$17</f>
        <v>4.5178268844721092E-2</v>
      </c>
      <c r="U8" s="59">
        <f>'2022 Revekting utgiftsbehov'!F8/$T$17</f>
        <v>1.0201570465367038</v>
      </c>
      <c r="V8" s="59">
        <f>IF(S8=0,0,(S8/$S$17)*U8*'2022 Pensjon tjeneste'!F8/'2022 Lønnsgr pensjon tjeneste'!F8)</f>
        <v>1.0846002703908484E-2</v>
      </c>
      <c r="W8" s="5">
        <f>IF(S8=0,0,'2022 Nto driftsutg landet'!$C$7*'2022 Lønnsand og pensjon landet'!$D$8*('2022 Pensjon tjeneste'!F8/'2022 Lønnsgr pensjon tjeneste'!F8-$V$17)*'2022 Revekting utgiftsbehov'!F8)</f>
        <v>1.6198527416229647</v>
      </c>
      <c r="X8" s="5">
        <f t="shared" si="5"/>
        <v>389.07243001041985</v>
      </c>
      <c r="Y8" s="59">
        <f>IF('2022 Lønnsgr pensjon tjeneste'!G8&lt;100,0,(C8/$C$17)*'2022 Revekting utgiftsbehov'!G8*'2022 Pensjon tjeneste'!G8/'2022 Lønnsgr pensjon tjeneste'!G8)</f>
        <v>5.4743439079621051E-2</v>
      </c>
      <c r="Z8" s="5">
        <f>IF('2022 Lønnsgr pensjon tjeneste'!G8&lt;100,0,C8)</f>
        <v>240190</v>
      </c>
      <c r="AA8" s="59">
        <f>'2022 Revekting utgiftsbehov'!G8*Z8/$Z$17</f>
        <v>0.53934835043623908</v>
      </c>
      <c r="AB8" s="59">
        <f>'2022 Revekting utgiftsbehov'!G8/$AA$17</f>
        <v>3.2814608521916004</v>
      </c>
      <c r="AC8" s="59">
        <f>IF(Z8=0,0,(Z8/$Z$17)*AB8*'2022 Pensjon tjeneste'!G8/'2022 Lønnsgr pensjon tjeneste'!G8)</f>
        <v>7.5976289934530108E-2</v>
      </c>
      <c r="AD8" s="5">
        <f>IF(Z8=0,0,'2022 Nto driftsutg landet'!$C$8*'2022 Lønnsand og pensjon landet'!$D$9*('2022 Pensjon tjeneste'!G8/'2022 Lønnsgr pensjon tjeneste'!G8-$AC$17)*'2022 Revekting utgiftsbehov'!G8)</f>
        <v>0.87933475185761401</v>
      </c>
      <c r="AE8" s="5">
        <f t="shared" si="6"/>
        <v>211.20741404868031</v>
      </c>
      <c r="AF8" s="59">
        <f>IF('2022 Lønnsgr pensjon tjeneste'!H8&lt;100,0,(C8/$C$17)*'2022 Revekting utgiftsbehov'!H8*'2022 Pensjon tjeneste'!H8/'2022 Lønnsgr pensjon tjeneste'!H8)</f>
        <v>1.021006413476723E-2</v>
      </c>
      <c r="AG8" s="5">
        <f>IF('2022 Lønnsgr pensjon tjeneste'!H8&lt;100,0,C8)</f>
        <v>240190</v>
      </c>
      <c r="AH8" s="59">
        <f>'2022 Revekting utgiftsbehov'!H8*AG8/$AG$17</f>
        <v>4.3489173014098839E-2</v>
      </c>
      <c r="AI8" s="59">
        <f>'2022 Revekting utgiftsbehov'!H8/$AH$17</f>
        <v>0.98234365487021258</v>
      </c>
      <c r="AJ8" s="59">
        <f>IF(AG8=0,0,(AG8/$AG$17)*AI8*'2022 Pensjon tjeneste'!H8/'2022 Lønnsgr pensjon tjeneste'!H8)</f>
        <v>1.0210437016600351E-2</v>
      </c>
      <c r="AK8" s="5">
        <f>IF(AG8=0,0,'2022 Nto driftsutg landet'!$C$9*'2022 Lønnsand og pensjon landet'!$D$10*('2022 Pensjon tjeneste'!H8/'2022 Lønnsgr pensjon tjeneste'!H8-$AJ$17)*'2022 Revekting utgiftsbehov'!H8)</f>
        <v>11.36276104498454</v>
      </c>
      <c r="AL8" s="5">
        <f t="shared" si="7"/>
        <v>2729.2215753948367</v>
      </c>
      <c r="AM8" s="59">
        <f>IF('2022 Lønnsgr pensjon tjeneste'!K8&lt;100,0,(C8/$C$17)*'2022 Pensjon tjeneste'!K8/'2022 Lønnsgr pensjon tjeneste'!K8)</f>
        <v>1.0129725349621713E-2</v>
      </c>
      <c r="AN8" s="5">
        <f>IF('2022 Lønnsgr pensjon tjeneste'!K8&lt;100,0,C8)</f>
        <v>240190</v>
      </c>
      <c r="AO8" s="59">
        <f t="shared" si="8"/>
        <v>4.4272450956357935E-2</v>
      </c>
      <c r="AP8" s="59">
        <f t="shared" si="9"/>
        <v>1.0000365210079192</v>
      </c>
      <c r="AQ8" s="59">
        <f>IF(AN8=0,0,(AN8/$AN$17)*AP8*'2022 Pensjon tjeneste'!K8/'2022 Lønnsgr pensjon tjeneste'!K8)</f>
        <v>1.0130095297401425E-2</v>
      </c>
      <c r="AR8" s="5">
        <f>IF(AN8=0,0,'2022 Nto driftsutg landet'!$C$23*'2022 Lønnsand og pensjon landet'!$D$13*('2022 Pensjon tjeneste'!K8/'2022 Lønnsgr pensjon tjeneste'!K8-$AQ$17))</f>
        <v>-81.967902808762346</v>
      </c>
      <c r="AS8" s="5">
        <f t="shared" si="10"/>
        <v>-19687.870575636629</v>
      </c>
      <c r="AT8" s="59">
        <f>IF('2022 Lønnsgr pensjon tjeneste'!L8&lt;100,0,(C8/$C$17)*'2022 Pensjon tjeneste'!L8/'2022 Lønnsgr pensjon tjeneste'!L8)</f>
        <v>1.0196756307104727E-2</v>
      </c>
      <c r="AU8" s="5">
        <f>IF('2022 Lønnsgr pensjon tjeneste'!L8&lt;100,0,C8)</f>
        <v>240190</v>
      </c>
      <c r="AV8" s="59">
        <f t="shared" si="11"/>
        <v>5.0829096869859612E-2</v>
      </c>
      <c r="AW8" s="59">
        <f t="shared" si="12"/>
        <v>1</v>
      </c>
      <c r="AX8" s="59">
        <f>IF(AU8=0,0,(AU8/$AU$17)*AW8*'2022 Pensjon tjeneste'!L8/'2022 Lønnsgr pensjon tjeneste'!L8)</f>
        <v>1.170687194623786E-2</v>
      </c>
      <c r="AY8" s="5">
        <f>IF(AU8=0,0,'2022 Nto driftsutg landet'!$C$24*'2022 Lønnsand og pensjon landet'!$D$14*('2022 Pensjon tjeneste'!L8/'2022 Lønnsgr pensjon tjeneste'!L8-$AX$17))</f>
        <v>3.325169657661402</v>
      </c>
      <c r="AZ8" s="5">
        <f t="shared" si="13"/>
        <v>798.67250007369216</v>
      </c>
      <c r="BA8" s="59">
        <f>IF('2022 Lønnsgr pensjon tjeneste'!M8&lt;100,0,(C8/$C$17)*'2022 Pensjon tjeneste'!M8/'2022 Lønnsgr pensjon tjeneste'!M8)</f>
        <v>9.8799879407778096E-3</v>
      </c>
      <c r="BB8" s="5">
        <f>IF('2022 Lønnsgr pensjon tjeneste'!M8&lt;100,0,C8)</f>
        <v>240190</v>
      </c>
      <c r="BC8" s="59">
        <f t="shared" si="14"/>
        <v>4.4272450956357935E-2</v>
      </c>
      <c r="BD8" s="59">
        <f t="shared" si="15"/>
        <v>1</v>
      </c>
      <c r="BE8" s="59">
        <f>IF(BB8=0,0,(BB8/$BB$17)*BD8*'2022 Pensjon tjeneste'!M8/'2022 Lønnsgr pensjon tjeneste'!M8)</f>
        <v>9.8799879407778096E-3</v>
      </c>
      <c r="BF8" s="5">
        <f>IF(BB8=0,0,'2022 Nto driftsutg landet'!$C$25*'2022 Lønnsand og pensjon landet'!$D$15*('2022 Pensjon tjeneste'!M8/'2022 Lønnsgr pensjon tjeneste'!M8-$BE$17))</f>
        <v>-9.6778766729163107E-2</v>
      </c>
      <c r="BG8" s="5">
        <f t="shared" si="16"/>
        <v>-23.245291980677688</v>
      </c>
      <c r="BH8" s="59">
        <f>IF('2022 Lønnsgr pensjon tjeneste'!N8&lt;100,0,(C8/$C$17)*'2022 Pensjon tjeneste'!N8/'2022 Lønnsgr pensjon tjeneste'!N8)</f>
        <v>9.9354939927314024E-3</v>
      </c>
      <c r="BI8" s="5">
        <f>IF('2022 Lønnsgr pensjon tjeneste'!N8&lt;100,0,C8)</f>
        <v>240190</v>
      </c>
      <c r="BJ8" s="59">
        <f t="shared" si="17"/>
        <v>4.4272450956357935E-2</v>
      </c>
      <c r="BK8" s="59">
        <f t="shared" si="18"/>
        <v>1</v>
      </c>
      <c r="BL8" s="59">
        <f>IF(BI8=0,0,(BI8/$BI$17)*BK8*'2022 Pensjon tjeneste'!N8/'2022 Lønnsgr pensjon tjeneste'!N8)</f>
        <v>9.9354939927314024E-3</v>
      </c>
      <c r="BM8" s="5">
        <f>IF(BI8=0,0,'2022 Nto driftsutg landet'!$C$26*'2022 Lønnsand og pensjon landet'!$D$16*('2022 Pensjon tjeneste'!N8/'2022 Lønnsgr pensjon tjeneste'!N8-$BL$17))</f>
        <v>1.3066091409511535</v>
      </c>
      <c r="BN8" s="5">
        <f t="shared" si="19"/>
        <v>313.83444956505758</v>
      </c>
      <c r="BO8" s="59">
        <f>IF('2022 Lønnsgr pensjon tjeneste'!O8&lt;100,0,(C8/$C$17)*'2022 Pensjon tjeneste'!O8/'2022 Lønnsgr pensjon tjeneste'!O8)</f>
        <v>0</v>
      </c>
      <c r="BP8" s="5">
        <f>IF('2022 Lønnsgr pensjon tjeneste'!O8&lt;100,0,C8)</f>
        <v>0</v>
      </c>
      <c r="BQ8" s="59">
        <f t="shared" si="20"/>
        <v>0</v>
      </c>
      <c r="BR8" s="59">
        <f t="shared" si="21"/>
        <v>1</v>
      </c>
      <c r="BS8" s="59">
        <f>IF(BP8=0,0,(BP8/$BP$17)*BR8*'2022 Pensjon tjeneste'!O8/'2022 Lønnsgr pensjon tjeneste'!O8)</f>
        <v>0</v>
      </c>
      <c r="BT8" s="5">
        <f>IF(BP8=0,0,'2022 Nto driftsutg landet'!$C$27*'2022 Lønnsand og pensjon landet'!$D$17*('2022 Pensjon tjeneste'!O8/'2022 Lønnsgr pensjon tjeneste'!O8-$BS$17))</f>
        <v>0</v>
      </c>
      <c r="BU8" s="5">
        <f t="shared" si="22"/>
        <v>0</v>
      </c>
      <c r="BV8" s="59">
        <f>IF('2022 Lønnsgr pensjon tjeneste'!P8&lt;100,0,(C8/$C$17)*'2022 Pensjon tjeneste'!P8/'2022 Lønnsgr pensjon tjeneste'!P8)</f>
        <v>0</v>
      </c>
      <c r="BW8" s="5">
        <f>IF('2022 Lønnsgr pensjon tjeneste'!P8&lt;100,0,C8)</f>
        <v>0</v>
      </c>
      <c r="BX8" s="59">
        <f t="shared" si="23"/>
        <v>0</v>
      </c>
      <c r="BY8" s="59">
        <f t="shared" si="24"/>
        <v>1</v>
      </c>
      <c r="BZ8" s="59">
        <f>IF(BW8=0,0,(BW8/$BW$17)*BY8*'2022 Pensjon tjeneste'!P8/'2022 Lønnsgr pensjon tjeneste'!P8)</f>
        <v>0</v>
      </c>
      <c r="CA8" s="5">
        <f>IF(BW8=0,0,'2022 Nto driftsutg landet'!$C$28*'2022 Lønnsand og pensjon landet'!$D$18*('2022 Pensjon tjeneste'!P8/'2022 Lønnsgr pensjon tjeneste'!P8-$BZ$17))</f>
        <v>0</v>
      </c>
      <c r="CB8" s="5">
        <f t="shared" si="25"/>
        <v>0</v>
      </c>
      <c r="CC8" s="5"/>
      <c r="CD8" s="5"/>
      <c r="CE8" s="5"/>
    </row>
    <row r="9" spans="1:83" x14ac:dyDescent="0.25">
      <c r="A9" s="43">
        <v>3000</v>
      </c>
      <c r="B9" s="44" t="s">
        <v>391</v>
      </c>
      <c r="C9" s="44">
        <f>+'2022 Nto driftsutg'!W9</f>
        <v>1269230</v>
      </c>
      <c r="D9" s="59">
        <f>IF('2022 Lønnsgr pensjon tjeneste'!D9&lt;100,0,(C9/$C$17)*'2022 Revekting utgiftsbehov'!D9*'2022 Pensjon tjeneste'!D9/'2022 Lønnsgr pensjon tjeneste'!D9)</f>
        <v>2.311405808718299E-2</v>
      </c>
      <c r="E9" s="5">
        <f>IF('2022 Lønnsgr pensjon tjeneste'!D9&lt;100,0,C9)</f>
        <v>1269230</v>
      </c>
      <c r="F9" s="59">
        <f>'2022 Revekting utgiftsbehov'!D9*E9/$E$17</f>
        <v>0.23830808992875926</v>
      </c>
      <c r="G9" s="59">
        <f>'2022 Revekting utgiftsbehov'!D9/$F$17</f>
        <v>1.0186200968753083</v>
      </c>
      <c r="H9" s="59">
        <f>IF(E9=0,0,(E9/$E$17)*G9*'2022 Pensjon tjeneste'!D9/'2022 Lønnsgr pensjon tjeneste'!D9)</f>
        <v>2.3113655021567571E-2</v>
      </c>
      <c r="I9" s="5">
        <f>IF(E9=0,0,'2022 Nto driftsutg landet'!$C$5*'2022 Lønnsand og pensjon landet'!$D$6*('2022 Pensjon tjeneste'!D9/'2022 Lønnsgr pensjon tjeneste'!D9-$H$17)*'2022 Revekting utgiftsbehov'!D9)</f>
        <v>7.8342730576856807</v>
      </c>
      <c r="J9" s="5">
        <f t="shared" si="3"/>
        <v>9943.4943930063982</v>
      </c>
      <c r="K9" s="59">
        <f>IF('2022 Lønnsgr pensjon tjeneste'!E9&lt;100,0,(C9/$C$17)*'2022 Revekting utgiftsbehov'!E9*'2022 Pensjon tjeneste'!E9/'2022 Lønnsgr pensjon tjeneste'!E9)</f>
        <v>3.6267221087368615E-2</v>
      </c>
      <c r="L9" s="5">
        <f>IF('2022 Lønnsgr pensjon tjeneste'!E9&lt;100,0,C9)</f>
        <v>1269230</v>
      </c>
      <c r="M9" s="59">
        <f>'2022 Revekting utgiftsbehov'!E9*L9/$L$17</f>
        <v>0.17230038790699628</v>
      </c>
      <c r="N9" s="59">
        <f>'2022 Revekting utgiftsbehov'!E9/$M$17</f>
        <v>0.5784731549869061</v>
      </c>
      <c r="O9" s="59">
        <f>IF(L9=0,0,(L9/$L$17)*N9*'2022 Pensjon tjeneste'!E9/'2022 Lønnsgr pensjon tjeneste'!E9)</f>
        <v>3.7548090997244911E-2</v>
      </c>
      <c r="P9" s="5">
        <f>IF(L9=0,0,'2022 Nto driftsutg landet'!$C$6*'2022 Lønnsand og pensjon landet'!$D$7*('2022 Pensjon tjeneste'!E9/'2022 Lønnsgr pensjon tjeneste'!E9-$O$17)*'2022 Revekting utgiftsbehov'!E9)</f>
        <v>-5.1076325652123344</v>
      </c>
      <c r="Q9" s="5">
        <f t="shared" si="4"/>
        <v>-6482.7604807444513</v>
      </c>
      <c r="R9" s="59">
        <f>IF('2022 Lønnsgr pensjon tjeneste'!F9&lt;100,0,(C9/$C$17)*'2022 Revekting utgiftsbehov'!F9*'2022 Pensjon tjeneste'!F9/'2022 Lønnsgr pensjon tjeneste'!F9)</f>
        <v>2.6581715926661729E-2</v>
      </c>
      <c r="S9" s="5">
        <f>IF('2022 Lønnsgr pensjon tjeneste'!F9&lt;100,0,C9)</f>
        <v>1269230</v>
      </c>
      <c r="T9" s="59">
        <f>'2022 Revekting utgiftsbehov'!F9*S9/$S$17</f>
        <v>0.15429464034814858</v>
      </c>
      <c r="U9" s="59">
        <f>'2022 Revekting utgiftsbehov'!F9/$T$17</f>
        <v>0.65933006870940247</v>
      </c>
      <c r="V9" s="59">
        <f>IF(S9=0,0,(S9/$S$17)*U9*'2022 Pensjon tjeneste'!F9/'2022 Lønnsgr pensjon tjeneste'!F9)</f>
        <v>2.6573822281828891E-2</v>
      </c>
      <c r="W9" s="5">
        <f>IF(S9=0,0,'2022 Nto driftsutg landet'!$C$7*'2022 Lønnsand og pensjon landet'!$D$8*('2022 Pensjon tjeneste'!F9/'2022 Lønnsgr pensjon tjeneste'!F9-$V$17)*'2022 Revekting utgiftsbehov'!F9)</f>
        <v>-0.56580569114354318</v>
      </c>
      <c r="X9" s="5">
        <f t="shared" si="5"/>
        <v>-718.13755737011923</v>
      </c>
      <c r="Y9" s="59">
        <f>IF('2022 Lønnsgr pensjon tjeneste'!G9&lt;100,0,(C9/$C$17)*'2022 Revekting utgiftsbehov'!G9*'2022 Pensjon tjeneste'!G9/'2022 Lønnsgr pensjon tjeneste'!G9)</f>
        <v>0</v>
      </c>
      <c r="Z9" s="5">
        <f>IF('2022 Lønnsgr pensjon tjeneste'!G9&lt;100,0,C9)</f>
        <v>0</v>
      </c>
      <c r="AA9" s="59">
        <f>'2022 Revekting utgiftsbehov'!G9*Z9/$Z$17</f>
        <v>0</v>
      </c>
      <c r="AB9" s="59">
        <f>'2022 Revekting utgiftsbehov'!G9/$AA$17</f>
        <v>4.2651615131101613E-2</v>
      </c>
      <c r="AC9" s="59">
        <f>IF(Z9=0,0,(Z9/$Z$17)*AB9*'2022 Pensjon tjeneste'!G9/'2022 Lønnsgr pensjon tjeneste'!G9)</f>
        <v>0</v>
      </c>
      <c r="AD9" s="5">
        <f>IF(Z9=0,0,'2022 Nto driftsutg landet'!$C$8*'2022 Lønnsand og pensjon landet'!$D$9*('2022 Pensjon tjeneste'!G9/'2022 Lønnsgr pensjon tjeneste'!G9-$AC$17)*'2022 Revekting utgiftsbehov'!G9)</f>
        <v>0</v>
      </c>
      <c r="AE9" s="5">
        <f t="shared" si="6"/>
        <v>0</v>
      </c>
      <c r="AF9" s="59">
        <f>IF('2022 Lønnsgr pensjon tjeneste'!H9&lt;100,0,(C9/$C$17)*'2022 Revekting utgiftsbehov'!H9*'2022 Pensjon tjeneste'!H9/'2022 Lønnsgr pensjon tjeneste'!H9)</f>
        <v>2.9243997092026599E-2</v>
      </c>
      <c r="AG9" s="5">
        <f>IF('2022 Lønnsgr pensjon tjeneste'!H9&lt;100,0,C9)</f>
        <v>1269230</v>
      </c>
      <c r="AH9" s="59">
        <f>'2022 Revekting utgiftsbehov'!H9*AG9/$AG$17</f>
        <v>0.23973341224274555</v>
      </c>
      <c r="AI9" s="59">
        <f>'2022 Revekting utgiftsbehov'!H9/$AH$17</f>
        <v>1.0247677641848623</v>
      </c>
      <c r="AJ9" s="59">
        <f>IF(AG9=0,0,(AG9/$AG$17)*AI9*'2022 Pensjon tjeneste'!H9/'2022 Lønnsgr pensjon tjeneste'!H9)</f>
        <v>2.9245065112275984E-2</v>
      </c>
      <c r="AK9" s="5">
        <f>IF(AG9=0,0,'2022 Nto driftsutg landet'!$C$9*'2022 Lønnsand og pensjon landet'!$D$10*('2022 Pensjon tjeneste'!H9/'2022 Lønnsgr pensjon tjeneste'!H9-$AJ$17)*'2022 Revekting utgiftsbehov'!H9)</f>
        <v>-20.573334301113352</v>
      </c>
      <c r="AL9" s="5">
        <f t="shared" si="7"/>
        <v>-26112.2930950021</v>
      </c>
      <c r="AM9" s="59">
        <f>IF('2022 Lønnsgr pensjon tjeneste'!K9&lt;100,0,(C9/$C$17)*'2022 Pensjon tjeneste'!K9/'2022 Lønnsgr pensjon tjeneste'!K9)</f>
        <v>0.15508940746906694</v>
      </c>
      <c r="AN9" s="5">
        <f>IF('2022 Lønnsgr pensjon tjeneste'!K9&lt;100,0,C9)</f>
        <v>1269230</v>
      </c>
      <c r="AO9" s="59">
        <f t="shared" si="8"/>
        <v>0.23394780351945618</v>
      </c>
      <c r="AP9" s="59">
        <f t="shared" si="9"/>
        <v>1.0000365210079192</v>
      </c>
      <c r="AQ9" s="59">
        <f>IF(AN9=0,0,(AN9/$AN$17)*AP9*'2022 Pensjon tjeneste'!K9/'2022 Lønnsgr pensjon tjeneste'!K9)</f>
        <v>0.15509507149054527</v>
      </c>
      <c r="AR9" s="5">
        <f>IF(AN9=0,0,'2022 Nto driftsutg landet'!$C$23*'2022 Lønnsand og pensjon landet'!$D$13*('2022 Pensjon tjeneste'!K9/'2022 Lønnsgr pensjon tjeneste'!K9-$AQ$17))</f>
        <v>61.515421388680316</v>
      </c>
      <c r="AS9" s="5">
        <f t="shared" si="10"/>
        <v>78077.218289154727</v>
      </c>
      <c r="AT9" s="59">
        <f>IF('2022 Lønnsgr pensjon tjeneste'!L9&lt;100,0,(C9/$C$17)*'2022 Pensjon tjeneste'!L9/'2022 Lønnsgr pensjon tjeneste'!L9)</f>
        <v>2.7056066101916312E-2</v>
      </c>
      <c r="AU9" s="5">
        <f>IF('2022 Lønnsgr pensjon tjeneste'!L9&lt;100,0,C9)</f>
        <v>1269230</v>
      </c>
      <c r="AV9" s="59">
        <f t="shared" si="11"/>
        <v>0.26859492326962786</v>
      </c>
      <c r="AW9" s="59">
        <f t="shared" si="12"/>
        <v>1</v>
      </c>
      <c r="AX9" s="59">
        <f>IF(AU9=0,0,(AU9/$AU$17)*AW9*'2022 Pensjon tjeneste'!L9/'2022 Lønnsgr pensjon tjeneste'!L9)</f>
        <v>3.1063005889763882E-2</v>
      </c>
      <c r="AY9" s="5">
        <f>IF(AU9=0,0,'2022 Nto driftsutg landet'!$C$24*'2022 Lønnsand og pensjon landet'!$D$14*('2022 Pensjon tjeneste'!L9/'2022 Lønnsgr pensjon tjeneste'!L9-$AX$17))</f>
        <v>-2.2545988854501959</v>
      </c>
      <c r="AZ9" s="5">
        <f t="shared" si="13"/>
        <v>-2861.6045433799522</v>
      </c>
      <c r="BA9" s="59">
        <f>IF('2022 Lønnsgr pensjon tjeneste'!M9&lt;100,0,(C9/$C$17)*'2022 Pensjon tjeneste'!M9/'2022 Lønnsgr pensjon tjeneste'!M9)</f>
        <v>2.6730713182453739E-2</v>
      </c>
      <c r="BB9" s="5">
        <f>IF('2022 Lønnsgr pensjon tjeneste'!M9&lt;100,0,C9)</f>
        <v>1269230</v>
      </c>
      <c r="BC9" s="59">
        <f t="shared" si="14"/>
        <v>0.23394780351945618</v>
      </c>
      <c r="BD9" s="59">
        <f t="shared" si="15"/>
        <v>1</v>
      </c>
      <c r="BE9" s="59">
        <f>IF(BB9=0,0,(BB9/$BB$17)*BD9*'2022 Pensjon tjeneste'!M9/'2022 Lønnsgr pensjon tjeneste'!M9)</f>
        <v>2.6730713182453739E-2</v>
      </c>
      <c r="BF9" s="5">
        <f>IF(BB9=0,0,'2022 Nto driftsutg landet'!$C$25*'2022 Lønnsand og pensjon landet'!$D$15*('2022 Pensjon tjeneste'!M9/'2022 Lønnsgr pensjon tjeneste'!M9-$BE$17))</f>
        <v>0.14225394259671201</v>
      </c>
      <c r="BG9" s="5">
        <f t="shared" si="16"/>
        <v>180.55297156202479</v>
      </c>
      <c r="BH9" s="59">
        <f>IF('2022 Lønnsgr pensjon tjeneste'!N9&lt;100,0,(C9/$C$17)*'2022 Pensjon tjeneste'!N9/'2022 Lønnsgr pensjon tjeneste'!N9)</f>
        <v>2.6584806922303084E-2</v>
      </c>
      <c r="BI9" s="5">
        <f>IF('2022 Lønnsgr pensjon tjeneste'!N9&lt;100,0,C9)</f>
        <v>1269230</v>
      </c>
      <c r="BJ9" s="59">
        <f t="shared" si="17"/>
        <v>0.23394780351945618</v>
      </c>
      <c r="BK9" s="59">
        <f t="shared" si="18"/>
        <v>1</v>
      </c>
      <c r="BL9" s="59">
        <f>IF(BI9=0,0,(BI9/$BI$17)*BK9*'2022 Pensjon tjeneste'!N9/'2022 Lønnsgr pensjon tjeneste'!N9)</f>
        <v>2.6584806922303084E-2</v>
      </c>
      <c r="BM9" s="5">
        <f>IF(BI9=0,0,'2022 Nto driftsutg landet'!$C$26*'2022 Lønnsand og pensjon landet'!$D$16*('2022 Pensjon tjeneste'!N9/'2022 Lønnsgr pensjon tjeneste'!N9-$BL$17))</f>
        <v>-1.5947777559997591</v>
      </c>
      <c r="BN9" s="5">
        <f t="shared" si="19"/>
        <v>-2024.1397712475743</v>
      </c>
      <c r="BO9" s="59">
        <f>IF('2022 Lønnsgr pensjon tjeneste'!O9&lt;100,0,(C9/$C$17)*'2022 Pensjon tjeneste'!O9/'2022 Lønnsgr pensjon tjeneste'!O9)</f>
        <v>2.8013462272836021E-2</v>
      </c>
      <c r="BP9" s="5">
        <f>IF('2022 Lønnsgr pensjon tjeneste'!O9&lt;100,0,C9)</f>
        <v>1269230</v>
      </c>
      <c r="BQ9" s="59">
        <f t="shared" si="20"/>
        <v>0.74922287377911789</v>
      </c>
      <c r="BR9" s="59">
        <f t="shared" si="21"/>
        <v>1</v>
      </c>
      <c r="BS9" s="59">
        <f>IF(BP9=0,0,(BP9/$BP$17)*BR9*'2022 Pensjon tjeneste'!O9/'2022 Lønnsgr pensjon tjeneste'!O9)</f>
        <v>8.9713715593023796E-2</v>
      </c>
      <c r="BT9" s="5">
        <f>IF(BP9=0,0,'2022 Nto driftsutg landet'!$C$27*'2022 Lønnsand og pensjon landet'!$D$17*('2022 Pensjon tjeneste'!O9/'2022 Lønnsgr pensjon tjeneste'!O9-$BS$17))</f>
        <v>3.1206245743969027E-3</v>
      </c>
      <c r="BU9" s="5">
        <f t="shared" si="22"/>
        <v>3.9607903285617807</v>
      </c>
      <c r="BV9" s="59">
        <f>IF('2022 Lønnsgr pensjon tjeneste'!P9&lt;100,0,(C9/$C$17)*'2022 Pensjon tjeneste'!P9/'2022 Lønnsgr pensjon tjeneste'!P9)</f>
        <v>2.5194378840556822E-2</v>
      </c>
      <c r="BW9" s="5">
        <f>IF('2022 Lønnsgr pensjon tjeneste'!P9&lt;100,0,C9)</f>
        <v>1269230</v>
      </c>
      <c r="BX9" s="59">
        <f t="shared" si="23"/>
        <v>0.37617726742068291</v>
      </c>
      <c r="BY9" s="59">
        <f t="shared" si="24"/>
        <v>1</v>
      </c>
      <c r="BZ9" s="59">
        <f>IF(BW9=0,0,(BW9/$BW$17)*BY9*'2022 Pensjon tjeneste'!P9/'2022 Lønnsgr pensjon tjeneste'!P9)</f>
        <v>4.0511398029919696E-2</v>
      </c>
      <c r="CA9" s="5">
        <f>IF(BW9=0,0,'2022 Nto driftsutg landet'!$C$28*'2022 Lønnsand og pensjon landet'!$D$18*('2022 Pensjon tjeneste'!P9/'2022 Lønnsgr pensjon tjeneste'!P9-$BZ$17))</f>
        <v>2.6847681899885775E-3</v>
      </c>
      <c r="CB9" s="5">
        <f t="shared" si="25"/>
        <v>3.4075883297792027</v>
      </c>
      <c r="CC9" s="5"/>
      <c r="CD9" s="5"/>
      <c r="CE9" s="5"/>
    </row>
    <row r="10" spans="1:83" x14ac:dyDescent="0.25">
      <c r="A10" s="43">
        <v>3400</v>
      </c>
      <c r="B10" s="44" t="s">
        <v>392</v>
      </c>
      <c r="C10" s="44">
        <f>+'2022 Nto driftsutg'!W10</f>
        <v>371253</v>
      </c>
      <c r="D10" s="59">
        <f>IF('2022 Lønnsgr pensjon tjeneste'!D10&lt;100,0,(C10/$C$17)*'2022 Revekting utgiftsbehov'!D10*'2022 Pensjon tjeneste'!D10/'2022 Lønnsgr pensjon tjeneste'!D10)</f>
        <v>7.5413915962954069E-3</v>
      </c>
      <c r="E10" s="5">
        <f>IF('2022 Lønnsgr pensjon tjeneste'!D10&lt;100,0,C10)</f>
        <v>371253</v>
      </c>
      <c r="F10" s="59">
        <f>'2022 Revekting utgiftsbehov'!D10*E10/$E$17</f>
        <v>6.921141193533778E-2</v>
      </c>
      <c r="G10" s="59">
        <f>'2022 Revekting utgiftsbehov'!D10/$F$17</f>
        <v>1.0113966728404078</v>
      </c>
      <c r="H10" s="59">
        <f>IF(E10=0,0,(E10/$E$17)*G10*'2022 Pensjon tjeneste'!D10/'2022 Lønnsgr pensjon tjeneste'!D10)</f>
        <v>7.5412600886374534E-3</v>
      </c>
      <c r="I10" s="5">
        <f>IF(E10=0,0,'2022 Nto driftsutg landet'!$C$5*'2022 Lønnsand og pensjon landet'!$D$6*('2022 Pensjon tjeneste'!D10/'2022 Lønnsgr pensjon tjeneste'!D10-$H$17)*'2022 Revekting utgiftsbehov'!D10)</f>
        <v>51.054264415918183</v>
      </c>
      <c r="J10" s="5">
        <f t="shared" si="3"/>
        <v>18954.048827202874</v>
      </c>
      <c r="K10" s="59">
        <f>IF('2022 Lønnsgr pensjon tjeneste'!E10&lt;100,0,(C10/$C$17)*'2022 Revekting utgiftsbehov'!E10*'2022 Pensjon tjeneste'!E10/'2022 Lønnsgr pensjon tjeneste'!E10)</f>
        <v>2.6144259544652139E-2</v>
      </c>
      <c r="L10" s="5">
        <f>IF('2022 Lønnsgr pensjon tjeneste'!E10&lt;100,0,C10)</f>
        <v>371253</v>
      </c>
      <c r="M10" s="59">
        <f>'2022 Revekting utgiftsbehov'!E10*L10/$L$17</f>
        <v>0.12105005202307172</v>
      </c>
      <c r="N10" s="59">
        <f>'2022 Revekting utgiftsbehov'!E10/$M$17</f>
        <v>1.3894159872599361</v>
      </c>
      <c r="O10" s="59">
        <f>IF(L10=0,0,(L10/$L$17)*N10*'2022 Pensjon tjeneste'!E10/'2022 Lønnsgr pensjon tjeneste'!E10)</f>
        <v>2.7067611110135174E-2</v>
      </c>
      <c r="P10" s="5">
        <f>IF(L10=0,0,'2022 Nto driftsutg landet'!$C$6*'2022 Lønnsand og pensjon landet'!$D$7*('2022 Pensjon tjeneste'!E10/'2022 Lønnsgr pensjon tjeneste'!E10-$O$17)*'2022 Revekting utgiftsbehov'!E10)</f>
        <v>-11.132501551846218</v>
      </c>
      <c r="Q10" s="5">
        <f t="shared" si="4"/>
        <v>-4132.9745986275639</v>
      </c>
      <c r="R10" s="59">
        <f>IF('2022 Lønnsgr pensjon tjeneste'!F10&lt;100,0,(C10/$C$17)*'2022 Revekting utgiftsbehov'!F10*'2022 Pensjon tjeneste'!F10/'2022 Lønnsgr pensjon tjeneste'!F10)</f>
        <v>1.6934878934277652E-2</v>
      </c>
      <c r="S10" s="5">
        <f>IF('2022 Lønnsgr pensjon tjeneste'!F10&lt;100,0,C10)</f>
        <v>371253</v>
      </c>
      <c r="T10" s="59">
        <f>'2022 Revekting utgiftsbehov'!F10*S10/$S$17</f>
        <v>6.8835609687200816E-2</v>
      </c>
      <c r="U10" s="59">
        <f>'2022 Revekting utgiftsbehov'!F10/$T$17</f>
        <v>1.0056238435649929</v>
      </c>
      <c r="V10" s="59">
        <f>IF(S10=0,0,(S10/$S$17)*U10*'2022 Pensjon tjeneste'!F10/'2022 Lønnsgr pensjon tjeneste'!F10)</f>
        <v>1.6929849991828519E-2</v>
      </c>
      <c r="W10" s="5">
        <f>IF(S10=0,0,'2022 Nto driftsutg landet'!$C$7*'2022 Lønnsand og pensjon landet'!$D$8*('2022 Pensjon tjeneste'!F10/'2022 Lønnsgr pensjon tjeneste'!F10-$V$17)*'2022 Revekting utgiftsbehov'!F10)</f>
        <v>1.8097774878179425</v>
      </c>
      <c r="X10" s="5">
        <f t="shared" si="5"/>
        <v>671.88532168487461</v>
      </c>
      <c r="Y10" s="59">
        <f>IF('2022 Lønnsgr pensjon tjeneste'!G10&lt;100,0,(C10/$C$17)*'2022 Revekting utgiftsbehov'!G10*'2022 Pensjon tjeneste'!G10/'2022 Lønnsgr pensjon tjeneste'!G10)</f>
        <v>2.133659420217008E-4</v>
      </c>
      <c r="Z10" s="5">
        <f>IF('2022 Lønnsgr pensjon tjeneste'!G10&lt;100,0,C10)</f>
        <v>371253</v>
      </c>
      <c r="AA10" s="59">
        <f>'2022 Revekting utgiftsbehov'!G10*Z10/$Z$17</f>
        <v>5.8196012357698817E-3</v>
      </c>
      <c r="AB10" s="59">
        <f>'2022 Revekting utgiftsbehov'!G10/$AA$17</f>
        <v>2.2907413246366359E-2</v>
      </c>
      <c r="AC10" s="59">
        <f>IF(Z10=0,0,(Z10/$Z$17)*AB10*'2022 Pensjon tjeneste'!G10/'2022 Lønnsgr pensjon tjeneste'!G10)</f>
        <v>2.9612229238315329E-4</v>
      </c>
      <c r="AD10" s="5">
        <f>IF(Z10=0,0,'2022 Nto driftsutg landet'!$C$8*'2022 Lønnsand og pensjon landet'!$D$9*('2022 Pensjon tjeneste'!G10/'2022 Lønnsgr pensjon tjeneste'!G10-$AC$17)*'2022 Revekting utgiftsbehov'!G10)</f>
        <v>-2.1297297465315061E-2</v>
      </c>
      <c r="AE10" s="5">
        <f t="shared" si="6"/>
        <v>-7.906685575890612</v>
      </c>
      <c r="AF10" s="59">
        <f>IF('2022 Lønnsgr pensjon tjeneste'!H10&lt;100,0,(C10/$C$17)*'2022 Revekting utgiftsbehov'!H10*'2022 Pensjon tjeneste'!H10/'2022 Lønnsgr pensjon tjeneste'!H10)</f>
        <v>1.5651367196483974E-2</v>
      </c>
      <c r="AG10" s="5">
        <f>IF('2022 Lønnsgr pensjon tjeneste'!H10&lt;100,0,C10)</f>
        <v>371253</v>
      </c>
      <c r="AH10" s="59">
        <f>'2022 Revekting utgiftsbehov'!H10*AG10/$AG$17</f>
        <v>6.6153013589572499E-2</v>
      </c>
      <c r="AI10" s="59">
        <f>'2022 Revekting utgiftsbehov'!H10/$AH$17</f>
        <v>0.9667560056143405</v>
      </c>
      <c r="AJ10" s="59">
        <f>IF(AG10=0,0,(AG10/$AG$17)*AI10*'2022 Pensjon tjeneste'!H10/'2022 Lønnsgr pensjon tjeneste'!H10)</f>
        <v>1.5651938800189301E-2</v>
      </c>
      <c r="AK10" s="5">
        <f>IF(AG10=0,0,'2022 Nto driftsutg landet'!$C$9*'2022 Lønnsand og pensjon landet'!$D$10*('2022 Pensjon tjeneste'!H10/'2022 Lønnsgr pensjon tjeneste'!H10-$AJ$17)*'2022 Revekting utgiftsbehov'!H10)</f>
        <v>11.676329182699382</v>
      </c>
      <c r="AL10" s="5">
        <f t="shared" si="7"/>
        <v>4334.8722380646932</v>
      </c>
      <c r="AM10" s="59">
        <f>IF('2022 Lønnsgr pensjon tjeneste'!K10&lt;100,0,(C10/$C$17)*'2022 Pensjon tjeneste'!K10/'2022 Lønnsgr pensjon tjeneste'!K10)</f>
        <v>1.4718687494819666E-2</v>
      </c>
      <c r="AN10" s="5">
        <f>IF('2022 Lønnsgr pensjon tjeneste'!K10&lt;100,0,C10)</f>
        <v>371253</v>
      </c>
      <c r="AO10" s="59">
        <f t="shared" si="8"/>
        <v>6.8430326969901964E-2</v>
      </c>
      <c r="AP10" s="59">
        <f t="shared" si="9"/>
        <v>1.0000365210079192</v>
      </c>
      <c r="AQ10" s="59">
        <f>IF(AN10=0,0,(AN10/$AN$17)*AP10*'2022 Pensjon tjeneste'!K10/'2022 Lønnsgr pensjon tjeneste'!K10)</f>
        <v>1.4719225036122226E-2</v>
      </c>
      <c r="AR10" s="5">
        <f>IF(AN10=0,0,'2022 Nto driftsutg landet'!$C$23*'2022 Lønnsand og pensjon landet'!$D$13*('2022 Pensjon tjeneste'!K10/'2022 Lønnsgr pensjon tjeneste'!K10-$AQ$17))</f>
        <v>-86.500647061653538</v>
      </c>
      <c r="AS10" s="5">
        <f t="shared" si="10"/>
        <v>-32113.624723580062</v>
      </c>
      <c r="AT10" s="59">
        <f>IF('2022 Lønnsgr pensjon tjeneste'!L10&lt;100,0,(C10/$C$17)*'2022 Pensjon tjeneste'!L10/'2022 Lønnsgr pensjon tjeneste'!L10)</f>
        <v>1.8429642012460244E-2</v>
      </c>
      <c r="AU10" s="5">
        <f>IF('2022 Lønnsgr pensjon tjeneste'!L10&lt;100,0,C10)</f>
        <v>371253</v>
      </c>
      <c r="AV10" s="59">
        <f t="shared" si="11"/>
        <v>7.8564697532062078E-2</v>
      </c>
      <c r="AW10" s="59">
        <f t="shared" si="12"/>
        <v>1</v>
      </c>
      <c r="AX10" s="59">
        <f>IF(AU10=0,0,(AU10/$AU$17)*AW10*'2022 Pensjon tjeneste'!L10/'2022 Lønnsgr pensjon tjeneste'!L10)</f>
        <v>2.1159028671161661E-2</v>
      </c>
      <c r="AY10" s="5">
        <f>IF(AU10=0,0,'2022 Nto driftsutg landet'!$C$24*'2022 Lønnsand og pensjon landet'!$D$14*('2022 Pensjon tjeneste'!L10/'2022 Lønnsgr pensjon tjeneste'!L10-$AX$17))</f>
        <v>5.2229849633699281</v>
      </c>
      <c r="AZ10" s="5">
        <f t="shared" si="13"/>
        <v>1939.0488366059758</v>
      </c>
      <c r="BA10" s="59">
        <f>IF('2022 Lønnsgr pensjon tjeneste'!M10&lt;100,0,(C10/$C$17)*'2022 Pensjon tjeneste'!M10/'2022 Lønnsgr pensjon tjeneste'!M10)</f>
        <v>1.5082138692374118E-2</v>
      </c>
      <c r="BB10" s="5">
        <f>IF('2022 Lønnsgr pensjon tjeneste'!M10&lt;100,0,C10)</f>
        <v>371253</v>
      </c>
      <c r="BC10" s="59">
        <f t="shared" si="14"/>
        <v>6.8430326969901964E-2</v>
      </c>
      <c r="BD10" s="59">
        <f t="shared" si="15"/>
        <v>1</v>
      </c>
      <c r="BE10" s="59">
        <f>IF(BB10=0,0,(BB10/$BB$17)*BD10*'2022 Pensjon tjeneste'!M10/'2022 Lønnsgr pensjon tjeneste'!M10)</f>
        <v>1.5082138692374118E-2</v>
      </c>
      <c r="BF10" s="5">
        <f>IF(BB10=0,0,'2022 Nto driftsutg landet'!$C$25*'2022 Lønnsand og pensjon landet'!$D$15*('2022 Pensjon tjeneste'!M10/'2022 Lønnsgr pensjon tjeneste'!M10-$BE$17))</f>
        <v>-9.0716570309811131E-2</v>
      </c>
      <c r="BG10" s="5">
        <f t="shared" si="16"/>
        <v>-33.67879887722831</v>
      </c>
      <c r="BH10" s="59">
        <f>IF('2022 Lønnsgr pensjon tjeneste'!N10&lt;100,0,(C10/$C$17)*'2022 Pensjon tjeneste'!N10/'2022 Lønnsgr pensjon tjeneste'!N10)</f>
        <v>7.5849097126971365E-3</v>
      </c>
      <c r="BI10" s="5">
        <f>IF('2022 Lønnsgr pensjon tjeneste'!N10&lt;100,0,C10)</f>
        <v>371253</v>
      </c>
      <c r="BJ10" s="59">
        <f t="shared" si="17"/>
        <v>6.8430326969901964E-2</v>
      </c>
      <c r="BK10" s="59">
        <f t="shared" si="18"/>
        <v>1</v>
      </c>
      <c r="BL10" s="59">
        <f>IF(BI10=0,0,(BI10/$BI$17)*BK10*'2022 Pensjon tjeneste'!N10/'2022 Lønnsgr pensjon tjeneste'!N10)</f>
        <v>7.5849097126971365E-3</v>
      </c>
      <c r="BM10" s="5">
        <f>IF(BI10=0,0,'2022 Nto driftsutg landet'!$C$26*'2022 Lønnsand og pensjon landet'!$D$16*('2022 Pensjon tjeneste'!N10/'2022 Lønnsgr pensjon tjeneste'!N10-$BL$17))</f>
        <v>-1.667960617681536</v>
      </c>
      <c r="BN10" s="5">
        <f t="shared" si="19"/>
        <v>-619.23538319612328</v>
      </c>
      <c r="BO10" s="59">
        <f>IF('2022 Lønnsgr pensjon tjeneste'!O10&lt;100,0,(C10/$C$17)*'2022 Pensjon tjeneste'!O10/'2022 Lønnsgr pensjon tjeneste'!O10)</f>
        <v>0</v>
      </c>
      <c r="BP10" s="5">
        <f>IF('2022 Lønnsgr pensjon tjeneste'!O10&lt;100,0,C10)</f>
        <v>0</v>
      </c>
      <c r="BQ10" s="59">
        <f t="shared" si="20"/>
        <v>0</v>
      </c>
      <c r="BR10" s="59">
        <f t="shared" si="21"/>
        <v>1</v>
      </c>
      <c r="BS10" s="59">
        <f>IF(BP10=0,0,(BP10/$BP$17)*BR10*'2022 Pensjon tjeneste'!O10/'2022 Lønnsgr pensjon tjeneste'!O10)</f>
        <v>0</v>
      </c>
      <c r="BT10" s="5">
        <f>IF(BP10=0,0,'2022 Nto driftsutg landet'!$C$27*'2022 Lønnsand og pensjon landet'!$D$17*('2022 Pensjon tjeneste'!O10/'2022 Lønnsgr pensjon tjeneste'!O10-$BS$17))</f>
        <v>0</v>
      </c>
      <c r="BU10" s="5">
        <f t="shared" si="22"/>
        <v>0</v>
      </c>
      <c r="BV10" s="59">
        <f>IF('2022 Lønnsgr pensjon tjeneste'!P10&lt;100,0,(C10/$C$17)*'2022 Pensjon tjeneste'!P10/'2022 Lønnsgr pensjon tjeneste'!P10)</f>
        <v>0</v>
      </c>
      <c r="BW10" s="5">
        <f>IF('2022 Lønnsgr pensjon tjeneste'!P10&lt;100,0,C10)</f>
        <v>0</v>
      </c>
      <c r="BX10" s="59">
        <f t="shared" si="23"/>
        <v>0</v>
      </c>
      <c r="BY10" s="59">
        <f t="shared" si="24"/>
        <v>1</v>
      </c>
      <c r="BZ10" s="59">
        <f>IF(BW10=0,0,(BW10/$BW$17)*BY10*'2022 Pensjon tjeneste'!P10/'2022 Lønnsgr pensjon tjeneste'!P10)</f>
        <v>0</v>
      </c>
      <c r="CA10" s="5">
        <f>IF(BW10=0,0,'2022 Nto driftsutg landet'!$C$28*'2022 Lønnsand og pensjon landet'!$D$18*('2022 Pensjon tjeneste'!P10/'2022 Lønnsgr pensjon tjeneste'!P10-$BZ$17))</f>
        <v>0</v>
      </c>
      <c r="CB10" s="5">
        <f t="shared" si="25"/>
        <v>0</v>
      </c>
      <c r="CC10" s="5"/>
      <c r="CD10" s="5"/>
      <c r="CE10" s="5"/>
    </row>
    <row r="11" spans="1:83" x14ac:dyDescent="0.25">
      <c r="A11" s="43">
        <v>3800</v>
      </c>
      <c r="B11" s="44" t="s">
        <v>393</v>
      </c>
      <c r="C11" s="44">
        <f>+'2022 Nto driftsutg'!W11</f>
        <v>424832</v>
      </c>
      <c r="D11" s="59">
        <f>IF('2022 Lønnsgr pensjon tjeneste'!D11&lt;100,0,(C11/$C$17)*'2022 Revekting utgiftsbehov'!D11*'2022 Pensjon tjeneste'!D11/'2022 Lønnsgr pensjon tjeneste'!D11)</f>
        <v>8.7701394335454059E-3</v>
      </c>
      <c r="E11" s="5">
        <f>IF('2022 Lønnsgr pensjon tjeneste'!D11&lt;100,0,C11)</f>
        <v>424832</v>
      </c>
      <c r="F11" s="59">
        <f>'2022 Revekting utgiftsbehov'!D11*E11/$E$17</f>
        <v>7.9721075150383305E-2</v>
      </c>
      <c r="G11" s="59">
        <f>'2022 Revekting utgiftsbehov'!D11/$F$17</f>
        <v>1.0180514067923647</v>
      </c>
      <c r="H11" s="59">
        <f>IF(E11=0,0,(E11/$E$17)*G11*'2022 Pensjon tjeneste'!D11/'2022 Lønnsgr pensjon tjeneste'!D11)</f>
        <v>8.7699864988406984E-3</v>
      </c>
      <c r="I11" s="5">
        <f>IF(E11=0,0,'2022 Nto driftsutg landet'!$C$5*'2022 Lønnsand og pensjon landet'!$D$6*('2022 Pensjon tjeneste'!D11/'2022 Lønnsgr pensjon tjeneste'!D11-$H$17)*'2022 Revekting utgiftsbehov'!D11)</f>
        <v>55.206462265392609</v>
      </c>
      <c r="J11" s="5">
        <f t="shared" si="3"/>
        <v>23453.471777131275</v>
      </c>
      <c r="K11" s="59">
        <f>IF('2022 Lønnsgr pensjon tjeneste'!E11&lt;100,0,(C11/$C$17)*'2022 Revekting utgiftsbehov'!E11*'2022 Pensjon tjeneste'!E11/'2022 Lønnsgr pensjon tjeneste'!E11)</f>
        <v>1.6129692692403358E-2</v>
      </c>
      <c r="L11" s="5">
        <f>IF('2022 Lønnsgr pensjon tjeneste'!E11&lt;100,0,C11)</f>
        <v>424832</v>
      </c>
      <c r="M11" s="59">
        <f>'2022 Revekting utgiftsbehov'!E11*L11/$L$17</f>
        <v>8.5554808632468962E-2</v>
      </c>
      <c r="N11" s="59">
        <f>'2022 Revekting utgiftsbehov'!E11/$M$17</f>
        <v>0.85815252613298787</v>
      </c>
      <c r="O11" s="59">
        <f>IF(L11=0,0,(L11/$L$17)*N11*'2022 Pensjon tjeneste'!E11/'2022 Lønnsgr pensjon tjeneste'!E11)</f>
        <v>1.6699354149934956E-2</v>
      </c>
      <c r="P11" s="5">
        <f>IF(L11=0,0,'2022 Nto driftsutg landet'!$C$6*'2022 Lønnsand og pensjon landet'!$D$7*('2022 Pensjon tjeneste'!E11/'2022 Lønnsgr pensjon tjeneste'!E11-$O$17)*'2022 Revekting utgiftsbehov'!E11)</f>
        <v>-10.3814272661866</v>
      </c>
      <c r="Q11" s="5">
        <f t="shared" si="4"/>
        <v>-4410.3625083485858</v>
      </c>
      <c r="R11" s="59">
        <f>IF('2022 Lønnsgr pensjon tjeneste'!F11&lt;100,0,(C11/$C$17)*'2022 Revekting utgiftsbehov'!F11*'2022 Pensjon tjeneste'!F11/'2022 Lønnsgr pensjon tjeneste'!F11)</f>
        <v>1.2618227081492723E-2</v>
      </c>
      <c r="S11" s="5">
        <f>IF('2022 Lønnsgr pensjon tjeneste'!F11&lt;100,0,C11)</f>
        <v>424832</v>
      </c>
      <c r="T11" s="59">
        <f>'2022 Revekting utgiftsbehov'!F11*S11/$S$17</f>
        <v>5.7132942974900784E-2</v>
      </c>
      <c r="U11" s="59">
        <f>'2022 Revekting utgiftsbehov'!F11/$T$17</f>
        <v>0.72939325672698596</v>
      </c>
      <c r="V11" s="59">
        <f>IF(S11=0,0,(S11/$S$17)*U11*'2022 Pensjon tjeneste'!F11/'2022 Lønnsgr pensjon tjeneste'!F11)</f>
        <v>1.2614480001986035E-2</v>
      </c>
      <c r="W11" s="5">
        <f>IF(S11=0,0,'2022 Nto driftsutg landet'!$C$7*'2022 Lønnsand og pensjon landet'!$D$8*('2022 Pensjon tjeneste'!F11/'2022 Lønnsgr pensjon tjeneste'!F11-$V$17)*'2022 Revekting utgiftsbehov'!F11)</f>
        <v>0.65116636025781216</v>
      </c>
      <c r="X11" s="5">
        <f t="shared" si="5"/>
        <v>276.63630716104683</v>
      </c>
      <c r="Y11" s="59">
        <f>IF('2022 Lønnsgr pensjon tjeneste'!G11&lt;100,0,(C11/$C$17)*'2022 Revekting utgiftsbehov'!G11*'2022 Pensjon tjeneste'!G11/'2022 Lønnsgr pensjon tjeneste'!G11)</f>
        <v>0</v>
      </c>
      <c r="Z11" s="5">
        <f>IF('2022 Lønnsgr pensjon tjeneste'!G11&lt;100,0,C11)</f>
        <v>0</v>
      </c>
      <c r="AA11" s="59">
        <f>'2022 Revekting utgiftsbehov'!G11*Z11/$Z$17</f>
        <v>0</v>
      </c>
      <c r="AB11" s="59">
        <f>'2022 Revekting utgiftsbehov'!G11/$AA$17</f>
        <v>8.1966865122977198E-2</v>
      </c>
      <c r="AC11" s="59">
        <f>IF(Z11=0,0,(Z11/$Z$17)*AB11*'2022 Pensjon tjeneste'!G11/'2022 Lønnsgr pensjon tjeneste'!G11)</f>
        <v>0</v>
      </c>
      <c r="AD11" s="5">
        <f>IF(Z11=0,0,'2022 Nto driftsutg landet'!$C$8*'2022 Lønnsand og pensjon landet'!$D$9*('2022 Pensjon tjeneste'!G11/'2022 Lønnsgr pensjon tjeneste'!G11-$AC$17)*'2022 Revekting utgiftsbehov'!G11)</f>
        <v>0</v>
      </c>
      <c r="AE11" s="5">
        <f t="shared" si="6"/>
        <v>0</v>
      </c>
      <c r="AF11" s="59">
        <f>IF('2022 Lønnsgr pensjon tjeneste'!H11&lt;100,0,(C11/$C$17)*'2022 Revekting utgiftsbehov'!H11*'2022 Pensjon tjeneste'!H11/'2022 Lønnsgr pensjon tjeneste'!H11)</f>
        <v>1.8185479552150302E-2</v>
      </c>
      <c r="AG11" s="5">
        <f>IF('2022 Lønnsgr pensjon tjeneste'!H11&lt;100,0,C11)</f>
        <v>424832</v>
      </c>
      <c r="AH11" s="59">
        <f>'2022 Revekting utgiftsbehov'!H11*AG11/$AG$17</f>
        <v>7.7705490541027461E-2</v>
      </c>
      <c r="AI11" s="59">
        <f>'2022 Revekting utgiftsbehov'!H11/$AH$17</f>
        <v>0.99236560086841508</v>
      </c>
      <c r="AJ11" s="59">
        <f>IF(AG11=0,0,(AG11/$AG$17)*AI11*'2022 Pensjon tjeneste'!H11/'2022 Lønnsgr pensjon tjeneste'!H11)</f>
        <v>1.8186143704193039E-2</v>
      </c>
      <c r="AK11" s="5">
        <f>IF(AG11=0,0,'2022 Nto driftsutg landet'!$C$9*'2022 Lønnsand og pensjon landet'!$D$10*('2022 Pensjon tjeneste'!H11/'2022 Lønnsgr pensjon tjeneste'!H11-$AJ$17)*'2022 Revekting utgiftsbehov'!H11)</f>
        <v>11.272175724685425</v>
      </c>
      <c r="AL11" s="5">
        <f t="shared" si="7"/>
        <v>4788.7809574695584</v>
      </c>
      <c r="AM11" s="59">
        <f>IF('2022 Lønnsgr pensjon tjeneste'!K11&lt;100,0,(C11/$C$17)*'2022 Pensjon tjeneste'!K11/'2022 Lønnsgr pensjon tjeneste'!K11)</f>
        <v>1.6232975905456068E-2</v>
      </c>
      <c r="AN11" s="5">
        <f>IF('2022 Lønnsgr pensjon tjeneste'!K11&lt;100,0,C11)</f>
        <v>424832</v>
      </c>
      <c r="AO11" s="59">
        <f t="shared" si="8"/>
        <v>7.8306148818399826E-2</v>
      </c>
      <c r="AP11" s="59">
        <f t="shared" si="9"/>
        <v>1.0000365210079192</v>
      </c>
      <c r="AQ11" s="59">
        <f>IF(AN11=0,0,(AN11/$AN$17)*AP11*'2022 Pensjon tjeneste'!K11/'2022 Lønnsgr pensjon tjeneste'!K11)</f>
        <v>1.6233568750097665E-2</v>
      </c>
      <c r="AR11" s="5">
        <f>IF(AN11=0,0,'2022 Nto driftsutg landet'!$C$23*'2022 Lønnsand og pensjon landet'!$D$13*('2022 Pensjon tjeneste'!K11/'2022 Lønnsgr pensjon tjeneste'!K11-$AQ$17))</f>
        <v>-89.074939718168281</v>
      </c>
      <c r="AS11" s="5">
        <f t="shared" si="10"/>
        <v>-37841.884790348864</v>
      </c>
      <c r="AT11" s="59">
        <f>IF('2022 Lønnsgr pensjon tjeneste'!L11&lt;100,0,(C11/$C$17)*'2022 Pensjon tjeneste'!L11/'2022 Lønnsgr pensjon tjeneste'!L11)</f>
        <v>1.7099845638839182E-2</v>
      </c>
      <c r="AU11" s="5">
        <f>IF('2022 Lønnsgr pensjon tjeneste'!L11&lt;100,0,C11)</f>
        <v>424832</v>
      </c>
      <c r="AV11" s="59">
        <f t="shared" si="11"/>
        <v>8.9903105380807688E-2</v>
      </c>
      <c r="AW11" s="59">
        <f t="shared" si="12"/>
        <v>1</v>
      </c>
      <c r="AX11" s="59">
        <f>IF(AU11=0,0,(AU11/$AU$17)*AW11*'2022 Pensjon tjeneste'!L11/'2022 Lønnsgr pensjon tjeneste'!L11)</f>
        <v>1.9632292580616263E-2</v>
      </c>
      <c r="AY11" s="5">
        <f>IF(AU11=0,0,'2022 Nto driftsutg landet'!$C$24*'2022 Lønnsand og pensjon landet'!$D$14*('2022 Pensjon tjeneste'!L11/'2022 Lønnsgr pensjon tjeneste'!L11-$AX$17))</f>
        <v>2.743845699474377</v>
      </c>
      <c r="AZ11" s="5">
        <f t="shared" si="13"/>
        <v>1165.6734561990986</v>
      </c>
      <c r="BA11" s="59">
        <f>IF('2022 Lønnsgr pensjon tjeneste'!M11&lt;100,0,(C11/$C$17)*'2022 Pensjon tjeneste'!M11/'2022 Lønnsgr pensjon tjeneste'!M11)</f>
        <v>1.6997838009787741E-2</v>
      </c>
      <c r="BB11" s="5">
        <f>IF('2022 Lønnsgr pensjon tjeneste'!M11&lt;100,0,C11)</f>
        <v>424832</v>
      </c>
      <c r="BC11" s="59">
        <f t="shared" si="14"/>
        <v>7.8306148818399826E-2</v>
      </c>
      <c r="BD11" s="59">
        <f t="shared" si="15"/>
        <v>1</v>
      </c>
      <c r="BE11" s="59">
        <f>IF(BB11=0,0,(BB11/$BB$17)*BD11*'2022 Pensjon tjeneste'!M11/'2022 Lønnsgr pensjon tjeneste'!M11)</f>
        <v>1.6997838009787741E-2</v>
      </c>
      <c r="BF11" s="5">
        <f>IF(BB11=0,0,'2022 Nto driftsutg landet'!$C$25*'2022 Lønnsand og pensjon landet'!$D$15*('2022 Pensjon tjeneste'!M11/'2022 Lønnsgr pensjon tjeneste'!M11-$BE$17))</f>
        <v>-8.3402362916407707E-2</v>
      </c>
      <c r="BG11" s="5">
        <f t="shared" si="16"/>
        <v>-35.431992642503317</v>
      </c>
      <c r="BH11" s="59">
        <f>IF('2022 Lønnsgr pensjon tjeneste'!N11&lt;100,0,(C11/$C$17)*'2022 Pensjon tjeneste'!N11/'2022 Lønnsgr pensjon tjeneste'!N11)</f>
        <v>1.8468550784546598E-2</v>
      </c>
      <c r="BI11" s="5">
        <f>IF('2022 Lønnsgr pensjon tjeneste'!N11&lt;100,0,C11)</f>
        <v>424832</v>
      </c>
      <c r="BJ11" s="59">
        <f t="shared" si="17"/>
        <v>7.8306148818399826E-2</v>
      </c>
      <c r="BK11" s="59">
        <f t="shared" si="18"/>
        <v>1</v>
      </c>
      <c r="BL11" s="59">
        <f>IF(BI11=0,0,(BI11/$BI$17)*BK11*'2022 Pensjon tjeneste'!N11/'2022 Lønnsgr pensjon tjeneste'!N11)</f>
        <v>1.8468550784546598E-2</v>
      </c>
      <c r="BM11" s="5">
        <f>IF(BI11=0,0,'2022 Nto driftsutg landet'!$C$26*'2022 Lønnsand og pensjon landet'!$D$16*('2022 Pensjon tjeneste'!N11/'2022 Lønnsgr pensjon tjeneste'!N11-$BL$17))</f>
        <v>1.6060548254304545</v>
      </c>
      <c r="BN11" s="5">
        <f t="shared" si="19"/>
        <v>682.30348359727088</v>
      </c>
      <c r="BO11" s="59">
        <f>IF('2022 Lønnsgr pensjon tjeneste'!O11&lt;100,0,(C11/$C$17)*'2022 Pensjon tjeneste'!O11/'2022 Lønnsgr pensjon tjeneste'!O11)</f>
        <v>1.2187083724553776E-2</v>
      </c>
      <c r="BP11" s="5">
        <f>IF('2022 Lønnsgr pensjon tjeneste'!O11&lt;100,0,C11)</f>
        <v>424832</v>
      </c>
      <c r="BQ11" s="59">
        <f t="shared" si="20"/>
        <v>0.25077712622088211</v>
      </c>
      <c r="BR11" s="59">
        <f t="shared" si="21"/>
        <v>1</v>
      </c>
      <c r="BS11" s="59">
        <f>IF(BP11=0,0,(BP11/$BP$17)*BR11*'2022 Pensjon tjeneste'!O11/'2022 Lønnsgr pensjon tjeneste'!O11)</f>
        <v>3.9029397813249961E-2</v>
      </c>
      <c r="BT11" s="5">
        <f>IF(BP11=0,0,'2022 Nto driftsutg landet'!$C$27*'2022 Lønnsand og pensjon landet'!$D$17*('2022 Pensjon tjeneste'!O11/'2022 Lønnsgr pensjon tjeneste'!O11-$BS$17))</f>
        <v>-9.3231920584178601E-3</v>
      </c>
      <c r="BU11" s="5">
        <f t="shared" si="22"/>
        <v>-3.9607903285617763</v>
      </c>
      <c r="BV11" s="59">
        <f>IF('2022 Lønnsgr pensjon tjeneste'!P11&lt;100,0,(C11/$C$17)*'2022 Pensjon tjeneste'!P11/'2022 Lønnsgr pensjon tjeneste'!P11)</f>
        <v>1.413861020332219E-2</v>
      </c>
      <c r="BW11" s="5">
        <f>IF('2022 Lønnsgr pensjon tjeneste'!P11&lt;100,0,C11)</f>
        <v>424832</v>
      </c>
      <c r="BX11" s="59">
        <f t="shared" si="23"/>
        <v>0.12591267214993623</v>
      </c>
      <c r="BY11" s="59">
        <f t="shared" si="24"/>
        <v>1</v>
      </c>
      <c r="BZ11" s="59">
        <f>IF(BW11=0,0,(BW11/$BW$17)*BY11*'2022 Pensjon tjeneste'!P11/'2022 Lønnsgr pensjon tjeneste'!P11)</f>
        <v>2.2734232471516264E-2</v>
      </c>
      <c r="CA11" s="5">
        <f>IF(BW11=0,0,'2022 Nto driftsutg landet'!$C$28*'2022 Lønnsand og pensjon landet'!$D$18*('2022 Pensjon tjeneste'!P11/'2022 Lønnsgr pensjon tjeneste'!P11-$BZ$17))</f>
        <v>-1.0823294413032675E-2</v>
      </c>
      <c r="CB11" s="5">
        <f t="shared" si="25"/>
        <v>-4.5980818120774973</v>
      </c>
      <c r="CC11" s="5"/>
      <c r="CD11" s="5"/>
      <c r="CE11" s="5"/>
    </row>
    <row r="12" spans="1:83" x14ac:dyDescent="0.25">
      <c r="A12" s="43">
        <v>4200</v>
      </c>
      <c r="B12" s="44" t="s">
        <v>394</v>
      </c>
      <c r="C12" s="44">
        <f>+'2022 Nto driftsutg'!W12</f>
        <v>311134</v>
      </c>
      <c r="D12" s="59">
        <f>IF('2022 Lønnsgr pensjon tjeneste'!D12&lt;100,0,(C12/$C$17)*'2022 Revekting utgiftsbehov'!D12*'2022 Pensjon tjeneste'!D12/'2022 Lønnsgr pensjon tjeneste'!D12)</f>
        <v>4.3378337876563075E-3</v>
      </c>
      <c r="E12" s="5">
        <f>IF('2022 Lønnsgr pensjon tjeneste'!D12&lt;100,0,C12)</f>
        <v>311134</v>
      </c>
      <c r="F12" s="59">
        <f>'2022 Revekting utgiftsbehov'!D12*E12/$E$17</f>
        <v>6.1284340866876667E-2</v>
      </c>
      <c r="G12" s="59">
        <f>'2022 Revekting utgiftsbehov'!D12/$F$17</f>
        <v>1.0686016252764423</v>
      </c>
      <c r="H12" s="59">
        <f>IF(E12=0,0,(E12/$E$17)*G12*'2022 Pensjon tjeneste'!D12/'2022 Lønnsgr pensjon tjeneste'!D12)</f>
        <v>4.3377581440095436E-3</v>
      </c>
      <c r="I12" s="5">
        <f>IF(E12=0,0,'2022 Nto driftsutg landet'!$C$5*'2022 Lønnsand og pensjon landet'!$D$6*('2022 Pensjon tjeneste'!D12/'2022 Lønnsgr pensjon tjeneste'!D12-$H$17)*'2022 Revekting utgiftsbehov'!D12)</f>
        <v>-91.905184320613316</v>
      </c>
      <c r="J12" s="5">
        <f t="shared" si="3"/>
        <v>-28594.827618409705</v>
      </c>
      <c r="K12" s="59">
        <f>IF('2022 Lønnsgr pensjon tjeneste'!E12&lt;100,0,(C12/$C$17)*'2022 Revekting utgiftsbehov'!E12*'2022 Pensjon tjeneste'!E12/'2022 Lønnsgr pensjon tjeneste'!E12)</f>
        <v>1.8128175219224534E-2</v>
      </c>
      <c r="L12" s="5">
        <f>IF('2022 Lønnsgr pensjon tjeneste'!E12&lt;100,0,C12)</f>
        <v>311134</v>
      </c>
      <c r="M12" s="59">
        <f>'2022 Revekting utgiftsbehov'!E12*L12/$L$17</f>
        <v>7.5820192795528374E-2</v>
      </c>
      <c r="N12" s="59">
        <f>'2022 Revekting utgiftsbehov'!E12/$M$17</f>
        <v>1.0384239477738173</v>
      </c>
      <c r="O12" s="59">
        <f>IF(L12=0,0,(L12/$L$17)*N12*'2022 Pensjon tjeneste'!E12/'2022 Lønnsgr pensjon tjeneste'!E12)</f>
        <v>1.8768418211742015E-2</v>
      </c>
      <c r="P12" s="5">
        <f>IF(L12=0,0,'2022 Nto driftsutg landet'!$C$6*'2022 Lønnsand og pensjon landet'!$D$7*('2022 Pensjon tjeneste'!E12/'2022 Lønnsgr pensjon tjeneste'!E12-$O$17)*'2022 Revekting utgiftsbehov'!E12)</f>
        <v>-4.7478570368626283</v>
      </c>
      <c r="Q12" s="5">
        <f t="shared" si="4"/>
        <v>-1477.2197513072169</v>
      </c>
      <c r="R12" s="59">
        <f>IF('2022 Lønnsgr pensjon tjeneste'!F12&lt;100,0,(C12/$C$17)*'2022 Revekting utgiftsbehov'!F12*'2022 Pensjon tjeneste'!F12/'2022 Lønnsgr pensjon tjeneste'!F12)</f>
        <v>8.4132940781860514E-3</v>
      </c>
      <c r="S12" s="5">
        <f>IF('2022 Lønnsgr pensjon tjeneste'!F12&lt;100,0,C12)</f>
        <v>311134</v>
      </c>
      <c r="T12" s="59">
        <f>'2022 Revekting utgiftsbehov'!F12*S12/$S$17</f>
        <v>4.7328603414377529E-2</v>
      </c>
      <c r="U12" s="59">
        <f>'2022 Revekting utgiftsbehov'!F12/$T$17</f>
        <v>0.82502780887581562</v>
      </c>
      <c r="V12" s="59">
        <f>IF(S12=0,0,(S12/$S$17)*U12*'2022 Pensjon tjeneste'!F12/'2022 Lønnsgr pensjon tjeneste'!F12)</f>
        <v>8.4107956858508574E-3</v>
      </c>
      <c r="W12" s="5">
        <f>IF(S12=0,0,'2022 Nto driftsutg landet'!$C$7*'2022 Lønnsand og pensjon landet'!$D$8*('2022 Pensjon tjeneste'!F12/'2022 Lønnsgr pensjon tjeneste'!F12-$V$17)*'2022 Revekting utgiftsbehov'!F12)</f>
        <v>-0.5449110968072699</v>
      </c>
      <c r="X12" s="5">
        <f t="shared" si="5"/>
        <v>-169.54036919403313</v>
      </c>
      <c r="Y12" s="59">
        <f>IF('2022 Lønnsgr pensjon tjeneste'!G12&lt;100,0,(C12/$C$17)*'2022 Revekting utgiftsbehov'!G12*'2022 Pensjon tjeneste'!G12/'2022 Lønnsgr pensjon tjeneste'!G12)</f>
        <v>2.3485269244189018E-3</v>
      </c>
      <c r="Z12" s="5">
        <f>IF('2022 Lønnsgr pensjon tjeneste'!G12&lt;100,0,C12)</f>
        <v>311134</v>
      </c>
      <c r="AA12" s="59">
        <f>'2022 Revekting utgiftsbehov'!G12*Z12/$Z$17</f>
        <v>2.9842205885990021E-2</v>
      </c>
      <c r="AB12" s="59">
        <f>'2022 Revekting utgiftsbehov'!G12/$AA$17</f>
        <v>0.14016392314287168</v>
      </c>
      <c r="AC12" s="59">
        <f>IF(Z12=0,0,(Z12/$Z$17)*AB12*'2022 Pensjon tjeneste'!G12/'2022 Lønnsgr pensjon tjeneste'!G12)</f>
        <v>3.2594291759635631E-3</v>
      </c>
      <c r="AD12" s="5">
        <f>IF(Z12=0,0,'2022 Nto driftsutg landet'!$C$8*'2022 Lønnsand og pensjon landet'!$D$9*('2022 Pensjon tjeneste'!G12/'2022 Lønnsgr pensjon tjeneste'!G12-$AC$17)*'2022 Revekting utgiftsbehov'!G12)</f>
        <v>-2.1476266652544342E-2</v>
      </c>
      <c r="AE12" s="5">
        <f t="shared" si="6"/>
        <v>-6.6819967486727307</v>
      </c>
      <c r="AF12" s="59">
        <f>IF('2022 Lønnsgr pensjon tjeneste'!H12&lt;100,0,(C12/$C$17)*'2022 Revekting utgiftsbehov'!H12*'2022 Pensjon tjeneste'!H12/'2022 Lønnsgr pensjon tjeneste'!H12)</f>
        <v>1.1764698589065987E-2</v>
      </c>
      <c r="AG12" s="5">
        <f>IF('2022 Lønnsgr pensjon tjeneste'!H12&lt;100,0,C12)</f>
        <v>311134</v>
      </c>
      <c r="AH12" s="59">
        <f>'2022 Revekting utgiftsbehov'!H12*AG12/$AG$17</f>
        <v>6.0236720807974528E-2</v>
      </c>
      <c r="AI12" s="59">
        <f>'2022 Revekting utgiftsbehov'!H12/$AH$17</f>
        <v>1.0503911799436572</v>
      </c>
      <c r="AJ12" s="59">
        <f>IF(AG12=0,0,(AG12/$AG$17)*AI12*'2022 Pensjon tjeneste'!H12/'2022 Lønnsgr pensjon tjeneste'!H12)</f>
        <v>1.1765128247716328E-2</v>
      </c>
      <c r="AK12" s="5">
        <f>IF(AG12=0,0,'2022 Nto driftsutg landet'!$C$9*'2022 Lønnsand og pensjon landet'!$D$10*('2022 Pensjon tjeneste'!H12/'2022 Lønnsgr pensjon tjeneste'!H12-$AJ$17)*'2022 Revekting utgiftsbehov'!H12)</f>
        <v>0.51984514907232093</v>
      </c>
      <c r="AL12" s="5">
        <f t="shared" si="7"/>
        <v>161.7415006114675</v>
      </c>
      <c r="AM12" s="59">
        <f>IF('2022 Lønnsgr pensjon tjeneste'!K12&lt;100,0,(C12/$C$17)*'2022 Pensjon tjeneste'!K12/'2022 Lønnsgr pensjon tjeneste'!K12)</f>
        <v>3.6345805896803529E-2</v>
      </c>
      <c r="AN12" s="5">
        <f>IF('2022 Lønnsgr pensjon tjeneste'!K12&lt;100,0,C12)</f>
        <v>311134</v>
      </c>
      <c r="AO12" s="59">
        <f t="shared" si="8"/>
        <v>5.7349035163226897E-2</v>
      </c>
      <c r="AP12" s="59">
        <f t="shared" si="9"/>
        <v>1.0000365210079192</v>
      </c>
      <c r="AQ12" s="59">
        <f>IF(AN12=0,0,(AN12/$AN$17)*AP12*'2022 Pensjon tjeneste'!K12/'2022 Lønnsgr pensjon tjeneste'!K12)</f>
        <v>3.6347133282268518E-2</v>
      </c>
      <c r="AR12" s="5">
        <f>IF(AN12=0,0,'2022 Nto driftsutg landet'!$C$23*'2022 Lønnsand og pensjon landet'!$D$13*('2022 Pensjon tjeneste'!K12/'2022 Lønnsgr pensjon tjeneste'!K12-$AQ$17))</f>
        <v>51.8781593309645</v>
      </c>
      <c r="AS12" s="5">
        <f t="shared" si="10"/>
        <v>16141.059225280309</v>
      </c>
      <c r="AT12" s="59">
        <f>IF('2022 Lønnsgr pensjon tjeneste'!L12&lt;100,0,(C12/$C$17)*'2022 Pensjon tjeneste'!L12/'2022 Lønnsgr pensjon tjeneste'!L12)</f>
        <v>1.0268694801614336E-2</v>
      </c>
      <c r="AU12" s="5">
        <f>IF('2022 Lønnsgr pensjon tjeneste'!L12&lt;100,0,C12)</f>
        <v>311134</v>
      </c>
      <c r="AV12" s="59">
        <f t="shared" si="11"/>
        <v>6.5842292458082763E-2</v>
      </c>
      <c r="AW12" s="59">
        <f t="shared" si="12"/>
        <v>1</v>
      </c>
      <c r="AX12" s="59">
        <f>IF(AU12=0,0,(AU12/$AU$17)*AW12*'2022 Pensjon tjeneste'!L12/'2022 Lønnsgr pensjon tjeneste'!L12)</f>
        <v>1.1789464362675459E-2</v>
      </c>
      <c r="AY12" s="5">
        <f>IF(AU12=0,0,'2022 Nto driftsutg landet'!$C$24*'2022 Lønnsand og pensjon landet'!$D$14*('2022 Pensjon tjeneste'!L12/'2022 Lønnsgr pensjon tjeneste'!L12-$AX$17))</f>
        <v>0.83074649648977261</v>
      </c>
      <c r="AZ12" s="5">
        <f t="shared" si="13"/>
        <v>258.47348043884892</v>
      </c>
      <c r="BA12" s="59">
        <f>IF('2022 Lønnsgr pensjon tjeneste'!M12&lt;100,0,(C12/$C$17)*'2022 Pensjon tjeneste'!M12/'2022 Lønnsgr pensjon tjeneste'!M12)</f>
        <v>1.0226851263675578E-2</v>
      </c>
      <c r="BB12" s="5">
        <f>IF('2022 Lønnsgr pensjon tjeneste'!M12&lt;100,0,C12)</f>
        <v>311134</v>
      </c>
      <c r="BC12" s="59">
        <f t="shared" si="14"/>
        <v>5.7349035163226897E-2</v>
      </c>
      <c r="BD12" s="59">
        <f t="shared" si="15"/>
        <v>1</v>
      </c>
      <c r="BE12" s="59">
        <f>IF(BB12=0,0,(BB12/$BB$17)*BD12*'2022 Pensjon tjeneste'!M12/'2022 Lønnsgr pensjon tjeneste'!M12)</f>
        <v>1.0226851263675578E-2</v>
      </c>
      <c r="BF12" s="5">
        <f>IF(BB12=0,0,'2022 Nto driftsutg landet'!$C$25*'2022 Lønnsand og pensjon landet'!$D$15*('2022 Pensjon tjeneste'!M12/'2022 Lønnsgr pensjon tjeneste'!M12-$BE$17))</f>
        <v>1.6333539343726896E-3</v>
      </c>
      <c r="BG12" s="5">
        <f t="shared" si="16"/>
        <v>0.50819194301711246</v>
      </c>
      <c r="BH12" s="59">
        <f>IF('2022 Lønnsgr pensjon tjeneste'!N12&lt;100,0,(C12/$C$17)*'2022 Pensjon tjeneste'!N12/'2022 Lønnsgr pensjon tjeneste'!N12)</f>
        <v>1.03120871143978E-2</v>
      </c>
      <c r="BI12" s="5">
        <f>IF('2022 Lønnsgr pensjon tjeneste'!N12&lt;100,0,C12)</f>
        <v>311134</v>
      </c>
      <c r="BJ12" s="59">
        <f t="shared" si="17"/>
        <v>5.7349035163226897E-2</v>
      </c>
      <c r="BK12" s="59">
        <f t="shared" si="18"/>
        <v>1</v>
      </c>
      <c r="BL12" s="59">
        <f>IF(BI12=0,0,(BI12/$BI$17)*BK12*'2022 Pensjon tjeneste'!N12/'2022 Lønnsgr pensjon tjeneste'!N12)</f>
        <v>1.03120871143978E-2</v>
      </c>
      <c r="BM12" s="5">
        <f>IF(BI12=0,0,'2022 Nto driftsutg landet'!$C$26*'2022 Lønnsand og pensjon landet'!$D$16*('2022 Pensjon tjeneste'!N12/'2022 Lønnsgr pensjon tjeneste'!N12-$BL$17))</f>
        <v>0.13841313956419582</v>
      </c>
      <c r="BN12" s="5">
        <f t="shared" si="19"/>
        <v>43.065033765166504</v>
      </c>
      <c r="BO12" s="59">
        <f>IF('2022 Lønnsgr pensjon tjeneste'!O12&lt;100,0,(C12/$C$17)*'2022 Pensjon tjeneste'!O12/'2022 Lønnsgr pensjon tjeneste'!O12)</f>
        <v>0</v>
      </c>
      <c r="BP12" s="5">
        <f>IF('2022 Lønnsgr pensjon tjeneste'!O12&lt;100,0,C12)</f>
        <v>0</v>
      </c>
      <c r="BQ12" s="59">
        <f t="shared" si="20"/>
        <v>0</v>
      </c>
      <c r="BR12" s="59">
        <f t="shared" si="21"/>
        <v>1</v>
      </c>
      <c r="BS12" s="59">
        <f>IF(BP12=0,0,(BP12/$BP$17)*BR12*'2022 Pensjon tjeneste'!O12/'2022 Lønnsgr pensjon tjeneste'!O12)</f>
        <v>0</v>
      </c>
      <c r="BT12" s="5">
        <f>IF(BP12=0,0,'2022 Nto driftsutg landet'!$C$27*'2022 Lønnsand og pensjon landet'!$D$17*('2022 Pensjon tjeneste'!O12/'2022 Lønnsgr pensjon tjeneste'!O12-$BS$17))</f>
        <v>0</v>
      </c>
      <c r="BU12" s="5">
        <f t="shared" si="22"/>
        <v>0</v>
      </c>
      <c r="BV12" s="59">
        <f>IF('2022 Lønnsgr pensjon tjeneste'!P12&lt;100,0,(C12/$C$17)*'2022 Pensjon tjeneste'!P12/'2022 Lønnsgr pensjon tjeneste'!P12)</f>
        <v>3.7313375070840695E-3</v>
      </c>
      <c r="BW12" s="5">
        <f>IF('2022 Lønnsgr pensjon tjeneste'!P12&lt;100,0,C12)</f>
        <v>311134</v>
      </c>
      <c r="BX12" s="59">
        <f t="shared" si="23"/>
        <v>9.2214600916828912E-2</v>
      </c>
      <c r="BY12" s="59">
        <f t="shared" si="24"/>
        <v>1</v>
      </c>
      <c r="BZ12" s="59">
        <f>IF(BW12=0,0,(BW12/$BW$17)*BY12*'2022 Pensjon tjeneste'!P12/'2022 Lønnsgr pensjon tjeneste'!P12)</f>
        <v>5.9998184472052751E-3</v>
      </c>
      <c r="CA12" s="5">
        <f>IF(BW12=0,0,'2022 Nto driftsutg landet'!$C$28*'2022 Lønnsand og pensjon landet'!$D$18*('2022 Pensjon tjeneste'!P12/'2022 Lønnsgr pensjon tjeneste'!P12-$BZ$17))</f>
        <v>1.0587663053796839E-2</v>
      </c>
      <c r="CB12" s="5">
        <f t="shared" si="25"/>
        <v>3.2941819565800254</v>
      </c>
      <c r="CC12" s="5"/>
      <c r="CD12" s="5"/>
      <c r="CE12" s="5"/>
    </row>
    <row r="13" spans="1:83" x14ac:dyDescent="0.25">
      <c r="A13" s="43">
        <v>4600</v>
      </c>
      <c r="B13" s="44" t="s">
        <v>395</v>
      </c>
      <c r="C13" s="44">
        <f>+'2022 Nto driftsutg'!W13</f>
        <v>641292</v>
      </c>
      <c r="D13" s="59">
        <f>IF('2022 Lønnsgr pensjon tjeneste'!D13&lt;100,0,(C13/$C$17)*'2022 Revekting utgiftsbehov'!D13*'2022 Pensjon tjeneste'!D13/'2022 Lønnsgr pensjon tjeneste'!D13)</f>
        <v>5.286981414521193E-3</v>
      </c>
      <c r="E13" s="5">
        <f>IF('2022 Lønnsgr pensjon tjeneste'!D13&lt;100,0,C13)</f>
        <v>641292</v>
      </c>
      <c r="F13" s="59">
        <f>'2022 Revekting utgiftsbehov'!D13*E13/$E$17</f>
        <v>0.1252971968639349</v>
      </c>
      <c r="G13" s="59">
        <f>'2022 Revekting utgiftsbehov'!D13/$F$17</f>
        <v>1.0599840155539371</v>
      </c>
      <c r="H13" s="59">
        <f>IF(E13=0,0,(E13/$E$17)*G13*'2022 Pensjon tjeneste'!D13/'2022 Lønnsgr pensjon tjeneste'!D13)</f>
        <v>5.2868892195284522E-3</v>
      </c>
      <c r="I13" s="5">
        <f>IF(E13=0,0,'2022 Nto driftsutg landet'!$C$5*'2022 Lønnsand og pensjon landet'!$D$6*('2022 Pensjon tjeneste'!D13/'2022 Lønnsgr pensjon tjeneste'!D13-$H$17)*'2022 Revekting utgiftsbehov'!D13)</f>
        <v>-199.48485609115687</v>
      </c>
      <c r="J13" s="5">
        <f t="shared" si="3"/>
        <v>-127928.04233241017</v>
      </c>
      <c r="K13" s="59">
        <f>IF('2022 Lønnsgr pensjon tjeneste'!E13&lt;100,0,(C13/$C$17)*'2022 Revekting utgiftsbehov'!E13*'2022 Pensjon tjeneste'!E13/'2022 Lønnsgr pensjon tjeneste'!E13)</f>
        <v>6.6037556990597629E-2</v>
      </c>
      <c r="L13" s="5">
        <f>IF('2022 Lønnsgr pensjon tjeneste'!E13&lt;100,0,C13)</f>
        <v>641292</v>
      </c>
      <c r="M13" s="59">
        <f>'2022 Revekting utgiftsbehov'!E13*L13/$L$17</f>
        <v>0.16088779568303754</v>
      </c>
      <c r="N13" s="59">
        <f>'2022 Revekting utgiftsbehov'!E13/$M$17</f>
        <v>1.0690661099511769</v>
      </c>
      <c r="O13" s="59">
        <f>IF(L13=0,0,(L13/$L$17)*N13*'2022 Pensjon tjeneste'!E13/'2022 Lønnsgr pensjon tjeneste'!E13)</f>
        <v>6.8369842650621848E-2</v>
      </c>
      <c r="P13" s="5">
        <f>IF(L13=0,0,'2022 Nto driftsutg landet'!$C$6*'2022 Lønnsand og pensjon landet'!$D$7*('2022 Pensjon tjeneste'!E13/'2022 Lønnsgr pensjon tjeneste'!E13-$O$17)*'2022 Revekting utgiftsbehov'!E13)</f>
        <v>22.376840207688268</v>
      </c>
      <c r="Q13" s="5">
        <f t="shared" si="4"/>
        <v>14350.088610468825</v>
      </c>
      <c r="R13" s="59">
        <f>IF('2022 Lønnsgr pensjon tjeneste'!F13&lt;100,0,(C13/$C$17)*'2022 Revekting utgiftsbehov'!F13*'2022 Pensjon tjeneste'!F13/'2022 Lønnsgr pensjon tjeneste'!F13)</f>
        <v>1.2108105690677058E-2</v>
      </c>
      <c r="S13" s="5">
        <f>IF('2022 Lønnsgr pensjon tjeneste'!F13&lt;100,0,C13)</f>
        <v>641292</v>
      </c>
      <c r="T13" s="59">
        <f>'2022 Revekting utgiftsbehov'!F13*S13/$S$17</f>
        <v>0.11826788703205555</v>
      </c>
      <c r="U13" s="59">
        <f>'2022 Revekting utgiftsbehov'!F13/$T$17</f>
        <v>1.0002380833829485</v>
      </c>
      <c r="V13" s="59">
        <f>IF(S13=0,0,(S13/$S$17)*U13*'2022 Pensjon tjeneste'!F13/'2022 Lønnsgr pensjon tjeneste'!F13)</f>
        <v>1.2104510095637807E-2</v>
      </c>
      <c r="W13" s="5">
        <f>IF(S13=0,0,'2022 Nto driftsutg landet'!$C$7*'2022 Lønnsand og pensjon landet'!$D$8*('2022 Pensjon tjeneste'!F13/'2022 Lønnsgr pensjon tjeneste'!F13-$V$17)*'2022 Revekting utgiftsbehov'!F13)</f>
        <v>-3.3783631109078525</v>
      </c>
      <c r="X13" s="5">
        <f t="shared" si="5"/>
        <v>-2166.5172361203186</v>
      </c>
      <c r="Y13" s="59">
        <f>IF('2022 Lønnsgr pensjon tjeneste'!G13&lt;100,0,(C13/$C$17)*'2022 Revekting utgiftsbehov'!G13*'2022 Pensjon tjeneste'!G13/'2022 Lønnsgr pensjon tjeneste'!G13)</f>
        <v>0</v>
      </c>
      <c r="Z13" s="5">
        <f>IF('2022 Lønnsgr pensjon tjeneste'!G13&lt;100,0,C13)</f>
        <v>0</v>
      </c>
      <c r="AA13" s="59">
        <f>'2022 Revekting utgiftsbehov'!G13*Z13/$Z$17</f>
        <v>0</v>
      </c>
      <c r="AB13" s="59">
        <f>'2022 Revekting utgiftsbehov'!G13/$AA$17</f>
        <v>1.3176957596839727</v>
      </c>
      <c r="AC13" s="59">
        <f>IF(Z13=0,0,(Z13/$Z$17)*AB13*'2022 Pensjon tjeneste'!G13/'2022 Lønnsgr pensjon tjeneste'!G13)</f>
        <v>0</v>
      </c>
      <c r="AD13" s="5">
        <f>IF(Z13=0,0,'2022 Nto driftsutg landet'!$C$8*'2022 Lønnsand og pensjon landet'!$D$9*('2022 Pensjon tjeneste'!G13/'2022 Lønnsgr pensjon tjeneste'!G13-$AC$17)*'2022 Revekting utgiftsbehov'!G13)</f>
        <v>0</v>
      </c>
      <c r="AE13" s="5">
        <f t="shared" si="6"/>
        <v>0</v>
      </c>
      <c r="AF13" s="59">
        <f>IF('2022 Lønnsgr pensjon tjeneste'!H13&lt;100,0,(C13/$C$17)*'2022 Revekting utgiftsbehov'!H13*'2022 Pensjon tjeneste'!H13/'2022 Lønnsgr pensjon tjeneste'!H13)</f>
        <v>1.4384931936824052E-2</v>
      </c>
      <c r="AG13" s="5">
        <f>IF('2022 Lønnsgr pensjon tjeneste'!H13&lt;100,0,C13)</f>
        <v>641292</v>
      </c>
      <c r="AH13" s="59">
        <f>'2022 Revekting utgiftsbehov'!H13*AG13/$AG$17</f>
        <v>0.12192723149994748</v>
      </c>
      <c r="AI13" s="59">
        <f>'2022 Revekting utgiftsbehov'!H13/$AH$17</f>
        <v>1.0315305811607349</v>
      </c>
      <c r="AJ13" s="59">
        <f>IF(AG13=0,0,(AG13/$AG$17)*AI13*'2022 Pensjon tjeneste'!H13/'2022 Lønnsgr pensjon tjeneste'!H13)</f>
        <v>1.4385457289037238E-2</v>
      </c>
      <c r="AK13" s="5">
        <f>IF(AG13=0,0,'2022 Nto driftsutg landet'!$C$9*'2022 Lønnsand og pensjon landet'!$D$10*('2022 Pensjon tjeneste'!H13/'2022 Lønnsgr pensjon tjeneste'!H13-$AJ$17)*'2022 Revekting utgiftsbehov'!H13)</f>
        <v>-21.86840325130763</v>
      </c>
      <c r="AL13" s="5">
        <f t="shared" si="7"/>
        <v>-14024.032057837572</v>
      </c>
      <c r="AM13" s="59">
        <f>IF('2022 Lønnsgr pensjon tjeneste'!K13&lt;100,0,(C13/$C$17)*'2022 Pensjon tjeneste'!K13/'2022 Lønnsgr pensjon tjeneste'!K13)</f>
        <v>6.6319006701042196E-2</v>
      </c>
      <c r="AN13" s="5">
        <f>IF('2022 Lønnsgr pensjon tjeneste'!K13&lt;100,0,C13)</f>
        <v>641292</v>
      </c>
      <c r="AO13" s="59">
        <f t="shared" si="8"/>
        <v>0.11820462391733499</v>
      </c>
      <c r="AP13" s="59">
        <f t="shared" si="9"/>
        <v>1.0000365210079192</v>
      </c>
      <c r="AQ13" s="59">
        <f>IF(AN13=0,0,(AN13/$AN$17)*AP13*'2022 Pensjon tjeneste'!K13/'2022 Lønnsgr pensjon tjeneste'!K13)</f>
        <v>6.6321428738011112E-2</v>
      </c>
      <c r="AR13" s="5">
        <f>IF(AN13=0,0,'2022 Nto driftsutg landet'!$C$23*'2022 Lønnsand og pensjon landet'!$D$13*('2022 Pensjon tjeneste'!K13/'2022 Lønnsgr pensjon tjeneste'!K13-$AQ$17))</f>
        <v>27.845549086105681</v>
      </c>
      <c r="AS13" s="5">
        <f t="shared" si="10"/>
        <v>17857.127864526883</v>
      </c>
      <c r="AT13" s="59">
        <f>IF('2022 Lønnsgr pensjon tjeneste'!L13&lt;100,0,(C13/$C$17)*'2022 Pensjon tjeneste'!L13/'2022 Lønnsgr pensjon tjeneste'!L13)</f>
        <v>1.2692173704537166E-2</v>
      </c>
      <c r="AU13" s="5">
        <f>IF('2022 Lønnsgr pensjon tjeneste'!L13&lt;100,0,C13)</f>
        <v>641292</v>
      </c>
      <c r="AV13" s="59">
        <f t="shared" si="11"/>
        <v>0.13571045085085146</v>
      </c>
      <c r="AW13" s="59">
        <f t="shared" si="12"/>
        <v>1</v>
      </c>
      <c r="AX13" s="59">
        <f>IF(AU13=0,0,(AU13/$AU$17)*AW13*'2022 Pensjon tjeneste'!L13/'2022 Lønnsgr pensjon tjeneste'!L13)</f>
        <v>1.4571854794146145E-2</v>
      </c>
      <c r="AY13" s="5">
        <f>IF(AU13=0,0,'2022 Nto driftsutg landet'!$C$24*'2022 Lønnsand og pensjon landet'!$D$14*('2022 Pensjon tjeneste'!L13/'2022 Lønnsgr pensjon tjeneste'!L13-$AX$17))</f>
        <v>-2.657281244804953</v>
      </c>
      <c r="AZ13" s="5">
        <f t="shared" si="13"/>
        <v>-1704.0932040434579</v>
      </c>
      <c r="BA13" s="59">
        <f>IF('2022 Lønnsgr pensjon tjeneste'!M13&lt;100,0,(C13/$C$17)*'2022 Pensjon tjeneste'!M13/'2022 Lønnsgr pensjon tjeneste'!M13)</f>
        <v>1.3220361349673734E-2</v>
      </c>
      <c r="BB13" s="5">
        <f>IF('2022 Lønnsgr pensjon tjeneste'!M13&lt;100,0,C13)</f>
        <v>641292</v>
      </c>
      <c r="BC13" s="59">
        <f t="shared" si="14"/>
        <v>0.11820462391733499</v>
      </c>
      <c r="BD13" s="59">
        <f t="shared" si="15"/>
        <v>1</v>
      </c>
      <c r="BE13" s="59">
        <f>IF(BB13=0,0,(BB13/$BB$17)*BD13*'2022 Pensjon tjeneste'!M13/'2022 Lønnsgr pensjon tjeneste'!M13)</f>
        <v>1.3220361349673734E-2</v>
      </c>
      <c r="BF13" s="5">
        <f>IF(BB13=0,0,'2022 Nto driftsutg landet'!$C$25*'2022 Lønnsand og pensjon landet'!$D$15*('2022 Pensjon tjeneste'!M13/'2022 Lønnsgr pensjon tjeneste'!M13-$BE$17))</f>
        <v>0.14755744164885165</v>
      </c>
      <c r="BG13" s="5">
        <f t="shared" si="16"/>
        <v>94.627406869875372</v>
      </c>
      <c r="BH13" s="59">
        <f>IF('2022 Lønnsgr pensjon tjeneste'!N13&lt;100,0,(C13/$C$17)*'2022 Pensjon tjeneste'!N13/'2022 Lønnsgr pensjon tjeneste'!N13)</f>
        <v>1.3320817452777706E-2</v>
      </c>
      <c r="BI13" s="5">
        <f>IF('2022 Lønnsgr pensjon tjeneste'!N13&lt;100,0,C13)</f>
        <v>641292</v>
      </c>
      <c r="BJ13" s="59">
        <f t="shared" si="17"/>
        <v>0.11820462391733499</v>
      </c>
      <c r="BK13" s="59">
        <f t="shared" si="18"/>
        <v>1</v>
      </c>
      <c r="BL13" s="59">
        <f>IF(BI13=0,0,(BI13/$BI$17)*BK13*'2022 Pensjon tjeneste'!N13/'2022 Lønnsgr pensjon tjeneste'!N13)</f>
        <v>1.3320817452777706E-2</v>
      </c>
      <c r="BM13" s="5">
        <f>IF(BI13=0,0,'2022 Nto driftsutg landet'!$C$26*'2022 Lønnsand og pensjon landet'!$D$16*('2022 Pensjon tjeneste'!N13/'2022 Lønnsgr pensjon tjeneste'!N13-$BL$17))</f>
        <v>-1.6194691086069433</v>
      </c>
      <c r="BN13" s="5">
        <f t="shared" si="19"/>
        <v>-1038.552583596764</v>
      </c>
      <c r="BO13" s="59">
        <f>IF('2022 Lønnsgr pensjon tjeneste'!O13&lt;100,0,(C13/$C$17)*'2022 Pensjon tjeneste'!O13/'2022 Lønnsgr pensjon tjeneste'!O13)</f>
        <v>0</v>
      </c>
      <c r="BP13" s="5">
        <f>IF('2022 Lønnsgr pensjon tjeneste'!O13&lt;100,0,C13)</f>
        <v>0</v>
      </c>
      <c r="BQ13" s="59">
        <f t="shared" si="20"/>
        <v>0</v>
      </c>
      <c r="BR13" s="59">
        <f t="shared" si="21"/>
        <v>1</v>
      </c>
      <c r="BS13" s="59">
        <f>IF(BP13=0,0,(BP13/$BP$17)*BR13*'2022 Pensjon tjeneste'!O13/'2022 Lønnsgr pensjon tjeneste'!O13)</f>
        <v>0</v>
      </c>
      <c r="BT13" s="5">
        <f>IF(BP13=0,0,'2022 Nto driftsutg landet'!$C$27*'2022 Lønnsand og pensjon landet'!$D$17*('2022 Pensjon tjeneste'!O13/'2022 Lønnsgr pensjon tjeneste'!O13-$BS$17))</f>
        <v>0</v>
      </c>
      <c r="BU13" s="5">
        <f t="shared" si="22"/>
        <v>0</v>
      </c>
      <c r="BV13" s="59">
        <f>IF('2022 Lønnsgr pensjon tjeneste'!P13&lt;100,0,(C13/$C$17)*'2022 Pensjon tjeneste'!P13/'2022 Lønnsgr pensjon tjeneste'!P13)</f>
        <v>1.3807745370256381E-2</v>
      </c>
      <c r="BW13" s="5">
        <f>IF('2022 Lønnsgr pensjon tjeneste'!P13&lt;100,0,C13)</f>
        <v>641292</v>
      </c>
      <c r="BX13" s="59">
        <f t="shared" si="23"/>
        <v>0.19006757812117944</v>
      </c>
      <c r="BY13" s="59">
        <f t="shared" si="24"/>
        <v>1</v>
      </c>
      <c r="BZ13" s="59">
        <f>IF(BW13=0,0,(BW13/$BW$17)*BY13*'2022 Pensjon tjeneste'!P13/'2022 Lønnsgr pensjon tjeneste'!P13)</f>
        <v>2.2202217094941266E-2</v>
      </c>
      <c r="CA13" s="5">
        <f>IF(BW13=0,0,'2022 Nto driftsutg landet'!$C$28*'2022 Lønnsand og pensjon landet'!$D$18*('2022 Pensjon tjeneste'!P13/'2022 Lønnsgr pensjon tjeneste'!P13-$BZ$17))</f>
        <v>9.940332096209255E-4</v>
      </c>
      <c r="CB13" s="5">
        <f t="shared" si="25"/>
        <v>0.63746554506422248</v>
      </c>
      <c r="CC13" s="5"/>
      <c r="CD13" s="5"/>
      <c r="CE13" s="5"/>
    </row>
    <row r="14" spans="1:83" x14ac:dyDescent="0.25">
      <c r="A14" s="43">
        <v>5000</v>
      </c>
      <c r="B14" s="44" t="s">
        <v>390</v>
      </c>
      <c r="C14" s="44">
        <f>+'2022 Nto driftsutg'!W14</f>
        <v>474131</v>
      </c>
      <c r="D14" s="59">
        <f>IF('2022 Lønnsgr pensjon tjeneste'!D14&lt;100,0,(C14/$C$17)*'2022 Revekting utgiftsbehov'!D14*'2022 Pensjon tjeneste'!D14/'2022 Lønnsgr pensjon tjeneste'!D14)</f>
        <v>8.1663972344938954E-3</v>
      </c>
      <c r="E14" s="5">
        <f>IF('2022 Lønnsgr pensjon tjeneste'!D14&lt;100,0,C14)</f>
        <v>474131</v>
      </c>
      <c r="F14" s="59">
        <f>'2022 Revekting utgiftsbehov'!D14*E14/$E$17</f>
        <v>8.9171843037491219E-2</v>
      </c>
      <c r="G14" s="59">
        <f>'2022 Revekting utgiftsbehov'!D14/$F$17</f>
        <v>1.0203359169541177</v>
      </c>
      <c r="H14" s="59">
        <f>IF(E14=0,0,(E14/$E$17)*G14*'2022 Pensjon tjeneste'!D14/'2022 Lønnsgr pensjon tjeneste'!D14)</f>
        <v>8.1662548279154111E-3</v>
      </c>
      <c r="I14" s="5">
        <f>IF(E14=0,0,'2022 Nto driftsutg landet'!$C$5*'2022 Lønnsand og pensjon landet'!$D$6*('2022 Pensjon tjeneste'!D14/'2022 Lønnsgr pensjon tjeneste'!D14-$H$17)*'2022 Revekting utgiftsbehov'!D14)</f>
        <v>-11.892328680976629</v>
      </c>
      <c r="J14" s="5">
        <f t="shared" si="3"/>
        <v>-5638.5216898401295</v>
      </c>
      <c r="K14" s="59">
        <f>IF('2022 Lønnsgr pensjon tjeneste'!E14&lt;100,0,(C14/$C$17)*'2022 Revekting utgiftsbehov'!E14*'2022 Pensjon tjeneste'!E14/'2022 Lønnsgr pensjon tjeneste'!E14)</f>
        <v>3.2848565766384979E-2</v>
      </c>
      <c r="L14" s="5">
        <f>IF('2022 Lønnsgr pensjon tjeneste'!E14&lt;100,0,C14)</f>
        <v>474131</v>
      </c>
      <c r="M14" s="59">
        <f>'2022 Revekting utgiftsbehov'!E14*L14/$L$17</f>
        <v>0.12847013288375717</v>
      </c>
      <c r="N14" s="59">
        <f>'2022 Revekting utgiftsbehov'!E14/$M$17</f>
        <v>1.1546253939528952</v>
      </c>
      <c r="O14" s="59">
        <f>IF(L14=0,0,(L14/$L$17)*N14*'2022 Pensjon tjeneste'!E14/'2022 Lønnsgr pensjon tjeneste'!E14)</f>
        <v>3.4008697097412423E-2</v>
      </c>
      <c r="P14" s="5">
        <f>IF(L14=0,0,'2022 Nto driftsutg landet'!$C$6*'2022 Lønnsand og pensjon landet'!$D$7*('2022 Pensjon tjeneste'!E14/'2022 Lønnsgr pensjon tjeneste'!E14-$O$17)*'2022 Revekting utgiftsbehov'!E14)</f>
        <v>-2.4273087703997498</v>
      </c>
      <c r="Q14" s="5">
        <f t="shared" si="4"/>
        <v>-1150.8623346184038</v>
      </c>
      <c r="R14" s="59">
        <f>IF('2022 Lønnsgr pensjon tjeneste'!F14&lt;100,0,(C14/$C$17)*'2022 Revekting utgiftsbehov'!F14*'2022 Pensjon tjeneste'!F14/'2022 Lønnsgr pensjon tjeneste'!F14)</f>
        <v>1.3126051174318384E-2</v>
      </c>
      <c r="S14" s="5">
        <f>IF('2022 Lønnsgr pensjon tjeneste'!F14&lt;100,0,C14)</f>
        <v>474131</v>
      </c>
      <c r="T14" s="59">
        <f>'2022 Revekting utgiftsbehov'!F14*S14/$S$17</f>
        <v>9.2775329351497723E-2</v>
      </c>
      <c r="U14" s="59">
        <f>'2022 Revekting utgiftsbehov'!F14/$T$17</f>
        <v>1.0612715536411288</v>
      </c>
      <c r="V14" s="59">
        <f>IF(S14=0,0,(S14/$S$17)*U14*'2022 Pensjon tjeneste'!F14/'2022 Lønnsgr pensjon tjeneste'!F14)</f>
        <v>1.3122153292544549E-2</v>
      </c>
      <c r="W14" s="5">
        <f>IF(S14=0,0,'2022 Nto driftsutg landet'!$C$7*'2022 Lønnsand og pensjon landet'!$D$8*('2022 Pensjon tjeneste'!F14/'2022 Lønnsgr pensjon tjeneste'!F14-$V$17)*'2022 Revekting utgiftsbehov'!F14)</f>
        <v>-2.0887494060065532</v>
      </c>
      <c r="X14" s="5">
        <f t="shared" si="5"/>
        <v>-990.34084461929308</v>
      </c>
      <c r="Y14" s="59">
        <f>IF('2022 Lønnsgr pensjon tjeneste'!G14&lt;100,0,(C14/$C$17)*'2022 Revekting utgiftsbehov'!G14*'2022 Pensjon tjeneste'!G14/'2022 Lønnsgr pensjon tjeneste'!G14)</f>
        <v>1.2326481814714537E-2</v>
      </c>
      <c r="Z14" s="5">
        <f>IF('2022 Lønnsgr pensjon tjeneste'!G14&lt;100,0,C14)</f>
        <v>474131</v>
      </c>
      <c r="AA14" s="59">
        <f>'2022 Revekting utgiftsbehov'!G14*Z14/$Z$17</f>
        <v>0.24366239639560702</v>
      </c>
      <c r="AB14" s="59">
        <f>'2022 Revekting utgiftsbehov'!G14/$AA$17</f>
        <v>0.75100521774183482</v>
      </c>
      <c r="AC14" s="59">
        <f>IF(Z14=0,0,(Z14/$Z$17)*AB14*'2022 Pensjon tjeneste'!G14/'2022 Lønnsgr pensjon tjeneste'!G14)</f>
        <v>1.7107444690593006E-2</v>
      </c>
      <c r="AD14" s="5">
        <f>IF(Z14=0,0,'2022 Nto driftsutg landet'!$C$8*'2022 Lønnsand og pensjon landet'!$D$9*('2022 Pensjon tjeneste'!G14/'2022 Lønnsgr pensjon tjeneste'!G14-$AC$17)*'2022 Revekting utgiftsbehov'!G14)</f>
        <v>-0.50503710042929806</v>
      </c>
      <c r="AE14" s="5">
        <f t="shared" si="6"/>
        <v>-239.45374546364351</v>
      </c>
      <c r="AF14" s="59">
        <f>IF('2022 Lønnsgr pensjon tjeneste'!H14&lt;100,0,(C14/$C$17)*'2022 Revekting utgiftsbehov'!H14*'2022 Pensjon tjeneste'!H14/'2022 Lønnsgr pensjon tjeneste'!H14)</f>
        <v>1.2247478592859795E-2</v>
      </c>
      <c r="AG14" s="5">
        <f>IF('2022 Lønnsgr pensjon tjeneste'!H14&lt;100,0,C14)</f>
        <v>474131</v>
      </c>
      <c r="AH14" s="59">
        <f>'2022 Revekting utgiftsbehov'!H14*AG14/$AG$17</f>
        <v>8.7775588430749063E-2</v>
      </c>
      <c r="AI14" s="59">
        <f>'2022 Revekting utgiftsbehov'!H14/$AH$17</f>
        <v>1.0044136708600055</v>
      </c>
      <c r="AJ14" s="59">
        <f>IF(AG14=0,0,(AG14/$AG$17)*AI14*'2022 Pensjon tjeneste'!H14/'2022 Lønnsgr pensjon tjeneste'!H14)</f>
        <v>1.2247925883122476E-2</v>
      </c>
      <c r="AK14" s="5">
        <f>IF(AG14=0,0,'2022 Nto driftsutg landet'!$C$9*'2022 Lønnsand og pensjon landet'!$D$10*('2022 Pensjon tjeneste'!H14/'2022 Lønnsgr pensjon tjeneste'!H14-$AJ$17)*'2022 Revekting utgiftsbehov'!H14)</f>
        <v>-15.220276536311303</v>
      </c>
      <c r="AL14" s="5">
        <f t="shared" si="7"/>
        <v>-7216.4049344378145</v>
      </c>
      <c r="AM14" s="59">
        <f>IF('2022 Lønnsgr pensjon tjeneste'!K14&lt;100,0,(C14/$C$17)*'2022 Pensjon tjeneste'!K14/'2022 Lønnsgr pensjon tjeneste'!K14)</f>
        <v>7.3162085661329965E-2</v>
      </c>
      <c r="AN14" s="5">
        <f>IF('2022 Lønnsgr pensjon tjeneste'!K14&lt;100,0,C14)</f>
        <v>474131</v>
      </c>
      <c r="AO14" s="59">
        <f t="shared" si="8"/>
        <v>8.7393069837998841E-2</v>
      </c>
      <c r="AP14" s="59">
        <f t="shared" si="9"/>
        <v>1.0000365210079192</v>
      </c>
      <c r="AQ14" s="59">
        <f>IF(AN14=0,0,(AN14/$AN$17)*AP14*'2022 Pensjon tjeneste'!K14/'2022 Lønnsgr pensjon tjeneste'!K14)</f>
        <v>7.3164757614439788E-2</v>
      </c>
      <c r="AR14" s="5">
        <f>IF(AN14=0,0,'2022 Nto driftsutg landet'!$C$23*'2022 Lønnsand og pensjon landet'!$D$13*('2022 Pensjon tjeneste'!K14/'2022 Lønnsgr pensjon tjeneste'!K14-$AQ$17))</f>
        <v>119.10392752688222</v>
      </c>
      <c r="AS14" s="5">
        <f t="shared" si="10"/>
        <v>56470.864262248193</v>
      </c>
      <c r="AT14" s="59">
        <f>IF('2022 Lønnsgr pensjon tjeneste'!L14&lt;100,0,(C14/$C$17)*'2022 Pensjon tjeneste'!L14/'2022 Lønnsgr pensjon tjeneste'!L14)</f>
        <v>1.1280831623159675E-2</v>
      </c>
      <c r="AU14" s="5">
        <f>IF('2022 Lønnsgr pensjon tjeneste'!L14&lt;100,0,C14)</f>
        <v>474131</v>
      </c>
      <c r="AV14" s="59">
        <f t="shared" si="11"/>
        <v>0.10033577804239729</v>
      </c>
      <c r="AW14" s="59">
        <f t="shared" si="12"/>
        <v>1</v>
      </c>
      <c r="AX14" s="59">
        <f>IF(AU14=0,0,(AU14/$AU$17)*AW14*'2022 Pensjon tjeneste'!L14/'2022 Lønnsgr pensjon tjeneste'!L14)</f>
        <v>1.2951496268218555E-2</v>
      </c>
      <c r="AY14" s="5">
        <f>IF(AU14=0,0,'2022 Nto driftsutg landet'!$C$24*'2022 Lønnsand og pensjon landet'!$D$14*('2022 Pensjon tjeneste'!L14/'2022 Lønnsgr pensjon tjeneste'!L14-$AX$17))</f>
        <v>-1.6010198870799646</v>
      </c>
      <c r="AZ14" s="5">
        <f t="shared" si="13"/>
        <v>-759.09316008111068</v>
      </c>
      <c r="BA14" s="59">
        <f>IF('2022 Lønnsgr pensjon tjeneste'!M14&lt;100,0,(C14/$C$17)*'2022 Pensjon tjeneste'!M14/'2022 Lønnsgr pensjon tjeneste'!M14)</f>
        <v>9.9119935439263857E-3</v>
      </c>
      <c r="BB14" s="5">
        <f>IF('2022 Lønnsgr pensjon tjeneste'!M14&lt;100,0,C14)</f>
        <v>474131</v>
      </c>
      <c r="BC14" s="59">
        <f t="shared" si="14"/>
        <v>8.7393069837998841E-2</v>
      </c>
      <c r="BD14" s="59">
        <f t="shared" si="15"/>
        <v>1</v>
      </c>
      <c r="BE14" s="59">
        <f>IF(BB14=0,0,(BB14/$BB$17)*BD14*'2022 Pensjon tjeneste'!M14/'2022 Lønnsgr pensjon tjeneste'!M14)</f>
        <v>9.9119935439263857E-3</v>
      </c>
      <c r="BF14" s="5">
        <f>IF(BB14=0,0,'2022 Nto driftsutg landet'!$C$25*'2022 Lønnsand og pensjon landet'!$D$15*('2022 Pensjon tjeneste'!M14/'2022 Lønnsgr pensjon tjeneste'!M14-$BE$17))</f>
        <v>0.14409935065920537</v>
      </c>
      <c r="BG14" s="5">
        <f t="shared" si="16"/>
        <v>68.321969227399705</v>
      </c>
      <c r="BH14" s="59">
        <f>IF('2022 Lønnsgr pensjon tjeneste'!N14&lt;100,0,(C14/$C$17)*'2022 Pensjon tjeneste'!N14/'2022 Lønnsgr pensjon tjeneste'!N14)</f>
        <v>1.0688929043673936E-2</v>
      </c>
      <c r="BI14" s="5">
        <f>IF('2022 Lønnsgr pensjon tjeneste'!N14&lt;100,0,C14)</f>
        <v>474131</v>
      </c>
      <c r="BJ14" s="59">
        <f t="shared" si="17"/>
        <v>8.7393069837998841E-2</v>
      </c>
      <c r="BK14" s="59">
        <f t="shared" si="18"/>
        <v>1</v>
      </c>
      <c r="BL14" s="59">
        <f>IF(BI14=0,0,(BI14/$BI$17)*BK14*'2022 Pensjon tjeneste'!N14/'2022 Lønnsgr pensjon tjeneste'!N14)</f>
        <v>1.0688929043673936E-2</v>
      </c>
      <c r="BM14" s="5">
        <f>IF(BI14=0,0,'2022 Nto driftsutg landet'!$C$26*'2022 Lønnsand og pensjon landet'!$D$16*('2022 Pensjon tjeneste'!N14/'2022 Lønnsgr pensjon tjeneste'!N14-$BL$17))</f>
        <v>-1.3676296273201123</v>
      </c>
      <c r="BN14" s="5">
        <f t="shared" si="19"/>
        <v>-648.4356028309121</v>
      </c>
      <c r="BO14" s="59">
        <f>IF('2022 Lønnsgr pensjon tjeneste'!O14&lt;100,0,(C14/$C$17)*'2022 Pensjon tjeneste'!O14/'2022 Lønnsgr pensjon tjeneste'!O14)</f>
        <v>0</v>
      </c>
      <c r="BP14" s="5">
        <f>IF('2022 Lønnsgr pensjon tjeneste'!O14&lt;100,0,C14)</f>
        <v>0</v>
      </c>
      <c r="BQ14" s="59">
        <f t="shared" si="20"/>
        <v>0</v>
      </c>
      <c r="BR14" s="59">
        <f t="shared" si="21"/>
        <v>1</v>
      </c>
      <c r="BS14" s="59">
        <f>IF(BP14=0,0,(BP14/$BP$17)*BR14*'2022 Pensjon tjeneste'!O14/'2022 Lønnsgr pensjon tjeneste'!O14)</f>
        <v>0</v>
      </c>
      <c r="BT14" s="5">
        <f>IF(BP14=0,0,'2022 Nto driftsutg landet'!$C$27*'2022 Lønnsand og pensjon landet'!$D$17*('2022 Pensjon tjeneste'!O14/'2022 Lønnsgr pensjon tjeneste'!O14-$BS$17))</f>
        <v>0</v>
      </c>
      <c r="BU14" s="5">
        <f t="shared" si="22"/>
        <v>0</v>
      </c>
      <c r="BV14" s="59">
        <f>IF('2022 Lønnsgr pensjon tjeneste'!P14&lt;100,0,(C14/$C$17)*'2022 Pensjon tjeneste'!P14/'2022 Lønnsgr pensjon tjeneste'!P14)</f>
        <v>0</v>
      </c>
      <c r="BW14" s="5">
        <f>IF('2022 Lønnsgr pensjon tjeneste'!P14&lt;100,0,C14)</f>
        <v>0</v>
      </c>
      <c r="BX14" s="59">
        <f t="shared" si="23"/>
        <v>0</v>
      </c>
      <c r="BY14" s="59">
        <f t="shared" si="24"/>
        <v>1</v>
      </c>
      <c r="BZ14" s="59">
        <f>IF(BW14=0,0,(BW14/$BW$17)*BY14*'2022 Pensjon tjeneste'!P14/'2022 Lønnsgr pensjon tjeneste'!P14)</f>
        <v>0</v>
      </c>
      <c r="CA14" s="5">
        <f>IF(BW14=0,0,'2022 Nto driftsutg landet'!$C$28*'2022 Lønnsand og pensjon landet'!$D$18*('2022 Pensjon tjeneste'!P14/'2022 Lønnsgr pensjon tjeneste'!P14-$BZ$17))</f>
        <v>0</v>
      </c>
      <c r="CB14" s="5">
        <f t="shared" si="25"/>
        <v>0</v>
      </c>
      <c r="CC14" s="5"/>
      <c r="CD14" s="5"/>
      <c r="CE14" s="5"/>
    </row>
    <row r="15" spans="1:83" x14ac:dyDescent="0.25">
      <c r="A15" s="43">
        <v>5400</v>
      </c>
      <c r="B15" s="44" t="s">
        <v>396</v>
      </c>
      <c r="C15" s="44">
        <f>+'2022 Nto driftsutg'!W15</f>
        <v>241736</v>
      </c>
      <c r="D15" s="59">
        <f>IF('2022 Lønnsgr pensjon tjeneste'!D15&lt;100,0,(C15/$C$17)*'2022 Revekting utgiftsbehov'!D15*'2022 Pensjon tjeneste'!D15/'2022 Lønnsgr pensjon tjeneste'!D15)</f>
        <v>5.597606782423767E-3</v>
      </c>
      <c r="E15" s="5">
        <f>IF('2022 Lønnsgr pensjon tjeneste'!D15&lt;100,0,C15)</f>
        <v>241736</v>
      </c>
      <c r="F15" s="59">
        <f>'2022 Revekting utgiftsbehov'!D15*E15/$E$17</f>
        <v>4.7419555193337848E-2</v>
      </c>
      <c r="G15" s="59">
        <f>'2022 Revekting utgiftsbehov'!D15/$F$17</f>
        <v>1.0642163517486827</v>
      </c>
      <c r="H15" s="59">
        <f>IF(E15=0,0,(E15/$E$17)*G15*'2022 Pensjon tjeneste'!D15/'2022 Lønnsgr pensjon tjeneste'!D15)</f>
        <v>5.5975091707099727E-3</v>
      </c>
      <c r="I15" s="5">
        <f>IF(E15=0,0,'2022 Nto driftsutg landet'!$C$5*'2022 Lønnsand og pensjon landet'!$D$6*('2022 Pensjon tjeneste'!D15/'2022 Lønnsgr pensjon tjeneste'!D15-$H$17)*'2022 Revekting utgiftsbehov'!D15)</f>
        <v>88.273921034417853</v>
      </c>
      <c r="J15" s="5">
        <f t="shared" si="3"/>
        <v>21338.984575176033</v>
      </c>
      <c r="K15" s="59">
        <f>IF('2022 Lønnsgr pensjon tjeneste'!E15&lt;100,0,(C15/$C$17)*'2022 Revekting utgiftsbehov'!E15*'2022 Pensjon tjeneste'!E15/'2022 Lønnsgr pensjon tjeneste'!E15)</f>
        <v>2.6422358236429813E-2</v>
      </c>
      <c r="L15" s="5">
        <f>IF('2022 Lønnsgr pensjon tjeneste'!E15&lt;100,0,C15)</f>
        <v>241736</v>
      </c>
      <c r="M15" s="59">
        <f>'2022 Revekting utgiftsbehov'!E15*L15/$L$17</f>
        <v>0.105661965854613</v>
      </c>
      <c r="N15" s="59">
        <f>'2022 Revekting utgiftsbehov'!E15/$M$17</f>
        <v>1.8625787252973451</v>
      </c>
      <c r="O15" s="59">
        <f>IF(L15=0,0,(L15/$L$17)*N15*'2022 Pensjon tjeneste'!E15/'2022 Lønnsgr pensjon tjeneste'!E15)</f>
        <v>2.7355531570319537E-2</v>
      </c>
      <c r="P15" s="5">
        <f>IF(L15=0,0,'2022 Nto driftsutg landet'!$C$6*'2022 Lønnsand og pensjon landet'!$D$7*('2022 Pensjon tjeneste'!E15/'2022 Lønnsgr pensjon tjeneste'!E15-$O$17)*'2022 Revekting utgiftsbehov'!E15)</f>
        <v>-5.4749444913775598</v>
      </c>
      <c r="Q15" s="5">
        <f t="shared" si="4"/>
        <v>-1323.4911815676458</v>
      </c>
      <c r="R15" s="59">
        <f>IF('2022 Lønnsgr pensjon tjeneste'!F15&lt;100,0,(C15/$C$17)*'2022 Revekting utgiftsbehov'!F15*'2022 Pensjon tjeneste'!F15/'2022 Lønnsgr pensjon tjeneste'!F15)</f>
        <v>1.1051985254165694E-2</v>
      </c>
      <c r="S15" s="5">
        <f>IF('2022 Lønnsgr pensjon tjeneste'!F15&lt;100,0,C15)</f>
        <v>241736</v>
      </c>
      <c r="T15" s="59">
        <f>'2022 Revekting utgiftsbehov'!F15*S15/$S$17</f>
        <v>4.9975538208774858E-2</v>
      </c>
      <c r="U15" s="59">
        <f>'2022 Revekting utgiftsbehov'!F15/$T$17</f>
        <v>1.1212656526402751</v>
      </c>
      <c r="V15" s="59">
        <f>IF(S15=0,0,(S15/$S$17)*U15*'2022 Pensjon tjeneste'!F15/'2022 Lønnsgr pensjon tjeneste'!F15)</f>
        <v>1.1048703282206664E-2</v>
      </c>
      <c r="W15" s="5">
        <f>IF(S15=0,0,'2022 Nto driftsutg landet'!$C$7*'2022 Lønnsand og pensjon landet'!$D$8*('2022 Pensjon tjeneste'!F15/'2022 Lønnsgr pensjon tjeneste'!F15-$V$17)*'2022 Revekting utgiftsbehov'!F15)</f>
        <v>1.0127551821912988</v>
      </c>
      <c r="X15" s="5">
        <f t="shared" si="5"/>
        <v>244.81938672219582</v>
      </c>
      <c r="Y15" s="59">
        <f>IF('2022 Lønnsgr pensjon tjeneste'!G15&lt;100,0,(C15/$C$17)*'2022 Revekting utgiftsbehov'!G15*'2022 Pensjon tjeneste'!G15/'2022 Lønnsgr pensjon tjeneste'!G15)</f>
        <v>2.9902893763438444E-2</v>
      </c>
      <c r="Z15" s="5">
        <f>IF('2022 Lønnsgr pensjon tjeneste'!G15&lt;100,0,C15)</f>
        <v>241736</v>
      </c>
      <c r="AA15" s="59">
        <f>'2022 Revekting utgiftsbehov'!G15*Z15/$Z$17</f>
        <v>0.32168898481922636</v>
      </c>
      <c r="AB15" s="59">
        <f>'2022 Revekting utgiftsbehov'!G15/$AA$17</f>
        <v>1.9446777866524561</v>
      </c>
      <c r="AC15" s="59">
        <f>IF(Z15=0,0,(Z15/$Z$17)*AB15*'2022 Pensjon tjeneste'!G15/'2022 Lønnsgr pensjon tjeneste'!G15)</f>
        <v>4.1501063226007662E-2</v>
      </c>
      <c r="AD15" s="5">
        <f>IF(Z15=0,0,'2022 Nto driftsutg landet'!$C$8*'2022 Lønnsand og pensjon landet'!$D$9*('2022 Pensjon tjeneste'!G15/'2022 Lønnsgr pensjon tjeneste'!G15-$AC$17)*'2022 Revekting utgiftsbehov'!G15)</f>
        <v>0.21421411498337042</v>
      </c>
      <c r="AE15" s="5">
        <f t="shared" si="6"/>
        <v>51.783263299620032</v>
      </c>
      <c r="AF15" s="59">
        <f>IF('2022 Lønnsgr pensjon tjeneste'!H15&lt;100,0,(C15/$C$17)*'2022 Revekting utgiftsbehov'!H15*'2022 Pensjon tjeneste'!H15/'2022 Lønnsgr pensjon tjeneste'!H15)</f>
        <v>1.0015854588429901E-2</v>
      </c>
      <c r="AG15" s="5">
        <f>IF('2022 Lønnsgr pensjon tjeneste'!H15&lt;100,0,C15)</f>
        <v>241736</v>
      </c>
      <c r="AH15" s="59">
        <f>'2022 Revekting utgiftsbehov'!H15*AG15/$AG$17</f>
        <v>4.3278945683145727E-2</v>
      </c>
      <c r="AI15" s="59">
        <f>'2022 Revekting utgiftsbehov'!H15/$AH$17</f>
        <v>0.97134287312524759</v>
      </c>
      <c r="AJ15" s="59">
        <f>IF(AG15=0,0,(AG15/$AG$17)*AI15*'2022 Pensjon tjeneste'!H15/'2022 Lønnsgr pensjon tjeneste'!H15)</f>
        <v>1.0016220377534643E-2</v>
      </c>
      <c r="AK15" s="5">
        <f>IF(AG15=0,0,'2022 Nto driftsutg landet'!$C$9*'2022 Lønnsand og pensjon landet'!$D$10*('2022 Pensjon tjeneste'!H15/'2022 Lønnsgr pensjon tjeneste'!H15-$AJ$17)*'2022 Revekting utgiftsbehov'!H15)</f>
        <v>10.323408204429892</v>
      </c>
      <c r="AL15" s="5">
        <f t="shared" si="7"/>
        <v>2495.5394057060644</v>
      </c>
      <c r="AM15" s="59">
        <f>IF('2022 Lønnsgr pensjon tjeneste'!K15&lt;100,0,(C15/$C$17)*'2022 Pensjon tjeneste'!K15/'2022 Lønnsgr pensjon tjeneste'!K15)</f>
        <v>9.4187467819499306E-3</v>
      </c>
      <c r="AN15" s="5">
        <f>IF('2022 Lønnsgr pensjon tjeneste'!K15&lt;100,0,C15)</f>
        <v>241736</v>
      </c>
      <c r="AO15" s="59">
        <f t="shared" si="8"/>
        <v>4.45574137324041E-2</v>
      </c>
      <c r="AP15" s="59">
        <f t="shared" si="9"/>
        <v>1.0000365210079192</v>
      </c>
      <c r="AQ15" s="59">
        <f>IF(AN15=0,0,(AN15/$AN$17)*AP15*'2022 Pensjon tjeneste'!K15/'2022 Lønnsgr pensjon tjeneste'!K15)</f>
        <v>9.4190907640757417E-3</v>
      </c>
      <c r="AR15" s="5">
        <f>IF(AN15=0,0,'2022 Nto driftsutg landet'!$C$23*'2022 Lønnsand og pensjon landet'!$D$13*('2022 Pensjon tjeneste'!K15/'2022 Lønnsgr pensjon tjeneste'!K15-$AQ$17))</f>
        <v>-87.725414629999221</v>
      </c>
      <c r="AS15" s="5">
        <f t="shared" si="10"/>
        <v>-21206.390830997494</v>
      </c>
      <c r="AT15" s="59">
        <f>IF('2022 Lønnsgr pensjon tjeneste'!L15&lt;100,0,(C15/$C$17)*'2022 Pensjon tjeneste'!L15/'2022 Lønnsgr pensjon tjeneste'!L15)</f>
        <v>9.9282958054697328E-3</v>
      </c>
      <c r="AU15" s="5">
        <f>IF('2022 Lønnsgr pensjon tjeneste'!L15&lt;100,0,C15)</f>
        <v>241736</v>
      </c>
      <c r="AV15" s="59">
        <f t="shared" si="11"/>
        <v>5.1156261963164092E-2</v>
      </c>
      <c r="AW15" s="59">
        <f t="shared" si="12"/>
        <v>1</v>
      </c>
      <c r="AX15" s="59">
        <f>IF(AU15=0,0,(AU15/$AU$17)*AW15*'2022 Pensjon tjeneste'!L15/'2022 Lønnsgr pensjon tjeneste'!L15)</f>
        <v>1.1398653075392251E-2</v>
      </c>
      <c r="AY15" s="5">
        <f>IF(AU15=0,0,'2022 Nto driftsutg landet'!$C$24*'2022 Lønnsand og pensjon landet'!$D$14*('2022 Pensjon tjeneste'!L15/'2022 Lønnsgr pensjon tjeneste'!L15-$AX$17))</f>
        <v>2.9603151303743092</v>
      </c>
      <c r="AZ15" s="5">
        <f t="shared" si="13"/>
        <v>715.61473835616391</v>
      </c>
      <c r="BA15" s="59">
        <f>IF('2022 Lønnsgr pensjon tjeneste'!M15&lt;100,0,(C15/$C$17)*'2022 Pensjon tjeneste'!M15/'2022 Lønnsgr pensjon tjeneste'!M15)</f>
        <v>9.8746816861489204E-3</v>
      </c>
      <c r="BB15" s="5">
        <f>IF('2022 Lønnsgr pensjon tjeneste'!M15&lt;100,0,C15)</f>
        <v>241736</v>
      </c>
      <c r="BC15" s="59">
        <f t="shared" si="14"/>
        <v>4.45574137324041E-2</v>
      </c>
      <c r="BD15" s="59">
        <f t="shared" si="15"/>
        <v>1</v>
      </c>
      <c r="BE15" s="59">
        <f>IF(BB15=0,0,(BB15/$BB$17)*BD15*'2022 Pensjon tjeneste'!M15/'2022 Lønnsgr pensjon tjeneste'!M15)</f>
        <v>9.8746816861489204E-3</v>
      </c>
      <c r="BF15" s="5">
        <f>IF(BB15=0,0,'2022 Nto driftsutg landet'!$C$25*'2022 Lønnsand og pensjon landet'!$D$15*('2022 Pensjon tjeneste'!M15/'2022 Lønnsgr pensjon tjeneste'!M15-$BE$17))</f>
        <v>-9.3384785351751681E-2</v>
      </c>
      <c r="BG15" s="5">
        <f t="shared" si="16"/>
        <v>-22.574464471791046</v>
      </c>
      <c r="BH15" s="59">
        <f>IF('2022 Lønnsgr pensjon tjeneste'!N15&lt;100,0,(C15/$C$17)*'2022 Pensjon tjeneste'!N15/'2022 Lønnsgr pensjon tjeneste'!N15)</f>
        <v>1.005227408548498E-2</v>
      </c>
      <c r="BI15" s="5">
        <f>IF('2022 Lønnsgr pensjon tjeneste'!N15&lt;100,0,C15)</f>
        <v>241736</v>
      </c>
      <c r="BJ15" s="59">
        <f t="shared" si="17"/>
        <v>4.45574137324041E-2</v>
      </c>
      <c r="BK15" s="59">
        <f t="shared" si="18"/>
        <v>1</v>
      </c>
      <c r="BL15" s="59">
        <f>IF(BI15=0,0,(BI15/$BI$17)*BK15*'2022 Pensjon tjeneste'!N15/'2022 Lønnsgr pensjon tjeneste'!N15)</f>
        <v>1.005227408548498E-2</v>
      </c>
      <c r="BM15" s="5">
        <f>IF(BI15=0,0,'2022 Nto driftsutg landet'!$C$26*'2022 Lønnsand og pensjon landet'!$D$16*('2022 Pensjon tjeneste'!N15/'2022 Lønnsgr pensjon tjeneste'!N15-$BL$17))</f>
        <v>1.3376615866968082</v>
      </c>
      <c r="BN15" s="5">
        <f t="shared" si="19"/>
        <v>323.36096132173964</v>
      </c>
      <c r="BO15" s="59">
        <f>IF('2022 Lønnsgr pensjon tjeneste'!O15&lt;100,0,(C15/$C$17)*'2022 Pensjon tjeneste'!O15/'2022 Lønnsgr pensjon tjeneste'!O15)</f>
        <v>0</v>
      </c>
      <c r="BP15" s="5">
        <f>IF('2022 Lønnsgr pensjon tjeneste'!O15&lt;100,0,C15)</f>
        <v>0</v>
      </c>
      <c r="BQ15" s="59">
        <f t="shared" si="20"/>
        <v>0</v>
      </c>
      <c r="BR15" s="59">
        <f t="shared" si="21"/>
        <v>1</v>
      </c>
      <c r="BS15" s="59">
        <f>IF(BP15=0,0,(BP15/$BP$17)*BR15*'2022 Pensjon tjeneste'!O15/'2022 Lønnsgr pensjon tjeneste'!O15)</f>
        <v>0</v>
      </c>
      <c r="BT15" s="5">
        <f>IF(BP15=0,0,'2022 Nto driftsutg landet'!$C$27*'2022 Lønnsand og pensjon landet'!$D$17*('2022 Pensjon tjeneste'!O15/'2022 Lønnsgr pensjon tjeneste'!O15-$BS$17))</f>
        <v>0</v>
      </c>
      <c r="BU15" s="5">
        <f t="shared" si="22"/>
        <v>0</v>
      </c>
      <c r="BV15" s="59">
        <f>IF('2022 Lønnsgr pensjon tjeneste'!P15&lt;100,0,(C15/$C$17)*'2022 Pensjon tjeneste'!P15/'2022 Lønnsgr pensjon tjeneste'!P15)</f>
        <v>1.0626900667575706E-2</v>
      </c>
      <c r="BW15" s="5">
        <f>IF('2022 Lønnsgr pensjon tjeneste'!P15&lt;100,0,C15)</f>
        <v>241736</v>
      </c>
      <c r="BX15" s="59">
        <f t="shared" si="23"/>
        <v>7.164626420523168E-2</v>
      </c>
      <c r="BY15" s="59">
        <f t="shared" si="24"/>
        <v>1</v>
      </c>
      <c r="BZ15" s="59">
        <f>IF(BW15=0,0,(BW15/$BW$17)*BY15*'2022 Pensjon tjeneste'!P15/'2022 Lønnsgr pensjon tjeneste'!P15)</f>
        <v>1.7087565662685107E-2</v>
      </c>
      <c r="CA15" s="5">
        <f>IF(BW15=0,0,'2022 Nto driftsutg landet'!$C$28*'2022 Lønnsand og pensjon landet'!$D$18*('2022 Pensjon tjeneste'!P15/'2022 Lønnsgr pensjon tjeneste'!P15-$BZ$17))</f>
        <v>-2.1565394434180117E-2</v>
      </c>
      <c r="CB15" s="5">
        <f t="shared" si="25"/>
        <v>-5.213132188940965</v>
      </c>
      <c r="CC15" s="5"/>
      <c r="CD15" s="5"/>
      <c r="CE15" s="5"/>
    </row>
    <row r="16" spans="1:83" x14ac:dyDescent="0.25">
      <c r="B16" s="45"/>
      <c r="C16" s="45"/>
      <c r="D16" s="45"/>
      <c r="E16" s="45"/>
      <c r="F16" s="45"/>
      <c r="G16" s="45"/>
    </row>
    <row r="17" spans="2:83" x14ac:dyDescent="0.25">
      <c r="B17" s="44" t="s">
        <v>3</v>
      </c>
      <c r="C17" s="5">
        <f>SUM(C5:C16)</f>
        <v>5425270</v>
      </c>
      <c r="D17" s="59">
        <f>SUM(D5:D16)</f>
        <v>9.4842516660006038E-2</v>
      </c>
      <c r="E17" s="5">
        <f>SUM(E5:E16)</f>
        <v>5425270</v>
      </c>
      <c r="F17" s="59">
        <f>SUM(F5:F16)</f>
        <v>1.0000174384196288</v>
      </c>
      <c r="G17" s="5"/>
      <c r="H17" s="59">
        <f>SUM(H5:H16)</f>
        <v>9.4840862785242841E-2</v>
      </c>
      <c r="I17" s="5"/>
      <c r="J17" s="5">
        <f>SUM(J5:J16)</f>
        <v>-3.4924596548080444E-10</v>
      </c>
      <c r="K17" s="59">
        <f>SUM(K5:K16)</f>
        <v>0.29920756519445479</v>
      </c>
      <c r="L17" s="5">
        <f>SUM(L5:L16)</f>
        <v>4725443</v>
      </c>
      <c r="M17" s="59">
        <f>SUM(M5:M16)</f>
        <v>1.1089328423797304</v>
      </c>
      <c r="N17" s="5"/>
      <c r="O17" s="59">
        <f>SUM(O5:O16)</f>
        <v>0.30977484759366813</v>
      </c>
      <c r="P17" s="5"/>
      <c r="Q17" s="5">
        <f>SUM(Q5:Q16)</f>
        <v>-2.2282620193436742E-11</v>
      </c>
      <c r="R17" s="59">
        <f>SUM(R5:R16)</f>
        <v>0.19614639887672031</v>
      </c>
      <c r="S17" s="5">
        <f>SUM(S5:S16)</f>
        <v>5425270</v>
      </c>
      <c r="T17" s="59">
        <f>SUM(T5:T16)</f>
        <v>1.0002970458953599</v>
      </c>
      <c r="U17" s="5"/>
      <c r="V17" s="59">
        <f>SUM(V5:V16)</f>
        <v>0.19608815169613025</v>
      </c>
      <c r="W17" s="5"/>
      <c r="X17" s="5">
        <f>SUM(X5:X16)</f>
        <v>-2.3305801732931286E-12</v>
      </c>
      <c r="Y17" s="59">
        <f>SUM(Y5:Y16)</f>
        <v>0.14228021505515828</v>
      </c>
      <c r="Z17" s="5">
        <f>SUM(Z5:Z16)</f>
        <v>2390089</v>
      </c>
      <c r="AA17" s="59">
        <f>SUM(AA5:AA16)</f>
        <v>1.6355404076862745</v>
      </c>
      <c r="AB17" s="5"/>
      <c r="AC17" s="59">
        <f>SUM(AC5:AC16)</f>
        <v>0.19746517669917704</v>
      </c>
      <c r="AD17" s="5"/>
      <c r="AE17" s="5">
        <f>SUM(AE5:AE16)</f>
        <v>-7.1054273576010019E-14</v>
      </c>
      <c r="AF17" s="59">
        <f>SUM(AF5:AF16)</f>
        <v>0.19353666531101471</v>
      </c>
      <c r="AG17" s="5">
        <f>SUM(AG5:AG16)</f>
        <v>5425270</v>
      </c>
      <c r="AH17" s="59">
        <f>SUM(AH5:AH16)</f>
        <v>0.99996348032581606</v>
      </c>
      <c r="AI17" s="5"/>
      <c r="AJ17" s="59">
        <f>SUM(AJ5:AJ16)</f>
        <v>0.19354373346510118</v>
      </c>
      <c r="AK17" s="5"/>
      <c r="AL17" s="5">
        <f>SUM(AL5:AL16)</f>
        <v>2.0463630789890885E-11</v>
      </c>
      <c r="AM17" s="59">
        <f>SUM(AM5:AM16)</f>
        <v>0.47678648456142475</v>
      </c>
      <c r="AN17" s="5">
        <f>SUM(AN5:AN16)</f>
        <v>5425270</v>
      </c>
      <c r="AO17" s="59">
        <f>SUM(AO5:AO16)</f>
        <v>1</v>
      </c>
      <c r="AP17" s="5"/>
      <c r="AQ17" s="59">
        <f>SUM(AQ5:AQ16)</f>
        <v>0.4768038972844032</v>
      </c>
      <c r="AR17" s="5"/>
      <c r="AS17" s="5">
        <f>SUM(AS5:AS16)</f>
        <v>-31.223445395800809</v>
      </c>
      <c r="AT17" s="59">
        <f>SUM(AT5:AT16)</f>
        <v>0.14108874714422445</v>
      </c>
      <c r="AU17" s="5">
        <f>SUM(AU5:AU16)</f>
        <v>4725443</v>
      </c>
      <c r="AV17" s="59">
        <f>SUM(AV5:AV16)</f>
        <v>1</v>
      </c>
      <c r="AW17" s="5"/>
      <c r="AX17" s="59">
        <f>SUM(AX5:AX16)</f>
        <v>0.16198365893296071</v>
      </c>
      <c r="AY17" s="5"/>
      <c r="AZ17" s="5">
        <f>SUM(AZ5:AZ16)</f>
        <v>-3.979039320256561E-12</v>
      </c>
      <c r="BA17" s="59">
        <f>SUM(BA5:BA16)</f>
        <v>0.17907063567582834</v>
      </c>
      <c r="BB17" s="5">
        <f>SUM(BB5:BB16)</f>
        <v>5425270</v>
      </c>
      <c r="BC17" s="59">
        <f>SUM(BC5:BC16)</f>
        <v>1</v>
      </c>
      <c r="BD17" s="5"/>
      <c r="BE17" s="59">
        <f>SUM(BE5:BE16)</f>
        <v>0.17907063567582834</v>
      </c>
      <c r="BF17" s="5"/>
      <c r="BG17" s="5">
        <f>SUM(BG5:BG16)</f>
        <v>2.8421709430404007E-13</v>
      </c>
      <c r="BH17" s="59">
        <f>SUM(BH5:BH16)</f>
        <v>0.17452781609020937</v>
      </c>
      <c r="BI17" s="5">
        <f>SUM(BI5:BI16)</f>
        <v>5425270</v>
      </c>
      <c r="BJ17" s="59">
        <f>SUM(BJ5:BJ16)</f>
        <v>1</v>
      </c>
      <c r="BK17" s="5"/>
      <c r="BL17" s="59">
        <f>SUM(BL5:BL16)</f>
        <v>0.17452781609020937</v>
      </c>
      <c r="BM17" s="5"/>
      <c r="BN17" s="5">
        <f>SUM(BN5:BN16)</f>
        <v>-2.3874235921539366E-12</v>
      </c>
      <c r="BO17" s="59">
        <f>SUM(BO5:BO16)</f>
        <v>4.02005459973898E-2</v>
      </c>
      <c r="BP17" s="5">
        <f>SUM(BP5:BP16)</f>
        <v>1694062</v>
      </c>
      <c r="BQ17" s="59">
        <f>SUM(BQ5:BQ16)</f>
        <v>1</v>
      </c>
      <c r="BR17" s="5"/>
      <c r="BS17" s="59">
        <f>SUM(BS5:BS16)</f>
        <v>0.12874311340627376</v>
      </c>
      <c r="BT17" s="5"/>
      <c r="BU17" s="5">
        <f>SUM(BU5:BU16)</f>
        <v>4.4408920985006262E-15</v>
      </c>
      <c r="BV17" s="59">
        <f>SUM(BV5:BV16)</f>
        <v>7.5981098140488729E-2</v>
      </c>
      <c r="BW17" s="5">
        <f>SUM(BW5:BW16)</f>
        <v>3374021</v>
      </c>
      <c r="BX17" s="59">
        <f>SUM(BX5:BX16)</f>
        <v>0.99999999999999989</v>
      </c>
      <c r="BY17" s="5"/>
      <c r="BZ17" s="59">
        <f>SUM(BZ5:BZ16)</f>
        <v>0.12217409800017523</v>
      </c>
      <c r="CA17" s="59"/>
      <c r="CB17" s="5">
        <f>SUM(CB5:CB16)</f>
        <v>0</v>
      </c>
      <c r="CC17" s="5"/>
      <c r="CD17" s="5"/>
      <c r="CE17" s="5"/>
    </row>
    <row r="18" spans="2:83" x14ac:dyDescent="0.25">
      <c r="CD18" s="5"/>
    </row>
  </sheetData>
  <sheetProtection algorithmName="SHA-512" hashValue="UdbvjlFDClfUiwNyDnf7aNRCXRugXcXzQlcz45Y2oWFpFHBP75YQk8q3tprOwnI6VWIVc68L2c245wSyZow8Ow==" saltValue="kBLTrW5WX9GMG94LuH9Yqw==" spinCount="100000" sheet="1" objects="1" scenarios="1"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2"/>
  <dimension ref="B1:I80"/>
  <sheetViews>
    <sheetView showGridLines="0" workbookViewId="0">
      <selection activeCell="A2" sqref="A2"/>
    </sheetView>
  </sheetViews>
  <sheetFormatPr baseColWidth="10" defaultRowHeight="15" x14ac:dyDescent="0.25"/>
  <cols>
    <col min="2" max="2" width="39.5703125" customWidth="1"/>
    <col min="3" max="3" width="17.42578125" customWidth="1"/>
    <col min="4" max="4" width="24" customWidth="1"/>
    <col min="5" max="5" width="24.5703125" customWidth="1"/>
    <col min="6" max="6" width="22.85546875" customWidth="1"/>
    <col min="7" max="7" width="8.85546875" customWidth="1"/>
    <col min="8" max="8" width="30.5703125" customWidth="1"/>
    <col min="9" max="9" width="16.5703125" bestFit="1" customWidth="1"/>
  </cols>
  <sheetData>
    <row r="1" spans="2:8" ht="33" customHeight="1" x14ac:dyDescent="0.4">
      <c r="B1" s="79" t="str">
        <f>+Inngang!C5</f>
        <v>TRØNDELAG</v>
      </c>
      <c r="C1" s="106"/>
    </row>
    <row r="3" spans="2:8" x14ac:dyDescent="0.25">
      <c r="B3" s="7" t="s">
        <v>52</v>
      </c>
    </row>
    <row r="4" spans="2:8" x14ac:dyDescent="0.25">
      <c r="B4" s="7"/>
    </row>
    <row r="5" spans="2:8" ht="45" x14ac:dyDescent="0.25">
      <c r="B5" s="38"/>
      <c r="C5" s="18" t="s">
        <v>315</v>
      </c>
      <c r="D5" s="18" t="s">
        <v>131</v>
      </c>
    </row>
    <row r="6" spans="2:8" x14ac:dyDescent="0.25">
      <c r="B6" s="39"/>
      <c r="C6" s="37" t="s">
        <v>40</v>
      </c>
      <c r="D6" s="37" t="s">
        <v>40</v>
      </c>
    </row>
    <row r="7" spans="2:8" x14ac:dyDescent="0.25">
      <c r="B7" s="62" t="s">
        <v>139</v>
      </c>
      <c r="C7" s="64">
        <f>VLOOKUP(Inngang!$B$5,'2022 Inntektsnivå'!A5:D15,4)</f>
        <v>-400.48861631147884</v>
      </c>
      <c r="D7" s="101"/>
    </row>
    <row r="8" spans="2:8" x14ac:dyDescent="0.25">
      <c r="B8" s="62" t="s">
        <v>273</v>
      </c>
      <c r="C8" s="65">
        <f>+E31+E32+E33+E34+E35</f>
        <v>-855.21152090275712</v>
      </c>
      <c r="D8" s="74">
        <f>H31+H32+H33+H34+H35</f>
        <v>-540.72355976154961</v>
      </c>
    </row>
    <row r="9" spans="2:8" x14ac:dyDescent="0.25">
      <c r="B9" s="62" t="s">
        <v>272</v>
      </c>
      <c r="C9" s="65">
        <f>+E36</f>
        <v>439.40411298187018</v>
      </c>
      <c r="D9" s="74">
        <f t="shared" ref="D9:D12" si="0">+H36</f>
        <v>475.9972482511796</v>
      </c>
    </row>
    <row r="10" spans="2:8" x14ac:dyDescent="0.25">
      <c r="B10" s="62" t="s">
        <v>27</v>
      </c>
      <c r="C10" s="65">
        <f>+E37</f>
        <v>-11.687872807633944</v>
      </c>
      <c r="D10" s="74">
        <f t="shared" si="0"/>
        <v>-14.581453427769212</v>
      </c>
    </row>
    <row r="11" spans="2:8" x14ac:dyDescent="0.25">
      <c r="B11" s="62" t="s">
        <v>24</v>
      </c>
      <c r="C11" s="65">
        <f t="shared" ref="C11:C12" si="1">+E38</f>
        <v>538.52082107813828</v>
      </c>
      <c r="D11" s="74">
        <f t="shared" si="0"/>
        <v>557.02363515477225</v>
      </c>
    </row>
    <row r="12" spans="2:8" x14ac:dyDescent="0.25">
      <c r="B12" s="63" t="s">
        <v>25</v>
      </c>
      <c r="C12" s="66">
        <f t="shared" si="1"/>
        <v>-511.51415666109665</v>
      </c>
      <c r="D12" s="75">
        <f t="shared" si="0"/>
        <v>-477.71587021663322</v>
      </c>
    </row>
    <row r="13" spans="2:8" x14ac:dyDescent="0.25">
      <c r="B13" s="7"/>
      <c r="C13" s="5"/>
      <c r="D13" s="5"/>
    </row>
    <row r="14" spans="2:8" x14ac:dyDescent="0.25">
      <c r="B14" s="7"/>
    </row>
    <row r="16" spans="2:8" ht="45" x14ac:dyDescent="0.25">
      <c r="B16" s="77"/>
      <c r="C16" s="15" t="s">
        <v>50</v>
      </c>
      <c r="D16" s="20" t="s">
        <v>51</v>
      </c>
      <c r="E16" s="18" t="s">
        <v>57</v>
      </c>
      <c r="F16" s="20" t="s">
        <v>56</v>
      </c>
      <c r="G16" s="20"/>
      <c r="H16" s="18" t="s">
        <v>58</v>
      </c>
    </row>
    <row r="17" spans="2:9" x14ac:dyDescent="0.25">
      <c r="B17" s="78"/>
      <c r="C17" s="41" t="s">
        <v>53</v>
      </c>
      <c r="D17" s="35" t="s">
        <v>54</v>
      </c>
      <c r="E17" s="37" t="s">
        <v>55</v>
      </c>
      <c r="F17" s="35" t="s">
        <v>53</v>
      </c>
      <c r="G17" s="35"/>
      <c r="H17" s="37" t="s">
        <v>55</v>
      </c>
    </row>
    <row r="18" spans="2:9" x14ac:dyDescent="0.25">
      <c r="B18" s="62" t="s">
        <v>174</v>
      </c>
      <c r="C18" s="14">
        <f>VLOOKUP(Inngang!$B$5,'2022 Nto driftsutg eks avskriv'!$A$5:$T$15,4)*1000/VLOOKUP(Inngang!$B$5,'2022 Nto driftsutg'!$A$5:$W$15,23)*100/'2022 Nto driftsutg landet'!C5-100</f>
        <v>1.716731973299062</v>
      </c>
      <c r="D18" s="5">
        <f>('2022 Nto driftsutg landet'!$C$5+VLOOKUP(Inngang!$B$5,'2022 Korreksjoner'!$A$5:$AS$15,3)+VLOOKUP(Inngang!$B$5,'2022 Korreksjoner'!$A$5:$AS$15,5)+VLOOKUP(Inngang!$B$5,'2022 Korreksjoner'!$A$5:$AS$15,12)+VLOOKUP(Inngang!$B$5,'2022 Korreksjoner'!$A$5:$AS$15,28))*100/'2022 Nto driftsutg landet'!C5-100</f>
        <v>2.2112264761629348</v>
      </c>
      <c r="E18" s="16">
        <f>+C18-D18</f>
        <v>-0.49449450286387275</v>
      </c>
      <c r="F18" s="5">
        <f>('2022 Nto driftsutg landet'!$C$5*VLOOKUP(Inngang!$B$5,'2022 Inntektsnivå'!$A$5:$C$15,3)+VLOOKUP(Inngang!$B$5,'2022 Korreksjoner'!$A$5:$AS$15,5)+VLOOKUP(Inngang!$B$5,'2022 Korreksjoner'!$A$5:$AS$15,3)+VLOOKUP(Inngang!$B$5,'2022 Korreksjoner'!$A$5:$AS$15,12)+VLOOKUP(Inngang!$B$5,'2022 Korreksjoner'!$A$5:$AS$15,28))*100/'2022 Nto driftsutg landet'!C5-100</f>
        <v>-0.36796027958253319</v>
      </c>
      <c r="G18" s="5"/>
      <c r="H18" s="16">
        <f>+C18-F18</f>
        <v>2.0846922528815952</v>
      </c>
    </row>
    <row r="19" spans="2:9" x14ac:dyDescent="0.25">
      <c r="B19" s="62" t="s">
        <v>175</v>
      </c>
      <c r="C19" s="14">
        <f>VLOOKUP(Inngang!$B$5,'2022 Nto driftsutg eks avskriv'!$A$5:$T$15,5)*1000/VLOOKUP(Inngang!$B$5,'2022 Nto driftsutg'!$A$5:$W$15,23)*100/'2022 Nto driftsutg landet'!C6-100</f>
        <v>34.756705321523384</v>
      </c>
      <c r="D19" s="5">
        <f>('2022 Nto driftsutg landet'!$C$6+VLOOKUP(Inngang!$B$5,'2022 Korreksjoner'!$A$5:$AS$15,6)+VLOOKUP(Inngang!$B$5,'2022 Korreksjoner'!$A$5:$AS$15,13)+VLOOKUP(Inngang!$B$5,'2022 Korreksjoner'!$A$5:$AS$15,29))*100/'2022 Nto driftsutg landet'!C6-100</f>
        <v>28.535620697820121</v>
      </c>
      <c r="E19" s="16">
        <f>+C19-D19</f>
        <v>6.2210846237032627</v>
      </c>
      <c r="F19" s="5">
        <f>('2022 Nto driftsutg landet'!$C$6*VLOOKUP(Inngang!$B$5,'2022 Inntektsnivå'!$A$5:$C$15,3)+VLOOKUP(Inngang!$B$5,'2022 Korreksjoner'!$A$5:$AS$15,6)+VLOOKUP(Inngang!$B$5,'2022 Korreksjoner'!$A$5:$AS$15,13)+VLOOKUP(Inngang!$B$5,'2022 Korreksjoner'!$A$5:$AS$15,29))*100/'2022 Nto driftsutg landet'!C6-100</f>
        <v>25.956433942074653</v>
      </c>
      <c r="G19" s="5"/>
      <c r="H19" s="16">
        <f>+C19-F19</f>
        <v>8.8002713794487306</v>
      </c>
    </row>
    <row r="20" spans="2:9" x14ac:dyDescent="0.25">
      <c r="B20" s="32" t="s">
        <v>278</v>
      </c>
      <c r="C20" s="14">
        <f>VLOOKUP(Inngang!$B$5,'2022 Nto driftsutg eks avskriv'!$A$5:$T$15,6)*1000/VLOOKUP(Inngang!$B$5,'2022 Nto driftsutg'!$A$5:$W$15,23)*100/'2022 Nto driftsutg landet'!C7-100</f>
        <v>-24.650402232139584</v>
      </c>
      <c r="D20" s="5">
        <f>('2022 Nto driftsutg landet'!$C$7+VLOOKUP(Inngang!$B$5,'2022 Korreksjoner'!$A$5:$AS$15,7)+VLOOKUP(Inngang!$B$5,'2022 Korreksjoner'!$A$5:$AS$15,14)+VLOOKUP(Inngang!$B$5,'2022 Korreksjoner'!$A$5:$AS$15,30))*100/'2022 Nto driftsutg landet'!C7-100</f>
        <v>6.0598160826612713</v>
      </c>
      <c r="E20" s="16">
        <f>+C20-D20</f>
        <v>-30.710218314800855</v>
      </c>
      <c r="F20" s="5">
        <f>('2022 Nto driftsutg landet'!$C$7*VLOOKUP(Inngang!$B$5,'2022 Inntektsnivå'!$A$5:$C$15,3)+VLOOKUP(Inngang!$B$5,'2022 Korreksjoner'!$A$5:$AS$15,7)+VLOOKUP(Inngang!$B$5,'2022 Korreksjoner'!$A$5:$AS$15,14)+VLOOKUP(Inngang!$B$5,'2022 Korreksjoner'!$A$5:$AS$15,30))*100/'2022 Nto driftsutg landet'!C7-100</f>
        <v>3.4806293269157891</v>
      </c>
      <c r="G20" s="5"/>
      <c r="H20" s="16">
        <f>+C20-F20</f>
        <v>-28.131031559055373</v>
      </c>
    </row>
    <row r="21" spans="2:9" x14ac:dyDescent="0.25">
      <c r="B21" s="32" t="s">
        <v>279</v>
      </c>
      <c r="C21" s="14">
        <f>VLOOKUP(Inngang!$B$5,'2022 Nto driftsutg eks avskriv'!$A$5:$T$15,7)*1000/VLOOKUP(Inngang!$B$5,'2022 Nto driftsutg'!$A$5:$W$15,23)*100/'2022 Nto driftsutg landet'!C9-100</f>
        <v>72.524354320217697</v>
      </c>
      <c r="D21" s="5">
        <f>('2022 Nto driftsutg landet'!$C$8+VLOOKUP(Inngang!$B$5,'2022 Korreksjoner'!$A$5:$AS$15,8)+VLOOKUP(Inngang!$B$5,'2022 Korreksjoner'!$A$5:$AS$15,15)+VLOOKUP(Inngang!$B$5,'2022 Korreksjoner'!$A$5:$AS$15,31))*100/'2022 Nto driftsutg landet'!C8-100</f>
        <v>22.572994151773727</v>
      </c>
      <c r="E21" s="16">
        <f>+C21-D21</f>
        <v>49.951360168443969</v>
      </c>
      <c r="F21" s="5">
        <f>('2022 Nto driftsutg landet'!$C$8*VLOOKUP(Inngang!$B$5,'2022 Inntektsnivå'!$A$5:$C$15,3)+VLOOKUP(Inngang!$B$5,'2022 Korreksjoner'!$A$5:$AS$15,8)+VLOOKUP(Inngang!$B$5,'2022 Korreksjoner'!$A$5:$AS$15,15)+VLOOKUP(Inngang!$B$5,'2022 Korreksjoner'!$A$5:$AS$15,31))*100/'2022 Nto driftsutg landet'!C8-100</f>
        <v>19.993807396028274</v>
      </c>
      <c r="G21" s="5"/>
      <c r="H21" s="16">
        <f>+C21-F21</f>
        <v>52.530546924189423</v>
      </c>
    </row>
    <row r="22" spans="2:9" x14ac:dyDescent="0.25">
      <c r="B22" s="63" t="s">
        <v>176</v>
      </c>
      <c r="C22" s="26">
        <f>VLOOKUP(Inngang!$B$5,'2022 Nto driftsutg eks avskriv'!$A$5:$T$15,8)*1000/VLOOKUP(Inngang!$B$5,'2022 Nto driftsutg'!$A$5:$W$15,23)*100/'2022 Nto driftsutg landet'!C9-100</f>
        <v>6.3232915510074008</v>
      </c>
      <c r="D22" s="22">
        <f>('2022 Nto driftsutg landet'!$C$9+VLOOKUP(Inngang!$B$5,'2022 Korreksjoner'!$A$5:$AS$15,9)+VLOOKUP(Inngang!$B$5,'2022 Korreksjoner'!$A$5:$AS$15,16)+VLOOKUP(Inngang!$B$5,'2022 Korreksjoner'!$A$5:$AS$15,32))*100/'2022 Nto driftsutg landet'!C9-100</f>
        <v>-2.4885266640988419</v>
      </c>
      <c r="E22" s="27">
        <f t="shared" ref="E22" si="2">+C22-D22</f>
        <v>8.8118182151062427</v>
      </c>
      <c r="F22" s="22">
        <f>('2022 Nto driftsutg landet'!$C$9*VLOOKUP(Inngang!$B$5,'2022 Inntektsnivå'!$A$5:$C$15,3)+VLOOKUP(Inngang!$B$5,'2022 Korreksjoner'!$A$5:$AS$15,9)+VLOOKUP(Inngang!$B$5,'2022 Korreksjoner'!$A$5:$AS$15,16)+VLOOKUP(Inngang!$B$5,'2022 Korreksjoner'!$A$5:$AS$15,32))*100/'2022 Nto driftsutg landet'!C9-100</f>
        <v>-5.0677134198443099</v>
      </c>
      <c r="G22" s="22"/>
      <c r="H22" s="27">
        <f t="shared" ref="H22" si="3">+C22-F22</f>
        <v>11.391004970851711</v>
      </c>
    </row>
    <row r="26" spans="2:9" x14ac:dyDescent="0.25">
      <c r="B26" s="7" t="s">
        <v>35</v>
      </c>
    </row>
    <row r="28" spans="2:9" ht="60" x14ac:dyDescent="0.25">
      <c r="B28" s="38"/>
      <c r="C28" s="20" t="s">
        <v>135</v>
      </c>
      <c r="D28" s="20" t="s">
        <v>270</v>
      </c>
      <c r="E28" s="19" t="s">
        <v>49</v>
      </c>
      <c r="F28" s="15" t="s">
        <v>43</v>
      </c>
      <c r="G28" s="20"/>
      <c r="H28" s="18" t="s">
        <v>44</v>
      </c>
    </row>
    <row r="29" spans="2:9" x14ac:dyDescent="0.25">
      <c r="B29" s="39"/>
      <c r="C29" s="35" t="s">
        <v>40</v>
      </c>
      <c r="D29" s="35" t="s">
        <v>42</v>
      </c>
      <c r="E29" s="36" t="s">
        <v>40</v>
      </c>
      <c r="F29" s="41" t="s">
        <v>40</v>
      </c>
      <c r="G29" s="35"/>
      <c r="H29" s="37" t="s">
        <v>40</v>
      </c>
    </row>
    <row r="30" spans="2:9" x14ac:dyDescent="0.25">
      <c r="B30" s="83" t="s">
        <v>140</v>
      </c>
      <c r="C30" s="84">
        <f>SUM(C31:C35)</f>
        <v>12343.993537650987</v>
      </c>
      <c r="D30" s="84">
        <f>SUM(D31:D35)</f>
        <v>13199.205058553744</v>
      </c>
      <c r="E30" s="85">
        <f>SUM(E31:E35)</f>
        <v>-855.21152090275712</v>
      </c>
      <c r="F30" s="87">
        <f>SUM(F31:F35)</f>
        <v>12884.717097412537</v>
      </c>
      <c r="G30" s="84"/>
      <c r="H30" s="86">
        <f>SUM(H31:H35)</f>
        <v>-540.72355976154961</v>
      </c>
    </row>
    <row r="31" spans="2:9" x14ac:dyDescent="0.25">
      <c r="B31" s="32" t="s">
        <v>174</v>
      </c>
      <c r="C31" s="5">
        <f>VLOOKUP(Inngang!$B$5,'2022 Nto driftsutg eks avskriv'!$A$5:$T$15,4)*1000/VLOOKUP(Inngang!$B$5,'2022 Nto driftsutg'!$A$5:$W$15,23)</f>
        <v>6559.2462842547739</v>
      </c>
      <c r="D31" s="5">
        <f>+'2022 Nto driftsutg landet'!$C$5+VLOOKUP(Inngang!$B$5,'2022 Korreksjoner'!$A$5:$AS$15,5)+VLOOKUP(Inngang!$B$5,'2022 Korreksjoner'!$A$5:$I$15,3)+VLOOKUP(Inngang!$B$5,'2022 Korreksjoner'!$A$5:$AS$15,12)+VLOOKUP(Inngang!$B$5,'2022 Korreksjoner'!$A$5:$AS$15,28)</f>
        <v>6591.1339704551692</v>
      </c>
      <c r="E31" s="17">
        <f>+C31-D31</f>
        <v>-31.887686200395365</v>
      </c>
      <c r="F31" s="14">
        <f>+'2022 Nto driftsutg landet'!$C$5*VLOOKUP(Inngang!$B$5,'2022 Inntektsnivå'!$A$5:$C$15,3)+VLOOKUP(Inngang!$B$5,'2022 Korreksjoner'!$A$5:$AS$15,5)+VLOOKUP(Inngang!$B$5,'2022 Korreksjoner'!$A$5:$AS$15,3)+VLOOKUP(Inngang!$B$5,'2022 Korreksjoner'!$A$5:$AS$15,12)+VLOOKUP(Inngang!$B$5,'2022 Korreksjoner'!$A$5:$AS$15,28)</f>
        <v>6424.814026667912</v>
      </c>
      <c r="G31" s="5"/>
      <c r="H31" s="16">
        <f>IF(F34=G34,C31-F31,(C31-F31)-(G34-F34)*C31/C30)</f>
        <v>134.43225758686185</v>
      </c>
      <c r="I31" s="105"/>
    </row>
    <row r="32" spans="2:9" x14ac:dyDescent="0.25">
      <c r="B32" s="32" t="s">
        <v>175</v>
      </c>
      <c r="C32" s="5">
        <f>VLOOKUP(Inngang!$B$5,'2022 Nto driftsutg eks avskriv'!$A$5:$T$15,5)*1000/VLOOKUP(Inngang!$B$5,'2022 Nto driftsutg'!$A$5:$W$15,23)</f>
        <v>2439.5810440574442</v>
      </c>
      <c r="D32" s="5">
        <f>+'2022 Nto driftsutg landet'!$C$6+VLOOKUP(Inngang!$B$5,'2022 Korreksjoner'!$A$5:$AS$15,6)+VLOOKUP(Inngang!$B$5,'2022 Korreksjoner'!$A$5:$AS$15,13)+VLOOKUP(Inngang!$B$5,'2022 Korreksjoner'!$A$5:$AS$15,29)</f>
        <v>2326.9570370720221</v>
      </c>
      <c r="E32" s="17">
        <f>+C32-D32</f>
        <v>112.62400698542206</v>
      </c>
      <c r="F32" s="14">
        <f>+'2022 Nto driftsutg landet'!$C$6*VLOOKUP(Inngang!$B$5,'2022 Inntektsnivå'!$A$5:$C$15,3)+VLOOKUP(Inngang!$B$5,'2022 Korreksjoner'!$A$5:$AS$15,6)+VLOOKUP(Inngang!$B$5,'2022 Korreksjoner'!$A$5:$AS$15,13)+VLOOKUP(Inngang!$B$5,'2022 Korreksjoner'!$A$5:$AS$15,29)</f>
        <v>2280.2644802646414</v>
      </c>
      <c r="G32" s="5"/>
      <c r="H32" s="16">
        <f>IF(F34=G34,C32-F32,(C32-F32)-(G34-F34)*C32/C30)</f>
        <v>159.31656379280275</v>
      </c>
      <c r="I32" s="105"/>
    </row>
    <row r="33" spans="2:9" x14ac:dyDescent="0.25">
      <c r="B33" s="32" t="s">
        <v>278</v>
      </c>
      <c r="C33" s="5">
        <f>VLOOKUP(Inngang!$B$5,'2022 Nto driftsutg eks avskriv'!$A$5:$T$15,6)*1000/VLOOKUP(Inngang!$B$5,'2022 Nto driftsutg'!$A$5:$W$15,23)</f>
        <v>1862.2300587812229</v>
      </c>
      <c r="D33" s="5">
        <f>+'2022 Nto driftsutg landet'!$C$7+VLOOKUP(Inngang!$B$5,'2022 Korreksjoner'!$A$5:$AS$15,7)+VLOOKUP(Inngang!$B$5,'2022 Korreksjoner'!$A$5:$AS$15,14)+VLOOKUP(Inngang!$B$5,'2022 Korreksjoner'!$A$5:$AS$15,30)</f>
        <v>2621.2187375761264</v>
      </c>
      <c r="E33" s="17">
        <f>+C33-D33</f>
        <v>-758.98867879490354</v>
      </c>
      <c r="F33" s="14">
        <f>+'2022 Nto driftsutg landet'!$C$7*VLOOKUP(Inngang!$B$5,'2022 Inntektsnivå'!$A$5:$C$15,3)+VLOOKUP(Inngang!$B$5,'2022 Korreksjoner'!$A$5:$AS$15,7)+VLOOKUP(Inngang!$B$5,'2022 Korreksjoner'!$A$5:$AS$15,14)+VLOOKUP(Inngang!$B$5,'2022 Korreksjoner'!$A$5:$AS$15,30)</f>
        <v>2557.4753435031148</v>
      </c>
      <c r="G33" s="5"/>
      <c r="H33" s="16">
        <f>IF(F34=G34,C33-F33,(C33-F33)-(G34-F34)*(C33+C34)/C30)</f>
        <v>-695.24528472189195</v>
      </c>
      <c r="I33" s="105"/>
    </row>
    <row r="34" spans="2:9" x14ac:dyDescent="0.25">
      <c r="B34" s="32" t="s">
        <v>279</v>
      </c>
      <c r="C34" s="5">
        <f>VLOOKUP(Inngang!$B$5,'2022 Nto driftsutg eks avskriv'!$A$5:$T$15,7)*1000/VLOOKUP(Inngang!$B$5,'2022 Nto driftsutg'!$A$5:$W$15,23)</f>
        <v>917.49959399406498</v>
      </c>
      <c r="D34" s="5">
        <f>+'2022 Nto driftsutg landet'!$C$8+VLOOKUP(Inngang!$B$5,'2022 Korreksjoner'!$A$5:$AS$15,8)+VLOOKUP(Inngang!$B$5,'2022 Korreksjoner'!$A$5:$AS$15,15)+VLOOKUP(Inngang!$B$5,'2022 Korreksjoner'!$A$5:$AS$15,31)</f>
        <v>1141.3207762613429</v>
      </c>
      <c r="E34" s="17">
        <f>+C34-D34</f>
        <v>-223.82118226727789</v>
      </c>
      <c r="F34" s="14">
        <f>IF(AND(C34&gt;=0.5,D34&gt;0),IF(G34&lt;10,C34,G34),0)</f>
        <v>1117.3050503621662</v>
      </c>
      <c r="G34" s="5">
        <f>+'2022 Nto driftsutg landet'!$C$8*VLOOKUP(Inngang!$B$5,'2022 Inntektsnivå'!$A$5:$C$15,3)+VLOOKUP(Inngang!$B$5,'2022 Korreksjoner'!$A$5:$AS$15,8)+VLOOKUP(Inngang!$B$5,'2022 Korreksjoner'!$A$5:$AS$15,15)+VLOOKUP(Inngang!$B$5,'2022 Korreksjoner'!$A$5:$AS$15,31)</f>
        <v>1117.3050503621662</v>
      </c>
      <c r="H34" s="16">
        <f>+C34-F34</f>
        <v>-199.8054563681012</v>
      </c>
      <c r="I34" s="105"/>
    </row>
    <row r="35" spans="2:9" x14ac:dyDescent="0.25">
      <c r="B35" s="33" t="s">
        <v>176</v>
      </c>
      <c r="C35" s="22">
        <f>VLOOKUP(Inngang!$B$5,'2022 Nto driftsutg eks avskriv'!$A$5:$T$15,8)*1000/VLOOKUP(Inngang!$B$5,'2022 Nto driftsutg'!$A$5:$W$15,23)</f>
        <v>565.43655656348142</v>
      </c>
      <c r="D35" s="22">
        <f>+'2022 Nto driftsutg landet'!$C$9+VLOOKUP(Inngang!$B$5,'2022 Korreksjoner'!$A$5:$AS$15,9)+VLOOKUP(Inngang!$B$5,'2022 Korreksjoner'!$A$5:$AS$15,16)+VLOOKUP(Inngang!$B$5,'2022 Korreksjoner'!$A$5:$AS$15,32)</f>
        <v>518.5745371890838</v>
      </c>
      <c r="E35" s="40">
        <f t="shared" ref="E35:E39" si="4">+C35-D35</f>
        <v>46.862019374397619</v>
      </c>
      <c r="F35" s="26">
        <f>+'2022 Nto driftsutg landet'!$C$9*VLOOKUP(Inngang!$B$5,'2022 Inntektsnivå'!$A$5:$C$15,3)+VLOOKUP(Inngang!$B$5,'2022 Korreksjoner'!$A$5:$AS$15,9)+VLOOKUP(Inngang!$B$5,'2022 Korreksjoner'!$A$5:$AS$15,16)+VLOOKUP(Inngang!$B$5,'2022 Korreksjoner'!$A$5:$AS$15,32)</f>
        <v>504.85819661470248</v>
      </c>
      <c r="G35" s="22"/>
      <c r="H35" s="27">
        <f>IF(F34=G34,C35-F35,(C35-F35)-(G34-F34)*C35/C30)</f>
        <v>60.578359948778939</v>
      </c>
      <c r="I35" s="105"/>
    </row>
    <row r="36" spans="2:9" x14ac:dyDescent="0.25">
      <c r="B36" s="32" t="s">
        <v>272</v>
      </c>
      <c r="C36" s="5">
        <f>VLOOKUP(Inngang!$B$5,'2022 Nto driftsutg eks avskriv'!$A$5:$T$15,9)*1000/VLOOKUP(Inngang!$B$5,'2022 Nto driftsutg'!$A$5:$W$15,23)</f>
        <v>1949.0900194250112</v>
      </c>
      <c r="D36" s="5">
        <f>'2022 Nto driftsutg landet'!$C$13+VLOOKUP(Inngang!$B$5,'2022 Korreksjoner'!$A$5:$AS$15,17)+VLOOKUP(Inngang!$B$5,'2022 Korreksjoner'!$A$5:$AS$15,33)+VLOOKUP(Inngang!$B$5,'2022 Korreksjoner'!$A$5:$AW$15,46)</f>
        <v>1509.685906443141</v>
      </c>
      <c r="E36" s="17">
        <f t="shared" si="4"/>
        <v>439.40411298187018</v>
      </c>
      <c r="F36" s="14">
        <f>+'2022 Nto driftsutg landet'!$C$13*VLOOKUP(Inngang!$B$5,'2022 Inntektsnivå'!$A$5:$C$15,3)+VLOOKUP(Inngang!$B$5,'2022 Korreksjoner'!$A$5:$AS$15,17)+VLOOKUP(Inngang!$B$5,'2022 Korreksjoner'!$A$5:$AS$15,33)+VLOOKUP(Inngang!$B$5,'2022 Korreksjoner'!$A$5:$AV$15,46)</f>
        <v>1473.0927711738316</v>
      </c>
      <c r="G36" s="5"/>
      <c r="H36" s="16">
        <f t="shared" ref="H36:H39" si="5">+C36-F36</f>
        <v>475.9972482511796</v>
      </c>
    </row>
    <row r="37" spans="2:9" x14ac:dyDescent="0.25">
      <c r="B37" s="32" t="s">
        <v>27</v>
      </c>
      <c r="C37" s="5">
        <f>VLOOKUP(Inngang!$B$5,'2022 Nto driftsutg eks avskriv'!$A$5:$T$15,18)*1000/VLOOKUP(Inngang!$B$5,'2022 Nto driftsutg'!$A$5:$W$15,23)</f>
        <v>-46.440751606623486</v>
      </c>
      <c r="D37" s="5">
        <f>'2022 Nto driftsutg landet'!$C$14+VLOOKUP(Inngang!$B$5,'2022 Korreksjoner'!$A$5:$AX$15,44)</f>
        <v>-34.752878798989542</v>
      </c>
      <c r="E37" s="17">
        <f t="shared" si="4"/>
        <v>-11.687872807633944</v>
      </c>
      <c r="F37" s="14">
        <f>+'2022 Nto driftsutg landet'!$C$14*VLOOKUP(Inngang!$B$5,'2022 Inntektsnivå'!$A$5:$C$15,3)+VLOOKUP(Inngang!$B$5,'2022 Korreksjoner'!$A$5:$AX$15,44)</f>
        <v>-31.859298178854274</v>
      </c>
      <c r="G37" s="5"/>
      <c r="H37" s="16">
        <f t="shared" si="5"/>
        <v>-14.581453427769212</v>
      </c>
    </row>
    <row r="38" spans="2:9" x14ac:dyDescent="0.25">
      <c r="B38" s="32" t="s">
        <v>24</v>
      </c>
      <c r="C38" s="5">
        <f>VLOOKUP(Inngang!$B$5,'2022 Nto driftsutg eks avskriv'!$A$5:$T$15,19)*1000/VLOOKUP(Inngang!$B$5,'2022 Nto driftsutg'!$A$5:$W$15,23)</f>
        <v>1255.9102863976411</v>
      </c>
      <c r="D38" s="93">
        <f>'2022 Nto driftsutg landet'!$C$15</f>
        <v>717.38946531950285</v>
      </c>
      <c r="E38" s="94">
        <f t="shared" si="4"/>
        <v>538.52082107813828</v>
      </c>
      <c r="F38" s="95">
        <f>+'2022 Nto driftsutg landet'!$C$15*VLOOKUP(Inngang!$B$5,'2022 Inntektsnivå'!$A$5:$C$15,3)</f>
        <v>698.88665124286888</v>
      </c>
      <c r="G38" s="93"/>
      <c r="H38" s="96">
        <f t="shared" si="5"/>
        <v>557.02363515477225</v>
      </c>
      <c r="I38" s="5"/>
    </row>
    <row r="39" spans="2:9" x14ac:dyDescent="0.25">
      <c r="B39" s="33" t="s">
        <v>25</v>
      </c>
      <c r="C39" s="22">
        <f>VLOOKUP(Inngang!$B$5,'2022 Nto driftsutg eks avskriv'!$A$5:$T$15,20)*1000/VLOOKUP(Inngang!$B$5,'2022 Nto driftsutg'!$A$5:$W$15,23)</f>
        <v>798.91000588444967</v>
      </c>
      <c r="D39" s="97">
        <f>'2022 Nto driftsutg landet'!$C$16</f>
        <v>1310.4241625455463</v>
      </c>
      <c r="E39" s="98">
        <f t="shared" si="4"/>
        <v>-511.51415666109665</v>
      </c>
      <c r="F39" s="99">
        <f>+'2022 Nto driftsutg landet'!$C$16*VLOOKUP(Inngang!$B$5,'2022 Inntektsnivå'!$A$5:$C$15,3)</f>
        <v>1276.6258761010829</v>
      </c>
      <c r="G39" s="93"/>
      <c r="H39" s="96">
        <f t="shared" si="5"/>
        <v>-477.71587021663322</v>
      </c>
    </row>
    <row r="40" spans="2:9" x14ac:dyDescent="0.25">
      <c r="B40" s="28" t="s">
        <v>18</v>
      </c>
      <c r="C40" s="29">
        <f>SUM(C31:C39)</f>
        <v>16301.463097751464</v>
      </c>
      <c r="D40" s="30">
        <f>SUM(D31:D39)</f>
        <v>16701.951714062943</v>
      </c>
      <c r="E40" s="31">
        <f>SUM(E31:E39)</f>
        <v>-400.48861631147923</v>
      </c>
      <c r="F40" s="29">
        <f>SUM(F31:F39)</f>
        <v>16301.463097751464</v>
      </c>
      <c r="G40" s="30"/>
      <c r="H40" s="34">
        <f>SUM(H31:H39)</f>
        <v>0</v>
      </c>
    </row>
    <row r="41" spans="2:9" x14ac:dyDescent="0.25">
      <c r="C41" s="5"/>
    </row>
    <row r="42" spans="2:9" x14ac:dyDescent="0.25">
      <c r="I42" s="5"/>
    </row>
    <row r="43" spans="2:9" x14ac:dyDescent="0.25">
      <c r="B43" s="7" t="s">
        <v>36</v>
      </c>
      <c r="I43" s="5"/>
    </row>
    <row r="45" spans="2:9" ht="45" x14ac:dyDescent="0.25">
      <c r="B45" s="38"/>
      <c r="C45" s="20" t="s">
        <v>41</v>
      </c>
      <c r="D45" s="20" t="s">
        <v>45</v>
      </c>
      <c r="E45" s="19" t="s">
        <v>46</v>
      </c>
      <c r="F45" s="15" t="s">
        <v>47</v>
      </c>
      <c r="G45" s="20"/>
      <c r="H45" s="18" t="s">
        <v>48</v>
      </c>
    </row>
    <row r="46" spans="2:9" x14ac:dyDescent="0.25">
      <c r="B46" s="39"/>
      <c r="C46" s="35" t="s">
        <v>40</v>
      </c>
      <c r="D46" s="35" t="s">
        <v>42</v>
      </c>
      <c r="E46" s="36" t="s">
        <v>40</v>
      </c>
      <c r="F46" s="41" t="s">
        <v>40</v>
      </c>
      <c r="G46" s="35"/>
      <c r="H46" s="37" t="s">
        <v>40</v>
      </c>
    </row>
    <row r="47" spans="2:9" x14ac:dyDescent="0.25">
      <c r="B47" s="83" t="s">
        <v>137</v>
      </c>
      <c r="C47" s="84">
        <f>SUM(C48:C53)</f>
        <v>1949.0900194250112</v>
      </c>
      <c r="D47" s="84">
        <f>SUM(D48:D53)</f>
        <v>1509.6859064431412</v>
      </c>
      <c r="E47" s="88">
        <f>SUM(E48:E53)</f>
        <v>439.40411298187013</v>
      </c>
      <c r="F47" s="89">
        <f>SUM(F48:F53)</f>
        <v>1473.0927711738318</v>
      </c>
      <c r="G47" s="84"/>
      <c r="H47" s="90">
        <f>SUM(H48:H53)</f>
        <v>475.99724825117943</v>
      </c>
    </row>
    <row r="48" spans="2:9" x14ac:dyDescent="0.25">
      <c r="B48" s="32" t="s">
        <v>4</v>
      </c>
      <c r="C48" s="5">
        <f>VLOOKUP(Inngang!$B$5,'2022 Nto driftsutg eks avskriv'!$A$5:$T$15,11)*1000/VLOOKUP(Inngang!$B$5,'2022 Nto driftsutg'!$A$5:$W$15,23)</f>
        <v>960.05956159795494</v>
      </c>
      <c r="D48" s="5">
        <f>'2022 Nto driftsutg eks avskriv'!K$17*1000/'2022 Nto driftsutg'!$W$17+VLOOKUP(Inngang!$B$5,'2022 Korreksjoner'!$A$5:$AS$15,19)+VLOOKUP(Inngang!$B$5,'2022 Korreksjoner'!$A$5:$AS$15,35)</f>
        <v>960.6410705888195</v>
      </c>
      <c r="E48" s="17">
        <f t="shared" ref="E48:E53" si="6">+C48-D48</f>
        <v>-0.5815089908645632</v>
      </c>
      <c r="F48" s="14">
        <f>+'2022 Nto driftsutg landet'!$C$23*VLOOKUP(Inngang!$B$5,'2022 Inntektsnivå'!$A$5:$C$15,3)+VLOOKUP(Inngang!$B$5,'2022 Korreksjoner'!$A$5:$AS$15,19)+VLOOKUP(Inngang!$B$5,'2022 Korreksjoner'!$A$5:$AS$15,35)</f>
        <v>938.26057705595861</v>
      </c>
      <c r="G48" s="5"/>
      <c r="H48" s="16">
        <f t="shared" ref="H48:H53" si="7">+C48-F48</f>
        <v>21.798984541996333</v>
      </c>
    </row>
    <row r="49" spans="2:9" x14ac:dyDescent="0.25">
      <c r="B49" s="32" t="s">
        <v>271</v>
      </c>
      <c r="C49" s="5">
        <f>VLOOKUP(Inngang!$B$5,'2022 Nto driftsutg eks avskriv'!$A$5:$T$15,12)*1000/VLOOKUP(Inngang!$B$5,'2022 Nto driftsutg'!$A$5:$W$15,23)</f>
        <v>234.04291219093457</v>
      </c>
      <c r="D49" s="5">
        <f>'2022 Nto driftsutg eks avskriv'!L$17*1000/'2022 Nto driftsutg'!$W$17+VLOOKUP(Inngang!$B$5,'2022 Korreksjoner'!$A$5:$AS$15,20)+VLOOKUP(Inngang!$B$5,'2022 Korreksjoner'!$A$5:$AS$15,36)</f>
        <v>228.30199766858681</v>
      </c>
      <c r="E49" s="17">
        <f t="shared" si="6"/>
        <v>5.7409145223477651</v>
      </c>
      <c r="F49" s="14">
        <f>+'2022 Nto driftsutg landet'!$C$24*VLOOKUP(Inngang!$B$5,'2022 Inntektsnivå'!$A$5:$C$15,3)+VLOOKUP(Inngang!$B$5,'2022 Korreksjoner'!$A$5:$AS$15,20)+VLOOKUP(Inngang!$B$5,'2022 Korreksjoner'!$A$5:$AS$15,36)</f>
        <v>222.38283758514285</v>
      </c>
      <c r="G49" s="5"/>
      <c r="H49" s="16">
        <f t="shared" si="7"/>
        <v>11.660074605791721</v>
      </c>
    </row>
    <row r="50" spans="2:9" x14ac:dyDescent="0.25">
      <c r="B50" s="32" t="s">
        <v>37</v>
      </c>
      <c r="C50" s="5">
        <f>VLOOKUP(Inngang!$B$5,'2022 Nto driftsutg eks avskriv'!$A$5:$T$15,13)*1000/VLOOKUP(Inngang!$B$5,'2022 Nto driftsutg'!$A$5:$W$15,23)</f>
        <v>235.29573050486047</v>
      </c>
      <c r="D50" s="5">
        <f>'2022 Nto driftsutg eks avskriv'!M$17*1000/'2022 Nto driftsutg'!$W$17+VLOOKUP(Inngang!$B$5,'2022 Korreksjoner'!$A$5:$AS$15,21)+VLOOKUP(Inngang!$B$5,'2022 Korreksjoner'!$A$5:$AS$15,37)</f>
        <v>-33.70645481091276</v>
      </c>
      <c r="E50" s="17">
        <f t="shared" si="6"/>
        <v>269.0021853157732</v>
      </c>
      <c r="F50" s="14">
        <f>+'2022 Nto driftsutg landet'!$C$25*VLOOKUP(Inngang!$B$5,'2022 Inntektsnivå'!$A$5:$C$15,3)+VLOOKUP(Inngang!$B$5,'2022 Korreksjoner'!$A$5:$AS$15,21)+VLOOKUP(Inngang!$B$5,'2022 Korreksjoner'!$A$5:$AS$15,37)</f>
        <v>-32.833126212353221</v>
      </c>
      <c r="G50" s="5"/>
      <c r="H50" s="16">
        <f t="shared" si="7"/>
        <v>268.12885671721369</v>
      </c>
    </row>
    <row r="51" spans="2:9" x14ac:dyDescent="0.25">
      <c r="B51" s="32" t="s">
        <v>178</v>
      </c>
      <c r="C51" s="5">
        <f>VLOOKUP(Inngang!$B$5,'2022 Nto driftsutg eks avskriv'!$A$5:$T$15,14)*1000/VLOOKUP(Inngang!$B$5,'2022 Nto driftsutg'!$A$5:$W$15,23)</f>
        <v>519.69181513126114</v>
      </c>
      <c r="D51" s="5">
        <f>'2022 Nto driftsutg eks avskriv'!N$17*1000/'2022 Nto driftsutg'!$W$17+VLOOKUP(Inngang!$B$5,'2022 Korreksjoner'!$A$5:$AS$15,22)+VLOOKUP(Inngang!$B$5,'2022 Korreksjoner'!$A$5:$AS$15,38)</f>
        <v>356.61748001775425</v>
      </c>
      <c r="E51" s="17">
        <f t="shared" si="6"/>
        <v>163.07433511350689</v>
      </c>
      <c r="F51" s="14">
        <f>+'2022 Nto driftsutg landet'!$C$26*VLOOKUP(Inngang!$B$5,'2022 Inntektsnivå'!$A$5:$C$15,3)+VLOOKUP(Inngang!$B$5,'2022 Korreksjoner'!$A$5:$AS$15,22)+VLOOKUP(Inngang!$B$5,'2022 Korreksjoner'!$A$5:$AS$15,38)</f>
        <v>347.394748173702</v>
      </c>
      <c r="G51" s="5"/>
      <c r="H51" s="16">
        <f t="shared" si="7"/>
        <v>172.29706695755914</v>
      </c>
    </row>
    <row r="52" spans="2:9" x14ac:dyDescent="0.25">
      <c r="B52" s="32" t="s">
        <v>138</v>
      </c>
      <c r="C52" s="5">
        <f>VLOOKUP(Inngang!$B$5,'2022 Nto driftsutg eks avskriv'!$A$5:$T$15,15)*1000/VLOOKUP(Inngang!$B$5,'2022 Nto driftsutg'!$A$5:$W$15,23)</f>
        <v>0</v>
      </c>
      <c r="D52" s="5">
        <f>'2022 Nto driftsutg eks avskriv'!O17*1000/'2022 Nto driftsutg'!$W$17+VLOOKUP(Inngang!$B$5,'2022 Korreksjoner'!$A$5:$AS$15,23)+VLOOKUP(Inngang!$B$5,'2022 Korreksjoner'!$A$5:$AS$15,39)</f>
        <v>-0.77876308460224097</v>
      </c>
      <c r="E52" s="17">
        <f t="shared" si="6"/>
        <v>0.77876308460224097</v>
      </c>
      <c r="F52" s="14">
        <f>'2022 Nto driftsutg landet'!$C$27*VLOOKUP(Inngang!$B$5,'2022 Inntektsnivå'!$A$5:$C$15,3)+VLOOKUP(Inngang!$B$5,'2022 Korreksjoner'!$A$5:$AS$15,23)+VLOOKUP(Inngang!$B$5,'2022 Korreksjoner'!$A$5:$AS$15,39)</f>
        <v>-0.75867733026554507</v>
      </c>
      <c r="G52" s="5"/>
      <c r="H52" s="16">
        <f t="shared" si="7"/>
        <v>0.75867733026554507</v>
      </c>
    </row>
    <row r="53" spans="2:9" x14ac:dyDescent="0.25">
      <c r="B53" s="61" t="s">
        <v>129</v>
      </c>
      <c r="C53" s="22">
        <f>VLOOKUP(Inngang!$B$5,'2022 Nto driftsutg eks avskriv'!$A$5:$T$15,16)*1000/VLOOKUP(Inngang!$B$5,'2022 Nto driftsutg'!$A$5:$W$15,23)</f>
        <v>0</v>
      </c>
      <c r="D53" s="22">
        <f>'2022 Nto driftsutg eks avskriv'!P17*1000/'2022 Nto driftsutg'!$W$17+VLOOKUP(Inngang!$B$5,'2022 Korreksjoner'!$A$5:$AS$15,24)+VLOOKUP(Inngang!$B$5,'2022 Korreksjoner'!$A$5:$AS$15,40)</f>
        <v>-1.3894239365045427</v>
      </c>
      <c r="E53" s="40">
        <f t="shared" si="6"/>
        <v>1.3894239365045427</v>
      </c>
      <c r="F53" s="26">
        <f>'2022 Nto driftsutg landet'!$C$28*VLOOKUP(Inngang!$B$5,'2022 Inntektsnivå'!$A$5:$C$15,3)+VLOOKUP(Inngang!$B$5,'2022 Korreksjoner'!$A$5:$AS$15,24)+VLOOKUP(Inngang!$B$5,'2022 Korreksjoner'!$A$5:$AS$15,40)</f>
        <v>-1.3535880983530599</v>
      </c>
      <c r="G53" s="22"/>
      <c r="H53" s="27">
        <f t="shared" si="7"/>
        <v>1.3535880983530599</v>
      </c>
    </row>
    <row r="54" spans="2:9" x14ac:dyDescent="0.25">
      <c r="B54" s="28" t="s">
        <v>137</v>
      </c>
      <c r="C54" s="30">
        <f>SUM(C48:C53)</f>
        <v>1949.0900194250112</v>
      </c>
      <c r="D54" s="30">
        <f>SUM(D48:D53)</f>
        <v>1509.6859064431412</v>
      </c>
      <c r="E54" s="31">
        <f>SUM(E48:E53)</f>
        <v>439.40411298187013</v>
      </c>
      <c r="F54" s="29">
        <f>SUM(F48:F53)</f>
        <v>1473.0927711738318</v>
      </c>
      <c r="G54" s="30"/>
      <c r="H54" s="34">
        <f>SUM(H48:H53)</f>
        <v>475.99724825117943</v>
      </c>
      <c r="I54" s="5"/>
    </row>
    <row r="55" spans="2:9" x14ac:dyDescent="0.25">
      <c r="I55" s="5"/>
    </row>
    <row r="56" spans="2:9" x14ac:dyDescent="0.25">
      <c r="I56" s="5"/>
    </row>
    <row r="57" spans="2:9" x14ac:dyDescent="0.25">
      <c r="I57" s="5"/>
    </row>
    <row r="58" spans="2:9" x14ac:dyDescent="0.25">
      <c r="B58" s="38" t="s">
        <v>128</v>
      </c>
      <c r="C58" s="20" t="s">
        <v>274</v>
      </c>
      <c r="D58" s="67" t="s">
        <v>3</v>
      </c>
      <c r="I58" s="5"/>
    </row>
    <row r="59" spans="2:9" x14ac:dyDescent="0.25">
      <c r="B59" s="62" t="s">
        <v>174</v>
      </c>
      <c r="C59" s="70">
        <f>VLOOKUP(Inngang!$B$5,'2022 Revekting utgiftsbehov'!$A$5:$I$15,4)</f>
        <v>1.02035371</v>
      </c>
      <c r="D59" s="68">
        <v>1</v>
      </c>
      <c r="I59" s="5"/>
    </row>
    <row r="60" spans="2:9" x14ac:dyDescent="0.25">
      <c r="B60" s="62" t="s">
        <v>175</v>
      </c>
      <c r="C60" s="70">
        <f>VLOOKUP(Inngang!$B$5,'2022 Revekting utgiftsbehov'!$A$5:$I$15,5)</f>
        <v>1.2804020200000001</v>
      </c>
      <c r="D60" s="68">
        <v>1</v>
      </c>
      <c r="I60" s="5"/>
    </row>
    <row r="61" spans="2:9" x14ac:dyDescent="0.25">
      <c r="B61" s="32" t="s">
        <v>278</v>
      </c>
      <c r="C61" s="70">
        <f>VLOOKUP(Inngang!$B$5,'2022 Revekting utgiftsbehov'!$A$5:$I$15,6)</f>
        <v>1.0615868000000002</v>
      </c>
      <c r="D61" s="68">
        <v>1</v>
      </c>
      <c r="I61" s="5"/>
    </row>
    <row r="62" spans="2:9" x14ac:dyDescent="0.25">
      <c r="B62" s="32" t="s">
        <v>279</v>
      </c>
      <c r="C62" s="70">
        <f>VLOOKUP(Inngang!$B$5,'2022 Revekting utgiftsbehov'!$A$5:$I$15,7)</f>
        <v>1.2282993799999999</v>
      </c>
      <c r="D62" s="68">
        <v>1</v>
      </c>
      <c r="I62" s="5"/>
    </row>
    <row r="63" spans="2:9" x14ac:dyDescent="0.25">
      <c r="B63" s="63" t="s">
        <v>176</v>
      </c>
      <c r="C63" s="71">
        <f>VLOOKUP(Inngang!$B$5,'2022 Revekting utgiftsbehov'!$A$5:$I$15,8)</f>
        <v>1.0043769899999999</v>
      </c>
      <c r="D63" s="69">
        <v>1</v>
      </c>
      <c r="I63" s="5"/>
    </row>
    <row r="64" spans="2:9" x14ac:dyDescent="0.25">
      <c r="B64" s="80" t="s">
        <v>133</v>
      </c>
      <c r="C64" s="81">
        <f>+VLOOKUP(Inngang!$B$5,'2022 Revekting utgiftsbehov'!$A$5:$I$15,9)</f>
        <v>1.0929</v>
      </c>
      <c r="D64" s="82">
        <v>1</v>
      </c>
      <c r="I64" s="5"/>
    </row>
    <row r="65" spans="2:9" x14ac:dyDescent="0.25">
      <c r="I65" s="5"/>
    </row>
    <row r="66" spans="2:9" x14ac:dyDescent="0.25">
      <c r="I66" s="5"/>
    </row>
    <row r="67" spans="2:9" x14ac:dyDescent="0.25">
      <c r="I67" s="5"/>
    </row>
    <row r="68" spans="2:9" ht="30" x14ac:dyDescent="0.25">
      <c r="B68" s="73" t="s">
        <v>130</v>
      </c>
      <c r="C68" s="76" t="s">
        <v>275</v>
      </c>
      <c r="D68" s="76" t="s">
        <v>276</v>
      </c>
    </row>
    <row r="69" spans="2:9" x14ac:dyDescent="0.25">
      <c r="B69" s="32" t="s">
        <v>139</v>
      </c>
      <c r="C69" s="74">
        <f>SUM(C70:C78)</f>
        <v>773.75400808052427</v>
      </c>
    </row>
    <row r="70" spans="2:9" x14ac:dyDescent="0.25">
      <c r="B70" s="32" t="s">
        <v>174</v>
      </c>
      <c r="C70" s="74">
        <f>+C31-'2022 Nto driftsutg landet'!$C5</f>
        <v>110.70418404593602</v>
      </c>
    </row>
    <row r="71" spans="2:9" x14ac:dyDescent="0.25">
      <c r="B71" s="32" t="s">
        <v>175</v>
      </c>
      <c r="C71" s="74">
        <f>+C32-'2022 Nto driftsutg landet'!$C6</f>
        <v>629.2213753220633</v>
      </c>
    </row>
    <row r="72" spans="2:9" x14ac:dyDescent="0.25">
      <c r="B72" s="32" t="s">
        <v>278</v>
      </c>
      <c r="C72" s="74">
        <f>+C33-'2022 Nto driftsutg landet'!$C7</f>
        <v>-609.22315921530071</v>
      </c>
    </row>
    <row r="73" spans="2:9" x14ac:dyDescent="0.25">
      <c r="B73" s="32" t="s">
        <v>279</v>
      </c>
      <c r="C73" s="74">
        <f>+C34-'2022 Nto driftsutg landet'!$C8</f>
        <v>-13.635999257515095</v>
      </c>
    </row>
    <row r="74" spans="2:9" x14ac:dyDescent="0.25">
      <c r="B74" s="32" t="s">
        <v>176</v>
      </c>
      <c r="C74" s="74">
        <f>+C35-'2022 Nto driftsutg landet'!$C9</f>
        <v>33.627817090607209</v>
      </c>
    </row>
    <row r="75" spans="2:9" x14ac:dyDescent="0.25">
      <c r="B75" s="32" t="s">
        <v>127</v>
      </c>
      <c r="C75" s="74">
        <f>+C36-'2022 Nto driftsutg landet'!$C13</f>
        <v>530.30422627554572</v>
      </c>
    </row>
    <row r="76" spans="2:9" x14ac:dyDescent="0.25">
      <c r="B76" s="32" t="s">
        <v>27</v>
      </c>
      <c r="C76" s="74">
        <f>+C37-'2022 Nto driftsutg landet'!$C14</f>
        <v>65.748899402146236</v>
      </c>
    </row>
    <row r="77" spans="2:9" x14ac:dyDescent="0.25">
      <c r="B77" s="32" t="s">
        <v>24</v>
      </c>
      <c r="C77" s="74">
        <f>+C38-'2022 Nto driftsutg landet'!$C15</f>
        <v>538.52082107813828</v>
      </c>
    </row>
    <row r="78" spans="2:9" x14ac:dyDescent="0.25">
      <c r="B78" s="33" t="s">
        <v>25</v>
      </c>
      <c r="C78" s="75">
        <f>+C39-'2022 Nto driftsutg landet'!$C16</f>
        <v>-511.51415666109665</v>
      </c>
    </row>
    <row r="80" spans="2:9" x14ac:dyDescent="0.25">
      <c r="E80" s="5"/>
    </row>
  </sheetData>
  <sheetProtection algorithmName="SHA-512" hashValue="GpckPYSVPuujlPOuOSfWxx1xlZ96TNqjL0V5LVChcExdCkHW/EQB3QGbfREPR2g5PeaNmiCd4Q/CuaClre1Orw==" saltValue="QSBwYd7Xh+fxtX6Uvt2e2w==" spinCount="100000" sheet="1" selectLockedCells="1" selectUnlockedCell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13AAB-ECAA-442D-B224-59E2F8E00BF0}">
  <dimension ref="A1:CE18"/>
  <sheetViews>
    <sheetView zoomScale="80" zoomScaleNormal="8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5" x14ac:dyDescent="0.25"/>
  <cols>
    <col min="1" max="1" width="6.42578125" customWidth="1"/>
    <col min="2" max="2" width="17.85546875" bestFit="1" customWidth="1"/>
    <col min="3" max="5" width="12" customWidth="1"/>
    <col min="6" max="6" width="13.42578125" customWidth="1"/>
    <col min="7" max="7" width="13.5703125" customWidth="1"/>
    <col min="8" max="8" width="14.42578125" customWidth="1"/>
    <col min="9" max="9" width="14.140625" customWidth="1"/>
    <col min="10" max="14" width="15.42578125" customWidth="1"/>
    <col min="15" max="15" width="14.42578125" customWidth="1"/>
    <col min="16" max="16" width="12.42578125" customWidth="1"/>
    <col min="17" max="21" width="15.42578125" customWidth="1"/>
    <col min="22" max="22" width="14.42578125" customWidth="1"/>
    <col min="23" max="23" width="13.42578125" customWidth="1"/>
    <col min="24" max="35" width="15.42578125" customWidth="1"/>
    <col min="36" max="36" width="14.42578125" customWidth="1"/>
    <col min="37" max="37" width="13.42578125" customWidth="1"/>
    <col min="38" max="42" width="15.42578125" customWidth="1"/>
    <col min="43" max="43" width="14.42578125" customWidth="1"/>
    <col min="44" max="44" width="13.42578125" customWidth="1"/>
    <col min="45" max="49" width="15.42578125" customWidth="1"/>
    <col min="50" max="50" width="14.42578125" customWidth="1"/>
    <col min="51" max="51" width="13.42578125" customWidth="1"/>
    <col min="52" max="56" width="15.42578125" customWidth="1"/>
    <col min="57" max="57" width="14.42578125" customWidth="1"/>
    <col min="58" max="58" width="13.42578125" customWidth="1"/>
    <col min="59" max="63" width="15.42578125" customWidth="1"/>
    <col min="64" max="64" width="14.42578125" customWidth="1"/>
    <col min="65" max="65" width="13.42578125" customWidth="1"/>
    <col min="66" max="70" width="15.42578125" customWidth="1"/>
    <col min="71" max="71" width="14.42578125" customWidth="1"/>
    <col min="72" max="72" width="13.42578125" customWidth="1"/>
    <col min="73" max="77" width="15.42578125" customWidth="1"/>
    <col min="78" max="78" width="14.42578125" customWidth="1"/>
    <col min="79" max="79" width="13.42578125" customWidth="1"/>
    <col min="80" max="80" width="15.42578125" customWidth="1"/>
    <col min="81" max="81" width="14.42578125" customWidth="1"/>
    <col min="82" max="82" width="13.42578125" customWidth="1"/>
    <col min="83" max="83" width="15.42578125" customWidth="1"/>
  </cols>
  <sheetData>
    <row r="1" spans="1:83" x14ac:dyDescent="0.25">
      <c r="H1" s="58"/>
      <c r="CB1" s="5"/>
    </row>
    <row r="2" spans="1:83" ht="77.25" x14ac:dyDescent="0.25">
      <c r="A2" s="24" t="s">
        <v>2</v>
      </c>
      <c r="B2" s="24" t="s">
        <v>1</v>
      </c>
      <c r="C2" s="24" t="s">
        <v>398</v>
      </c>
      <c r="D2" s="24" t="s">
        <v>322</v>
      </c>
      <c r="E2" s="24" t="s">
        <v>323</v>
      </c>
      <c r="F2" s="24" t="s">
        <v>325</v>
      </c>
      <c r="G2" s="24" t="s">
        <v>324</v>
      </c>
      <c r="H2" s="24" t="s">
        <v>326</v>
      </c>
      <c r="I2" s="24" t="s">
        <v>231</v>
      </c>
      <c r="J2" s="24" t="s">
        <v>230</v>
      </c>
      <c r="K2" s="108" t="s">
        <v>327</v>
      </c>
      <c r="L2" s="108" t="s">
        <v>328</v>
      </c>
      <c r="M2" s="108" t="s">
        <v>329</v>
      </c>
      <c r="N2" s="108" t="s">
        <v>330</v>
      </c>
      <c r="O2" s="108" t="s">
        <v>331</v>
      </c>
      <c r="P2" s="108" t="s">
        <v>233</v>
      </c>
      <c r="Q2" s="108" t="s">
        <v>232</v>
      </c>
      <c r="R2" s="24" t="s">
        <v>332</v>
      </c>
      <c r="S2" s="24" t="s">
        <v>333</v>
      </c>
      <c r="T2" s="24" t="s">
        <v>334</v>
      </c>
      <c r="U2" s="24" t="s">
        <v>335</v>
      </c>
      <c r="V2" s="24" t="s">
        <v>336</v>
      </c>
      <c r="W2" s="24" t="s">
        <v>312</v>
      </c>
      <c r="X2" s="24" t="s">
        <v>311</v>
      </c>
      <c r="Y2" s="108" t="s">
        <v>337</v>
      </c>
      <c r="Z2" s="108" t="s">
        <v>338</v>
      </c>
      <c r="AA2" s="108" t="s">
        <v>339</v>
      </c>
      <c r="AB2" s="108" t="s">
        <v>340</v>
      </c>
      <c r="AC2" s="108" t="s">
        <v>341</v>
      </c>
      <c r="AD2" s="108" t="s">
        <v>314</v>
      </c>
      <c r="AE2" s="108" t="s">
        <v>313</v>
      </c>
      <c r="AF2" s="24" t="s">
        <v>342</v>
      </c>
      <c r="AG2" s="24" t="s">
        <v>343</v>
      </c>
      <c r="AH2" s="24" t="s">
        <v>344</v>
      </c>
      <c r="AI2" s="24" t="s">
        <v>345</v>
      </c>
      <c r="AJ2" s="24" t="s">
        <v>346</v>
      </c>
      <c r="AK2" s="24" t="s">
        <v>347</v>
      </c>
      <c r="AL2" s="24" t="s">
        <v>348</v>
      </c>
      <c r="AM2" s="108" t="s">
        <v>349</v>
      </c>
      <c r="AN2" s="108" t="s">
        <v>350</v>
      </c>
      <c r="AO2" s="108" t="s">
        <v>351</v>
      </c>
      <c r="AP2" s="108" t="s">
        <v>352</v>
      </c>
      <c r="AQ2" s="108" t="s">
        <v>353</v>
      </c>
      <c r="AR2" s="108" t="s">
        <v>235</v>
      </c>
      <c r="AS2" s="108" t="s">
        <v>234</v>
      </c>
      <c r="AT2" s="24" t="s">
        <v>354</v>
      </c>
      <c r="AU2" s="24" t="s">
        <v>355</v>
      </c>
      <c r="AV2" s="24" t="s">
        <v>356</v>
      </c>
      <c r="AW2" s="24" t="s">
        <v>357</v>
      </c>
      <c r="AX2" s="24" t="s">
        <v>358</v>
      </c>
      <c r="AY2" s="24" t="s">
        <v>359</v>
      </c>
      <c r="AZ2" s="24" t="s">
        <v>360</v>
      </c>
      <c r="BA2" s="108" t="s">
        <v>361</v>
      </c>
      <c r="BB2" s="108" t="s">
        <v>362</v>
      </c>
      <c r="BC2" s="108" t="s">
        <v>363</v>
      </c>
      <c r="BD2" s="108" t="s">
        <v>364</v>
      </c>
      <c r="BE2" s="108" t="s">
        <v>365</v>
      </c>
      <c r="BF2" s="108" t="s">
        <v>237</v>
      </c>
      <c r="BG2" s="108" t="s">
        <v>236</v>
      </c>
      <c r="BH2" s="24" t="s">
        <v>366</v>
      </c>
      <c r="BI2" s="24" t="s">
        <v>367</v>
      </c>
      <c r="BJ2" s="24" t="s">
        <v>368</v>
      </c>
      <c r="BK2" s="24" t="s">
        <v>369</v>
      </c>
      <c r="BL2" s="24" t="s">
        <v>370</v>
      </c>
      <c r="BM2" s="24" t="s">
        <v>239</v>
      </c>
      <c r="BN2" s="24" t="s">
        <v>238</v>
      </c>
      <c r="BO2" s="108" t="s">
        <v>371</v>
      </c>
      <c r="BP2" s="108" t="s">
        <v>372</v>
      </c>
      <c r="BQ2" s="108" t="s">
        <v>373</v>
      </c>
      <c r="BR2" s="108" t="s">
        <v>374</v>
      </c>
      <c r="BS2" s="108" t="s">
        <v>375</v>
      </c>
      <c r="BT2" s="108" t="s">
        <v>376</v>
      </c>
      <c r="BU2" s="108" t="s">
        <v>377</v>
      </c>
      <c r="BV2" s="24" t="s">
        <v>378</v>
      </c>
      <c r="BW2" s="24" t="s">
        <v>379</v>
      </c>
      <c r="BX2" s="24" t="s">
        <v>380</v>
      </c>
      <c r="BY2" s="24" t="s">
        <v>381</v>
      </c>
      <c r="BZ2" s="24" t="s">
        <v>382</v>
      </c>
      <c r="CA2" s="24" t="s">
        <v>383</v>
      </c>
      <c r="CB2" s="24" t="s">
        <v>384</v>
      </c>
      <c r="CC2" s="108"/>
      <c r="CD2" s="108"/>
      <c r="CE2" s="108"/>
    </row>
    <row r="3" spans="1:83" x14ac:dyDescent="0.25">
      <c r="A3" s="107">
        <v>1</v>
      </c>
      <c r="B3" s="107">
        <f t="shared" ref="B3:AG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9">
        <f t="shared" si="0"/>
        <v>11</v>
      </c>
      <c r="L3" s="109">
        <f t="shared" si="0"/>
        <v>12</v>
      </c>
      <c r="M3" s="109">
        <f t="shared" si="0"/>
        <v>13</v>
      </c>
      <c r="N3" s="109">
        <f t="shared" si="0"/>
        <v>14</v>
      </c>
      <c r="O3" s="109">
        <f t="shared" si="0"/>
        <v>15</v>
      </c>
      <c r="P3" s="109">
        <f t="shared" si="0"/>
        <v>16</v>
      </c>
      <c r="Q3" s="109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9">
        <f t="shared" si="0"/>
        <v>25</v>
      </c>
      <c r="Z3" s="109">
        <f t="shared" si="0"/>
        <v>26</v>
      </c>
      <c r="AA3" s="109">
        <f t="shared" si="0"/>
        <v>27</v>
      </c>
      <c r="AB3" s="109">
        <f t="shared" si="0"/>
        <v>28</v>
      </c>
      <c r="AC3" s="109">
        <f t="shared" si="0"/>
        <v>29</v>
      </c>
      <c r="AD3" s="109">
        <f t="shared" si="0"/>
        <v>30</v>
      </c>
      <c r="AE3" s="109">
        <f t="shared" si="0"/>
        <v>31</v>
      </c>
      <c r="AF3" s="107">
        <f t="shared" si="0"/>
        <v>32</v>
      </c>
      <c r="AG3" s="107">
        <f t="shared" si="0"/>
        <v>33</v>
      </c>
      <c r="AH3" s="107">
        <f t="shared" ref="AH3:BR3" si="1">+AG3+1</f>
        <v>34</v>
      </c>
      <c r="AI3" s="107">
        <f t="shared" si="1"/>
        <v>35</v>
      </c>
      <c r="AJ3" s="107">
        <f t="shared" si="1"/>
        <v>36</v>
      </c>
      <c r="AK3" s="107">
        <f t="shared" si="1"/>
        <v>37</v>
      </c>
      <c r="AL3" s="107">
        <f t="shared" si="1"/>
        <v>38</v>
      </c>
      <c r="AM3" s="109">
        <f t="shared" si="1"/>
        <v>39</v>
      </c>
      <c r="AN3" s="109">
        <f t="shared" si="1"/>
        <v>40</v>
      </c>
      <c r="AO3" s="109">
        <f t="shared" si="1"/>
        <v>41</v>
      </c>
      <c r="AP3" s="109">
        <f t="shared" si="1"/>
        <v>42</v>
      </c>
      <c r="AQ3" s="109">
        <f t="shared" si="1"/>
        <v>43</v>
      </c>
      <c r="AR3" s="109">
        <f t="shared" si="1"/>
        <v>44</v>
      </c>
      <c r="AS3" s="109">
        <f t="shared" si="1"/>
        <v>45</v>
      </c>
      <c r="AT3" s="107">
        <f t="shared" si="1"/>
        <v>46</v>
      </c>
      <c r="AU3" s="107">
        <f t="shared" si="1"/>
        <v>47</v>
      </c>
      <c r="AV3" s="107">
        <f t="shared" si="1"/>
        <v>48</v>
      </c>
      <c r="AW3" s="107">
        <f t="shared" si="1"/>
        <v>49</v>
      </c>
      <c r="AX3" s="107">
        <f t="shared" si="1"/>
        <v>50</v>
      </c>
      <c r="AY3" s="107">
        <f t="shared" si="1"/>
        <v>51</v>
      </c>
      <c r="AZ3" s="107">
        <f t="shared" si="1"/>
        <v>52</v>
      </c>
      <c r="BA3" s="109">
        <f t="shared" si="1"/>
        <v>53</v>
      </c>
      <c r="BB3" s="109">
        <f t="shared" si="1"/>
        <v>54</v>
      </c>
      <c r="BC3" s="109">
        <f t="shared" si="1"/>
        <v>55</v>
      </c>
      <c r="BD3" s="109">
        <f t="shared" si="1"/>
        <v>56</v>
      </c>
      <c r="BE3" s="109">
        <f t="shared" si="1"/>
        <v>57</v>
      </c>
      <c r="BF3" s="109">
        <f t="shared" si="1"/>
        <v>58</v>
      </c>
      <c r="BG3" s="109">
        <f t="shared" si="1"/>
        <v>59</v>
      </c>
      <c r="BH3" s="107">
        <f t="shared" si="1"/>
        <v>60</v>
      </c>
      <c r="BI3" s="107">
        <f t="shared" si="1"/>
        <v>61</v>
      </c>
      <c r="BJ3" s="107">
        <f t="shared" si="1"/>
        <v>62</v>
      </c>
      <c r="BK3" s="107">
        <f t="shared" si="1"/>
        <v>63</v>
      </c>
      <c r="BL3" s="107">
        <f t="shared" si="1"/>
        <v>64</v>
      </c>
      <c r="BM3" s="107">
        <f t="shared" si="1"/>
        <v>65</v>
      </c>
      <c r="BN3" s="107">
        <f t="shared" si="1"/>
        <v>66</v>
      </c>
      <c r="BO3" s="109">
        <f t="shared" si="1"/>
        <v>67</v>
      </c>
      <c r="BP3" s="109">
        <f t="shared" si="1"/>
        <v>68</v>
      </c>
      <c r="BQ3" s="109">
        <f t="shared" si="1"/>
        <v>69</v>
      </c>
      <c r="BR3" s="109">
        <f t="shared" si="1"/>
        <v>70</v>
      </c>
      <c r="BS3" s="109">
        <f>+BN3+1</f>
        <v>67</v>
      </c>
      <c r="BT3" s="109">
        <f t="shared" ref="BT3:CE3" si="2">+BS3+1</f>
        <v>68</v>
      </c>
      <c r="BU3" s="109">
        <f t="shared" si="2"/>
        <v>69</v>
      </c>
      <c r="BV3" s="107">
        <f t="shared" si="2"/>
        <v>70</v>
      </c>
      <c r="BW3" s="107">
        <f t="shared" si="2"/>
        <v>71</v>
      </c>
      <c r="BX3" s="107">
        <f t="shared" si="2"/>
        <v>72</v>
      </c>
      <c r="BY3" s="107">
        <f t="shared" si="2"/>
        <v>73</v>
      </c>
      <c r="BZ3" s="107">
        <f t="shared" si="2"/>
        <v>74</v>
      </c>
      <c r="CA3" s="107">
        <f t="shared" si="2"/>
        <v>75</v>
      </c>
      <c r="CB3" s="107">
        <f t="shared" si="2"/>
        <v>76</v>
      </c>
      <c r="CC3" s="109">
        <f t="shared" si="2"/>
        <v>77</v>
      </c>
      <c r="CD3" s="109">
        <f t="shared" si="2"/>
        <v>78</v>
      </c>
      <c r="CE3" s="109">
        <f t="shared" si="2"/>
        <v>79</v>
      </c>
    </row>
    <row r="5" spans="1:83" x14ac:dyDescent="0.25">
      <c r="A5" s="43">
        <v>300</v>
      </c>
      <c r="B5" s="44" t="s">
        <v>0</v>
      </c>
      <c r="C5" s="44">
        <f>+'2022 Nto driftsutg'!W5</f>
        <v>699827</v>
      </c>
      <c r="D5" s="59">
        <f>IF('2022 Lønnsgr arbavg tjeneste'!D5&lt;100,0,(C5/$C$17)*'2022 Revekting utgiftsbehov'!D5*'2022 Arbavg tjeneste'!D5/'2022 Lønnsgr arbavg tjeneste'!D5)</f>
        <v>1.3085412084785114E-2</v>
      </c>
      <c r="E5" s="5">
        <f>IF('2022 Lønnsgr arbavg tjeneste'!D5&lt;100,0,C5)</f>
        <v>699827</v>
      </c>
      <c r="F5" s="59">
        <f>'2022 Revekting utgiftsbehov'!D5*E5/$E$17</f>
        <v>9.1616837548125704E-2</v>
      </c>
      <c r="G5" s="59">
        <f>'2022 Revekting utgiftsbehov'!D5/$F$17</f>
        <v>0.71022897472910607</v>
      </c>
      <c r="H5" s="59">
        <f>IF(E5=0,0,(E5/$E$17)*G5*'2022 Arbavg tjeneste'!D5/'2022 Lønnsgr arbavg tjeneste'!D5)</f>
        <v>1.3085183899857349E-2</v>
      </c>
      <c r="I5" s="5">
        <f>IF(E5=0,0,'2022 Nto driftsutg landet'!$C$5*'2022 Lønnsand og arbavg landet'!$D$6*('2022 Arbavg tjeneste'!D5/'2022 Lønnsgr arbavg tjeneste'!D5-$H$17)*'2022 Revekting utgiftsbehov'!D5)</f>
        <v>40.035394696705019</v>
      </c>
      <c r="J5" s="5">
        <f t="shared" ref="J5:J15" si="3">I5*C5/1000</f>
        <v>28017.850164410982</v>
      </c>
      <c r="K5" s="59">
        <f>IF('2022 Lønnsgr arbavg tjeneste'!E5&lt;100,0,(C5/$C$17)*'2022 Revekting utgiftsbehov'!E5*'2022 Arbavg tjeneste'!E5/'2022 Lønnsgr arbavg tjeneste'!E5)</f>
        <v>0</v>
      </c>
      <c r="L5" s="5">
        <f>IF('2022 Lønnsgr arbavg tjeneste'!E5&lt;100,0,C5)</f>
        <v>0</v>
      </c>
      <c r="M5" s="59">
        <f>'2022 Revekting utgiftsbehov'!E5*L5/$L$17</f>
        <v>0</v>
      </c>
      <c r="N5" s="59">
        <f>'2022 Revekting utgiftsbehov'!E5/$M$17</f>
        <v>0.24507051249090814</v>
      </c>
      <c r="O5" s="59">
        <f>IF(L5=0,0,(L5/$L$17)*N5*'2022 Arbavg tjeneste'!E5/'2022 Lønnsgr arbavg tjeneste'!E5)</f>
        <v>0</v>
      </c>
      <c r="P5" s="5">
        <f>IF(L5=0,0,'2022 Nto driftsutg landet'!$C$6*'2022 Lønnsand og arbavg landet'!$D$7*('2022 Arbavg tjeneste'!E5/'2022 Lønnsgr arbavg tjeneste'!E5-$O$17)*'2022 Revekting utgiftsbehov'!E5)</f>
        <v>0</v>
      </c>
      <c r="Q5" s="5">
        <f t="shared" ref="Q5:Q15" si="4">P5*C5/1000</f>
        <v>0</v>
      </c>
      <c r="R5" s="59">
        <f>IF('2022 Lønnsgr arbavg tjeneste'!F5&lt;100,0,(C5/$C$17)*'2022 Revekting utgiftsbehov'!F5*'2022 Arbavg tjeneste'!F5/'2022 Lønnsgr arbavg tjeneste'!F5)</f>
        <v>3.1731460091218286E-2</v>
      </c>
      <c r="S5" s="5">
        <f>IF('2022 Lønnsgr arbavg tjeneste'!F5&lt;100,0,C5)</f>
        <v>699827</v>
      </c>
      <c r="T5" s="59">
        <f>'2022 Revekting utgiftsbehov'!F5*S5/$S$17</f>
        <v>0.2262947652718777</v>
      </c>
      <c r="U5" s="59">
        <f>'2022 Revekting utgiftsbehov'!F5/$T$17</f>
        <v>1.7537843255647443</v>
      </c>
      <c r="V5" s="59">
        <f>IF(S5=0,0,(S5/$S$17)*U5*'2022 Arbavg tjeneste'!F5/'2022 Lønnsgr arbavg tjeneste'!F5)</f>
        <v>3.1722037190278454E-2</v>
      </c>
      <c r="W5" s="5">
        <f>IF(S5=0,0,'2022 Nto driftsutg landet'!$C$7*'2022 Lønnsand og arbavg landet'!$D$8*('2022 Arbavg tjeneste'!F5/'2022 Lønnsgr arbavg tjeneste'!F5-$V$17)*'2022 Revekting utgiftsbehov'!F5)</f>
        <v>0.36668194843930335</v>
      </c>
      <c r="X5" s="5">
        <f t="shared" ref="X5:X15" si="5">W5*C5/1000</f>
        <v>256.61392793043234</v>
      </c>
      <c r="Y5" s="59">
        <f>IF('2022 Lønnsgr arbavg tjeneste'!G5&lt;100,0,(C5/$C$17)*'2022 Revekting utgiftsbehov'!G5*'2022 Arbavg tjeneste'!G5/'2022 Lønnsgr arbavg tjeneste'!G5)</f>
        <v>0</v>
      </c>
      <c r="Z5" s="5">
        <f>IF('2022 Lønnsgr arbavg tjeneste'!G5&lt;100,0,C5)</f>
        <v>0</v>
      </c>
      <c r="AA5" s="59">
        <f>'2022 Revekting utgiftsbehov'!G5*Z5/$Z$17</f>
        <v>0</v>
      </c>
      <c r="AB5" s="59">
        <f>'2022 Revekting utgiftsbehov'!G5/$AA$17</f>
        <v>7.3095106325818024E-4</v>
      </c>
      <c r="AC5" s="59">
        <f>IF(Z5=0,0,(Z5/$Z$17)*AB5*'2022 Arbavg tjeneste'!G5/'2022 Lønnsgr arbavg tjeneste'!G5)</f>
        <v>0</v>
      </c>
      <c r="AD5" s="5">
        <f>IF(Z5=0,0,'2022 Nto driftsutg landet'!$C$8*'2022 Lønnsand og arbavg landet'!$D$9*('2022 Arbavg tjeneste'!G5/'2022 Lønnsgr arbavg tjeneste'!G5-$AC$17)*'2022 Revekting utgiftsbehov'!G5)</f>
        <v>0</v>
      </c>
      <c r="AE5" s="5">
        <f t="shared" ref="AE5:AE15" si="6">+AD5*$C5/1000</f>
        <v>0</v>
      </c>
      <c r="AF5" s="59">
        <f>IF('2022 Lønnsgr arbavg tjeneste'!H5&lt;100,0,(C5/$C$17)*'2022 Revekting utgiftsbehov'!H5*'2022 Arbavg tjeneste'!H5/'2022 Lønnsgr arbavg tjeneste'!H5)</f>
        <v>1.5438991320469671E-2</v>
      </c>
      <c r="AG5" s="5">
        <f>IF('2022 Lønnsgr arbavg tjeneste'!H5&lt;100,0,C5)</f>
        <v>699827</v>
      </c>
      <c r="AH5" s="59">
        <f>'2022 Revekting utgiftsbehov'!H5*AG5/$AG$17</f>
        <v>0.11283410019251762</v>
      </c>
      <c r="AI5" s="59">
        <f>'2022 Revekting utgiftsbehov'!H5/$AH$17</f>
        <v>0.87475592580140082</v>
      </c>
      <c r="AJ5" s="59">
        <f>IF(AG5=0,0,(AG5/$AG$17)*AI5*'2022 Arbavg tjeneste'!H5/'2022 Lønnsgr arbavg tjeneste'!H5)</f>
        <v>1.5439555167993948E-2</v>
      </c>
      <c r="AK5" s="5">
        <f>IF(AG5=0,0,'2022 Nto driftsutg landet'!$C$9*'2022 Lønnsand og arbavg landet'!$D$10*('2022 Arbavg tjeneste'!H5/'2022 Lønnsgr arbavg tjeneste'!H5-$AJ$17)*'2022 Revekting utgiftsbehov'!H5)</f>
        <v>2.9807491008090752</v>
      </c>
      <c r="AL5" s="5">
        <f t="shared" ref="AL5:AL15" si="7">+AK5*$C5/1000</f>
        <v>2086.0087009719127</v>
      </c>
      <c r="AM5" s="59">
        <f>IF('2022 Lønnsgr arbavg tjeneste'!K5&lt;100,0,(C5/$C$17)*'2022 Arbavg tjeneste'!K5/'2022 Lønnsgr arbavg tjeneste'!K5)</f>
        <v>2.285116266226259E-2</v>
      </c>
      <c r="AN5" s="5">
        <f>IF('2022 Lønnsgr arbavg tjeneste'!K5&lt;100,0,C5)</f>
        <v>699827</v>
      </c>
      <c r="AO5" s="59">
        <f t="shared" ref="AO5:AO15" si="8">AN5/$AN$17</f>
        <v>0.12899394868826805</v>
      </c>
      <c r="AP5" s="59">
        <f t="shared" ref="AP5:AP15" si="9">1/$AH$17</f>
        <v>1.0000365210079192</v>
      </c>
      <c r="AQ5" s="59">
        <f>IF(AN5=0,0,(AN5/$AN$17)*AP5*'2022 Arbavg tjeneste'!K5/'2022 Lønnsgr arbavg tjeneste'!K5)</f>
        <v>2.2851997209755143E-2</v>
      </c>
      <c r="AR5" s="5">
        <f>IF(AN5=0,0,'2022 Nto driftsutg landet'!$C$23*'2022 Lønnsand og arbavg landet'!$D$13*('2022 Arbavg tjeneste'!K5/'2022 Lønnsgr arbavg tjeneste'!K5-$AQ$17))</f>
        <v>25.360387487953385</v>
      </c>
      <c r="AS5" s="5">
        <f t="shared" ref="AS5:AS15" si="10">+AR5*$C5/1000</f>
        <v>17747.883894531955</v>
      </c>
      <c r="AT5" s="59">
        <f>IF('2022 Lønnsgr arbavg tjeneste'!L5&lt;100,0,(C5/$C$17)*'2022 Arbavg tjeneste'!L5/'2022 Lønnsgr arbavg tjeneste'!L5)</f>
        <v>0</v>
      </c>
      <c r="AU5" s="5">
        <f>IF('2022 Lønnsgr arbavg tjeneste'!L5&lt;100,0,C5)</f>
        <v>0</v>
      </c>
      <c r="AV5" s="59">
        <f t="shared" ref="AV5:AV15" si="11">AU5/$AU$17</f>
        <v>0</v>
      </c>
      <c r="AW5" s="59">
        <f t="shared" ref="AW5:AW15" si="12">1/$AV$17</f>
        <v>1</v>
      </c>
      <c r="AX5" s="59">
        <f>IF(AU5=0,0,(AU5/$AU$17)*AW5*'2022 Arbavg tjeneste'!L5/'2022 Lønnsgr arbavg tjeneste'!L5)</f>
        <v>0</v>
      </c>
      <c r="AY5" s="5">
        <f>IF(AU5=0,0,'2022 Nto driftsutg landet'!$C$24*'2022 Lønnsand og arbavg landet'!$D$14*('2022 Arbavg tjeneste'!L5/'2022 Lønnsgr arbavg tjeneste'!L5-$AX$17))</f>
        <v>0</v>
      </c>
      <c r="AZ5" s="5">
        <f t="shared" ref="AZ5:AZ15" si="13">+AY5*$C5/1000</f>
        <v>0</v>
      </c>
      <c r="BA5" s="59">
        <f>IF('2022 Lønnsgr arbavg tjeneste'!M5&lt;100,0,(C5/$C$17)*'2022 Arbavg tjeneste'!M5/'2022 Lønnsgr arbavg tjeneste'!M5)</f>
        <v>1.7709532370842825E-2</v>
      </c>
      <c r="BB5" s="5">
        <f>IF('2022 Lønnsgr arbavg tjeneste'!M5&lt;100,0,C5)</f>
        <v>699827</v>
      </c>
      <c r="BC5" s="59">
        <f t="shared" ref="BC5:BC15" si="14">BB5/$BB$17</f>
        <v>0.12899394868826805</v>
      </c>
      <c r="BD5" s="59">
        <f t="shared" ref="BD5:BD15" si="15">1/$BC$17</f>
        <v>1</v>
      </c>
      <c r="BE5" s="59">
        <f>IF(BB5=0,0,(BB5/$BB$17)*BD5*'2022 Arbavg tjeneste'!M5/'2022 Lønnsgr arbavg tjeneste'!M5)</f>
        <v>1.7709532370842825E-2</v>
      </c>
      <c r="BF5" s="5">
        <f>IF(BB5=0,0,'2022 Nto driftsutg landet'!$C$25*'2022 Lønnsand og arbavg landet'!$D$15*('2022 Arbavg tjeneste'!M5/'2022 Lønnsgr arbavg tjeneste'!M5-$BE$17))</f>
        <v>-2.5737700242690887E-2</v>
      </c>
      <c r="BG5" s="5">
        <f t="shared" ref="BG5:BG15" si="16">+BF5*$C5/1000</f>
        <v>-18.011937547741635</v>
      </c>
      <c r="BH5" s="59">
        <f>IF('2022 Lønnsgr arbavg tjeneste'!N5&lt;100,0,(C5/$C$17)*'2022 Arbavg tjeneste'!N5/'2022 Lønnsgr arbavg tjeneste'!N5)</f>
        <v>1.7481477688585916E-2</v>
      </c>
      <c r="BI5" s="5">
        <f>IF('2022 Lønnsgr arbavg tjeneste'!N5&lt;100,0,C5)</f>
        <v>699827</v>
      </c>
      <c r="BJ5" s="59">
        <f t="shared" ref="BJ5:BJ15" si="17">BI5/$BI$17</f>
        <v>0.12899394868826805</v>
      </c>
      <c r="BK5" s="59">
        <f t="shared" ref="BK5:BK15" si="18">1/$BJ$17</f>
        <v>1</v>
      </c>
      <c r="BL5" s="59">
        <f>IF(BI5=0,0,(BI5/$BI$17)*BK5*'2022 Arbavg tjeneste'!N5/'2022 Lønnsgr arbavg tjeneste'!N5)</f>
        <v>1.7481477688585916E-2</v>
      </c>
      <c r="BM5" s="5">
        <f>IF(BI5=0,0,'2022 Nto driftsutg landet'!$C$26*'2022 Lønnsand og arbavg landet'!$D$16*('2022 Arbavg tjeneste'!N5/'2022 Lønnsgr arbavg tjeneste'!N5-$BL$17))</f>
        <v>0.16628224968420138</v>
      </c>
      <c r="BN5" s="5">
        <f t="shared" ref="BN5:BN15" si="19">+BM5*$C5/1000</f>
        <v>116.3688079497456</v>
      </c>
      <c r="BO5" s="59">
        <f>IF('2022 Lønnsgr arbavg tjeneste'!O5&lt;100,0,(C5/$C$17)*'2022 Arbavg tjeneste'!O5/'2022 Lønnsgr arbavg tjeneste'!O5)</f>
        <v>0</v>
      </c>
      <c r="BP5" s="5">
        <f>IF('2022 Lønnsgr arbavg tjeneste'!O5&lt;100,0,C5)</f>
        <v>0</v>
      </c>
      <c r="BQ5" s="59">
        <f t="shared" ref="BQ5:BQ15" si="20">BP5/$BP$17</f>
        <v>0</v>
      </c>
      <c r="BR5" s="59">
        <f t="shared" ref="BR5:BR15" si="21">1/$BQ$17</f>
        <v>1</v>
      </c>
      <c r="BS5" s="59">
        <f>IF(BP5=0,0,(BP5/$BP$17)*BR5*'2022 Arbavg tjeneste'!O5/'2022 Lønnsgr arbavg tjeneste'!O5)</f>
        <v>0</v>
      </c>
      <c r="BT5" s="5">
        <f>IF(BP5=0,0,'2022 Nto driftsutg landet'!$C$27*'2022 Lønnsand og arbavg landet'!$D$17*('2022 Arbavg tjeneste'!O5/'2022 Lønnsgr arbavg tjeneste'!O5-$BS$17))</f>
        <v>0</v>
      </c>
      <c r="BU5" s="5">
        <f t="shared" ref="BU5:BU15" si="22">+BT5*$C5/1000</f>
        <v>0</v>
      </c>
      <c r="BV5" s="59">
        <f>IF('2022 Lønnsgr arbavg tjeneste'!P5&lt;100,0,(C5/$C$17)*'2022 Arbavg tjeneste'!P5/'2022 Lønnsgr arbavg tjeneste'!P5)</f>
        <v>0</v>
      </c>
      <c r="BW5" s="5">
        <f>IF('2022 Lønnsgr arbavg tjeneste'!P5&lt;100,0,C5)</f>
        <v>0</v>
      </c>
      <c r="BX5" s="59">
        <f t="shared" ref="BX5:BX15" si="23">BW5/$BW$17</f>
        <v>0</v>
      </c>
      <c r="BY5" s="59">
        <f t="shared" ref="BY5:BY15" si="24">1/$BX$17</f>
        <v>1</v>
      </c>
      <c r="BZ5" s="59">
        <f>IF(BW5=0,0,(BW5/$BW$17)*BY5*'2022 Arbavg tjeneste'!P5/'2022 Lønnsgr arbavg tjeneste'!P5)</f>
        <v>0</v>
      </c>
      <c r="CA5" s="5">
        <f>IF(BW5=0,0,'2022 Nto driftsutg landet'!$C$28*'2022 Lønnsand og arbavg landet'!$D$18*('2022 Arbavg tjeneste'!P5/'2022 Lønnsgr arbavg tjeneste'!P5-$BZ$17))</f>
        <v>0</v>
      </c>
      <c r="CB5" s="5">
        <f t="shared" ref="CB5:CB15" si="25">+CA5*$C5/1000</f>
        <v>0</v>
      </c>
      <c r="CC5" s="5"/>
      <c r="CD5" s="5"/>
      <c r="CE5" s="5"/>
    </row>
    <row r="6" spans="1:83" x14ac:dyDescent="0.25">
      <c r="A6" s="43">
        <v>1100</v>
      </c>
      <c r="B6" s="44" t="s">
        <v>141</v>
      </c>
      <c r="C6" s="44">
        <f>+'2022 Nto driftsutg'!W6</f>
        <v>485797</v>
      </c>
      <c r="D6" s="59">
        <f>IF('2022 Lønnsgr arbavg tjeneste'!D6&lt;100,0,(C6/$C$17)*'2022 Revekting utgiftsbehov'!D6*'2022 Arbavg tjeneste'!D6/'2022 Lønnsgr arbavg tjeneste'!D6)</f>
        <v>1.3412634339897417E-2</v>
      </c>
      <c r="E6" s="5">
        <f>IF('2022 Lønnsgr arbavg tjeneste'!D6&lt;100,0,C6)</f>
        <v>485797</v>
      </c>
      <c r="F6" s="59">
        <f>'2022 Revekting utgiftsbehov'!D6*E6/$E$17</f>
        <v>9.5856192846394739E-2</v>
      </c>
      <c r="G6" s="59">
        <f>'2022 Revekting utgiftsbehov'!D6/$F$17</f>
        <v>1.0704814124959241</v>
      </c>
      <c r="H6" s="59">
        <f>IF(E6=0,0,(E6/$E$17)*G6*'2022 Arbavg tjeneste'!D6/'2022 Lønnsgr arbavg tjeneste'!D6)</f>
        <v>1.3412400448830162E-2</v>
      </c>
      <c r="I6" s="5">
        <f>IF(E6=0,0,'2022 Nto driftsutg landet'!$C$5*'2022 Lønnsand og arbavg landet'!$D$6*('2022 Arbavg tjeneste'!D6/'2022 Lønnsgr arbavg tjeneste'!D6-$H$17)*'2022 Revekting utgiftsbehov'!D6)</f>
        <v>48.167278581730507</v>
      </c>
      <c r="J6" s="5">
        <f t="shared" si="3"/>
        <v>23399.519433168938</v>
      </c>
      <c r="K6" s="59">
        <f>IF('2022 Lønnsgr arbavg tjeneste'!E6&lt;100,0,(C6/$C$17)*'2022 Revekting utgiftsbehov'!E6*'2022 Arbavg tjeneste'!E6/'2022 Lønnsgr arbavg tjeneste'!E6)</f>
        <v>1.0191021076683548E-2</v>
      </c>
      <c r="L6" s="5">
        <f>IF('2022 Lønnsgr arbavg tjeneste'!E6&lt;100,0,C6)</f>
        <v>485797</v>
      </c>
      <c r="M6" s="59">
        <f>'2022 Revekting utgiftsbehov'!E6*L6/$L$17</f>
        <v>8.3006101416091563E-2</v>
      </c>
      <c r="N6" s="59">
        <f>'2022 Revekting utgiftsbehov'!E6/$M$17</f>
        <v>0.72810241445037605</v>
      </c>
      <c r="O6" s="59">
        <f>IF(L6=0,0,(L6/$L$17)*N6*'2022 Arbavg tjeneste'!E6/'2022 Lønnsgr arbavg tjeneste'!E6)</f>
        <v>1.0550943118038558E-2</v>
      </c>
      <c r="P6" s="5">
        <f>IF(L6=0,0,'2022 Nto driftsutg landet'!$C$6*'2022 Lønnsand og arbavg landet'!$D$7*('2022 Arbavg tjeneste'!E6/'2022 Lønnsgr arbavg tjeneste'!E6-$O$17)*'2022 Revekting utgiftsbehov'!E6)</f>
        <v>-9.7444895979307091</v>
      </c>
      <c r="Q6" s="5">
        <f t="shared" si="4"/>
        <v>-4733.8438132059446</v>
      </c>
      <c r="R6" s="59">
        <f>IF('2022 Lønnsgr arbavg tjeneste'!F6&lt;100,0,(C6/$C$17)*'2022 Revekting utgiftsbehov'!F6*'2022 Arbavg tjeneste'!F6/'2022 Lønnsgr arbavg tjeneste'!F6)</f>
        <v>1.2869478775421666E-2</v>
      </c>
      <c r="S6" s="5">
        <f>IF('2022 Lønnsgr arbavg tjeneste'!F6&lt;100,0,C6)</f>
        <v>485797</v>
      </c>
      <c r="T6" s="59">
        <f>'2022 Revekting utgiftsbehov'!F6*S6/$S$17</f>
        <v>9.1437083894176693E-2</v>
      </c>
      <c r="U6" s="59">
        <f>'2022 Revekting utgiftsbehov'!F6/$T$17</f>
        <v>1.020845242111033</v>
      </c>
      <c r="V6" s="59">
        <f>IF(S6=0,0,(S6/$S$17)*U6*'2022 Arbavg tjeneste'!F6/'2022 Lønnsgr arbavg tjeneste'!F6)</f>
        <v>1.2865657084793519E-2</v>
      </c>
      <c r="W6" s="5">
        <f>IF(S6=0,0,'2022 Nto driftsutg landet'!$C$7*'2022 Lønnsand og arbavg landet'!$D$8*('2022 Arbavg tjeneste'!F6/'2022 Lønnsgr arbavg tjeneste'!F6-$V$17)*'2022 Revekting utgiftsbehov'!F6)</f>
        <v>0.23632731856414171</v>
      </c>
      <c r="X6" s="5">
        <f t="shared" si="5"/>
        <v>114.80710237650435</v>
      </c>
      <c r="Y6" s="59">
        <f>IF('2022 Lønnsgr arbavg tjeneste'!G6&lt;100,0,(C6/$C$17)*'2022 Revekting utgiftsbehov'!G6*'2022 Arbavg tjeneste'!G6/'2022 Lønnsgr arbavg tjeneste'!G6)</f>
        <v>9.5111210183963513E-3</v>
      </c>
      <c r="Z6" s="5">
        <f>IF('2022 Lønnsgr arbavg tjeneste'!G6&lt;100,0,C6)</f>
        <v>485797</v>
      </c>
      <c r="AA6" s="59">
        <f>'2022 Revekting utgiftsbehov'!G6*Z6/$Z$17</f>
        <v>0.15220471566903995</v>
      </c>
      <c r="AB6" s="59">
        <f>'2022 Revekting utgiftsbehov'!G6/$AA$17</f>
        <v>0.45785301083410479</v>
      </c>
      <c r="AC6" s="59">
        <f>IF(Z6=0,0,(Z6/$Z$17)*AB6*'2022 Arbavg tjeneste'!G6/'2022 Lønnsgr arbavg tjeneste'!G6)</f>
        <v>1.3200114940624714E-2</v>
      </c>
      <c r="AD6" s="5">
        <f>IF(Z6=0,0,'2022 Nto driftsutg landet'!$C$8*'2022 Lønnsand og arbavg landet'!$D$9*('2022 Arbavg tjeneste'!G6/'2022 Lønnsgr arbavg tjeneste'!G6-$AC$17)*'2022 Revekting utgiftsbehov'!G6)</f>
        <v>0.22632913498877458</v>
      </c>
      <c r="AE6" s="5">
        <f t="shared" si="6"/>
        <v>109.95001479014172</v>
      </c>
      <c r="AF6" s="59">
        <f>IF('2022 Lønnsgr arbavg tjeneste'!H6&lt;100,0,(C6/$C$17)*'2022 Revekting utgiftsbehov'!H6*'2022 Arbavg tjeneste'!H6/'2022 Lønnsgr arbavg tjeneste'!H6)</f>
        <v>1.3521825044953554E-2</v>
      </c>
      <c r="AG6" s="5">
        <f>IF('2022 Lønnsgr arbavg tjeneste'!H6&lt;100,0,C6)</f>
        <v>485797</v>
      </c>
      <c r="AH6" s="59">
        <f>'2022 Revekting utgiftsbehov'!H6*AG6/$AG$17</f>
        <v>9.6355736545718454E-2</v>
      </c>
      <c r="AI6" s="59">
        <f>'2022 Revekting utgiftsbehov'!H6/$AH$17</f>
        <v>1.0761181694849329</v>
      </c>
      <c r="AJ6" s="59">
        <f>IF(AG6=0,0,(AG6/$AG$17)*AI6*'2022 Arbavg tjeneste'!H6/'2022 Lønnsgr arbavg tjeneste'!H6)</f>
        <v>1.3522318875633104E-2</v>
      </c>
      <c r="AK6" s="5">
        <f>IF(AG6=0,0,'2022 Nto driftsutg landet'!$C$9*'2022 Lønnsand og arbavg landet'!$D$10*('2022 Arbavg tjeneste'!H6/'2022 Lønnsgr arbavg tjeneste'!H6-$AJ$17)*'2022 Revekting utgiftsbehov'!H6)</f>
        <v>4.9276367175813158</v>
      </c>
      <c r="AL6" s="5">
        <f t="shared" si="7"/>
        <v>2393.8311344908502</v>
      </c>
      <c r="AM6" s="59">
        <f>IF('2022 Lønnsgr arbavg tjeneste'!K6&lt;100,0,(C6/$C$17)*'2022 Arbavg tjeneste'!K6/'2022 Lønnsgr arbavg tjeneste'!K6)</f>
        <v>1.2625915438632696E-2</v>
      </c>
      <c r="AN6" s="5">
        <f>IF('2022 Lønnsgr arbavg tjeneste'!K6&lt;100,0,C6)</f>
        <v>485797</v>
      </c>
      <c r="AO6" s="59">
        <f t="shared" si="8"/>
        <v>8.9543377564618901E-2</v>
      </c>
      <c r="AP6" s="59">
        <f t="shared" si="9"/>
        <v>1.0000365210079192</v>
      </c>
      <c r="AQ6" s="59">
        <f>IF(AN6=0,0,(AN6/$AN$17)*AP6*'2022 Arbavg tjeneste'!K6/'2022 Lønnsgr arbavg tjeneste'!K6)</f>
        <v>1.2626376549790418E-2</v>
      </c>
      <c r="AR6" s="5">
        <f>IF(AN6=0,0,'2022 Nto driftsutg landet'!$C$23*'2022 Lønnsand og arbavg landet'!$D$13*('2022 Arbavg tjeneste'!K6/'2022 Lønnsgr arbavg tjeneste'!K6-$AQ$17))</f>
        <v>8.1071528697258426</v>
      </c>
      <c r="AS6" s="5">
        <f t="shared" si="10"/>
        <v>3938.4305426542051</v>
      </c>
      <c r="AT6" s="59">
        <f>IF('2022 Lønnsgr arbavg tjeneste'!L6&lt;100,0,(C6/$C$17)*'2022 Arbavg tjeneste'!L6/'2022 Lønnsgr arbavg tjeneste'!L6)</f>
        <v>1.2635488892217059E-2</v>
      </c>
      <c r="AU6" s="5">
        <f>IF('2022 Lønnsgr arbavg tjeneste'!L6&lt;100,0,C6)</f>
        <v>485797</v>
      </c>
      <c r="AV6" s="59">
        <f t="shared" si="11"/>
        <v>0.10280454128850988</v>
      </c>
      <c r="AW6" s="59">
        <f t="shared" si="12"/>
        <v>1</v>
      </c>
      <c r="AX6" s="59">
        <f>IF(AU6=0,0,(AU6/$AU$17)*AW6*'2022 Arbavg tjeneste'!L6/'2022 Lønnsgr arbavg tjeneste'!L6)</f>
        <v>1.4506775094372834E-2</v>
      </c>
      <c r="AY6" s="5">
        <f>IF(AU6=0,0,'2022 Nto driftsutg landet'!$C$24*'2022 Lønnsand og arbavg landet'!$D$14*('2022 Arbavg tjeneste'!L6/'2022 Lønnsgr arbavg tjeneste'!L6-$AX$17))</f>
        <v>0.58350560740191337</v>
      </c>
      <c r="AZ6" s="5">
        <f t="shared" si="13"/>
        <v>283.46527355902731</v>
      </c>
      <c r="BA6" s="59">
        <f>IF('2022 Lønnsgr arbavg tjeneste'!M6&lt;100,0,(C6/$C$17)*'2022 Arbavg tjeneste'!M6/'2022 Lønnsgr arbavg tjeneste'!M6)</f>
        <v>1.2666183703854313E-2</v>
      </c>
      <c r="BB6" s="5">
        <f>IF('2022 Lønnsgr arbavg tjeneste'!M6&lt;100,0,C6)</f>
        <v>485797</v>
      </c>
      <c r="BC6" s="59">
        <f t="shared" si="14"/>
        <v>8.9543377564618901E-2</v>
      </c>
      <c r="BD6" s="59">
        <f t="shared" si="15"/>
        <v>1</v>
      </c>
      <c r="BE6" s="59">
        <f>IF(BB6=0,0,(BB6/$BB$17)*BD6*'2022 Arbavg tjeneste'!M6/'2022 Lønnsgr arbavg tjeneste'!M6)</f>
        <v>1.2666183703854313E-2</v>
      </c>
      <c r="BF6" s="5">
        <f>IF(BB6=0,0,'2022 Nto driftsutg landet'!$C$25*'2022 Lønnsand og arbavg landet'!$D$15*('2022 Arbavg tjeneste'!M6/'2022 Lønnsgr arbavg tjeneste'!M6-$BE$17))</f>
        <v>-3.6395769442737598E-2</v>
      </c>
      <c r="BG6" s="5">
        <f t="shared" si="16"/>
        <v>-17.680955607973594</v>
      </c>
      <c r="BH6" s="59">
        <f>IF('2022 Lønnsgr arbavg tjeneste'!N6&lt;100,0,(C6/$C$17)*'2022 Arbavg tjeneste'!N6/'2022 Lønnsgr arbavg tjeneste'!N6)</f>
        <v>1.2724646422289716E-2</v>
      </c>
      <c r="BI6" s="5">
        <f>IF('2022 Lønnsgr arbavg tjeneste'!N6&lt;100,0,C6)</f>
        <v>485797</v>
      </c>
      <c r="BJ6" s="59">
        <f t="shared" si="17"/>
        <v>8.9543377564618901E-2</v>
      </c>
      <c r="BK6" s="59">
        <f t="shared" si="18"/>
        <v>1</v>
      </c>
      <c r="BL6" s="59">
        <f>IF(BI6=0,0,(BI6/$BI$17)*BK6*'2022 Arbavg tjeneste'!N6/'2022 Lønnsgr arbavg tjeneste'!N6)</f>
        <v>1.2724646422289716E-2</v>
      </c>
      <c r="BM6" s="5">
        <f>IF(BI6=0,0,'2022 Nto driftsutg landet'!$C$26*'2022 Lønnsand og arbavg landet'!$D$16*('2022 Arbavg tjeneste'!N6/'2022 Lønnsgr arbavg tjeneste'!N6-$BL$17))</f>
        <v>0.36650425504895967</v>
      </c>
      <c r="BN6" s="5">
        <f t="shared" si="19"/>
        <v>178.04666759001947</v>
      </c>
      <c r="BO6" s="59">
        <f>IF('2022 Lønnsgr arbavg tjeneste'!O6&lt;100,0,(C6/$C$17)*'2022 Arbavg tjeneste'!O6/'2022 Lønnsgr arbavg tjeneste'!O6)</f>
        <v>0</v>
      </c>
      <c r="BP6" s="5">
        <f>IF('2022 Lønnsgr arbavg tjeneste'!O6&lt;100,0,C6)</f>
        <v>0</v>
      </c>
      <c r="BQ6" s="59">
        <f t="shared" si="20"/>
        <v>0</v>
      </c>
      <c r="BR6" s="59">
        <f t="shared" si="21"/>
        <v>1</v>
      </c>
      <c r="BS6" s="59">
        <f>IF(BP6=0,0,(BP6/$BP$17)*BR6*'2022 Arbavg tjeneste'!O6/'2022 Lønnsgr arbavg tjeneste'!O6)</f>
        <v>0</v>
      </c>
      <c r="BT6" s="5">
        <f>IF(BP6=0,0,'2022 Nto driftsutg landet'!$C$27*'2022 Lønnsand og arbavg landet'!$D$17*('2022 Arbavg tjeneste'!O6/'2022 Lønnsgr arbavg tjeneste'!O6-$BS$17))</f>
        <v>0</v>
      </c>
      <c r="BU6" s="5">
        <f t="shared" si="22"/>
        <v>0</v>
      </c>
      <c r="BV6" s="59">
        <f>IF('2022 Lønnsgr arbavg tjeneste'!P6&lt;100,0,(C6/$C$17)*'2022 Arbavg tjeneste'!P6/'2022 Lønnsgr arbavg tjeneste'!P6)</f>
        <v>7.8491882183787109E-3</v>
      </c>
      <c r="BW6" s="5">
        <f>IF('2022 Lønnsgr arbavg tjeneste'!P6&lt;100,0,C6)</f>
        <v>485797</v>
      </c>
      <c r="BX6" s="59">
        <f t="shared" si="23"/>
        <v>0.1439816171861408</v>
      </c>
      <c r="BY6" s="59">
        <f t="shared" si="24"/>
        <v>1</v>
      </c>
      <c r="BZ6" s="59">
        <f>IF(BW6=0,0,(BW6/$BW$17)*BY6*'2022 Arbavg tjeneste'!P6/'2022 Lønnsgr arbavg tjeneste'!P6)</f>
        <v>1.2621132282675024E-2</v>
      </c>
      <c r="CA6" s="5">
        <f>IF(BW6=0,0,'2022 Nto driftsutg landet'!$C$28*'2022 Lønnsand og arbavg landet'!$D$18*('2022 Arbavg tjeneste'!P6/'2022 Lønnsgr arbavg tjeneste'!P6-$BZ$17))</f>
        <v>9.9737599695560123E-3</v>
      </c>
      <c r="CB6" s="5">
        <f t="shared" si="25"/>
        <v>4.8452226719304017</v>
      </c>
      <c r="CC6" s="5"/>
      <c r="CD6" s="5"/>
      <c r="CE6" s="5"/>
    </row>
    <row r="7" spans="1:83" x14ac:dyDescent="0.25">
      <c r="A7" s="43">
        <v>1500</v>
      </c>
      <c r="B7" s="44" t="s">
        <v>142</v>
      </c>
      <c r="C7" s="44">
        <f>+'2022 Nto driftsutg'!W7</f>
        <v>265848</v>
      </c>
      <c r="D7" s="59">
        <f>IF('2022 Lønnsgr arbavg tjeneste'!D7&lt;100,0,(C7/$C$17)*'2022 Revekting utgiftsbehov'!D7*'2022 Arbavg tjeneste'!D7/'2022 Lønnsgr arbavg tjeneste'!D7)</f>
        <v>7.3351059337319006E-3</v>
      </c>
      <c r="E7" s="5">
        <f>IF('2022 Lønnsgr arbavg tjeneste'!D7&lt;100,0,C7)</f>
        <v>265848</v>
      </c>
      <c r="F7" s="59">
        <f>'2022 Revekting utgiftsbehov'!D7*E7/$E$17</f>
        <v>5.458473231657042E-2</v>
      </c>
      <c r="G7" s="59">
        <f>'2022 Revekting utgiftsbehov'!D7/$F$17</f>
        <v>1.1139137651043338</v>
      </c>
      <c r="H7" s="59">
        <f>IF(E7=0,0,(E7/$E$17)*G7*'2022 Arbavg tjeneste'!D7/'2022 Lønnsgr arbavg tjeneste'!D7)</f>
        <v>7.3349780233071624E-3</v>
      </c>
      <c r="I7" s="5">
        <f>IF(E7=0,0,'2022 Nto driftsutg landet'!$C$5*'2022 Lønnsand og arbavg landet'!$D$6*('2022 Arbavg tjeneste'!D7/'2022 Lønnsgr arbavg tjeneste'!D7-$H$17)*'2022 Revekting utgiftsbehov'!D7)</f>
        <v>25.924872759678721</v>
      </c>
      <c r="J7" s="5">
        <f t="shared" si="3"/>
        <v>6892.0755734150689</v>
      </c>
      <c r="K7" s="59">
        <f>IF('2022 Lønnsgr arbavg tjeneste'!E7&lt;100,0,(C7/$C$17)*'2022 Revekting utgiftsbehov'!E7*'2022 Arbavg tjeneste'!E7/'2022 Lønnsgr arbavg tjeneste'!E7)</f>
        <v>2.3891698442437867E-2</v>
      </c>
      <c r="L7" s="5">
        <f>IF('2022 Lønnsgr arbavg tjeneste'!E7&lt;100,0,C7)</f>
        <v>265848</v>
      </c>
      <c r="M7" s="59">
        <f>'2022 Revekting utgiftsbehov'!E7*L7/$L$17</f>
        <v>8.7049336860158935E-2</v>
      </c>
      <c r="N7" s="59">
        <f>'2022 Revekting utgiftsbehov'!E7/$M$17</f>
        <v>1.3953056496005194</v>
      </c>
      <c r="O7" s="59">
        <f>IF(L7=0,0,(L7/$L$17)*N7*'2022 Arbavg tjeneste'!E7/'2022 Lønnsgr arbavg tjeneste'!E7)</f>
        <v>2.4735495036531354E-2</v>
      </c>
      <c r="P7" s="5">
        <f>IF(L7=0,0,'2022 Nto driftsutg landet'!$C$6*'2022 Lønnsand og arbavg landet'!$D$7*('2022 Arbavg tjeneste'!E7/'2022 Lønnsgr arbavg tjeneste'!E7-$O$17)*'2022 Revekting utgiftsbehov'!E7)</f>
        <v>21.580466946048265</v>
      </c>
      <c r="Q7" s="5">
        <f t="shared" si="4"/>
        <v>5737.1239766730396</v>
      </c>
      <c r="R7" s="59">
        <f>IF('2022 Lønnsgr arbavg tjeneste'!F7&lt;100,0,(C7/$C$17)*'2022 Revekting utgiftsbehov'!F7*'2022 Arbavg tjeneste'!F7/'2022 Lønnsgr arbavg tjeneste'!F7)</f>
        <v>8.1014775190691446E-3</v>
      </c>
      <c r="S7" s="5">
        <f>IF('2022 Lønnsgr arbavg tjeneste'!F7&lt;100,0,C7)</f>
        <v>265848</v>
      </c>
      <c r="T7" s="59">
        <f>'2022 Revekting utgiftsbehov'!F7*S7/$S$17</f>
        <v>4.8776376867628694E-2</v>
      </c>
      <c r="U7" s="59">
        <f>'2022 Revekting utgiftsbehov'!F7/$T$17</f>
        <v>0.99510408841508025</v>
      </c>
      <c r="V7" s="59">
        <f>IF(S7=0,0,(S7/$S$17)*U7*'2022 Arbavg tjeneste'!F7/'2022 Lønnsgr arbavg tjeneste'!F7)</f>
        <v>8.0990717230575836E-3</v>
      </c>
      <c r="W7" s="5">
        <f>IF(S7=0,0,'2022 Nto driftsutg landet'!$C$7*'2022 Lønnsand og arbavg landet'!$D$8*('2022 Arbavg tjeneste'!F7/'2022 Lønnsgr arbavg tjeneste'!F7-$V$17)*'2022 Revekting utgiftsbehov'!F7)</f>
        <v>1.307550037037533</v>
      </c>
      <c r="X7" s="5">
        <f t="shared" si="5"/>
        <v>347.60956224635407</v>
      </c>
      <c r="Y7" s="59">
        <f>IF('2022 Lønnsgr arbavg tjeneste'!G7&lt;100,0,(C7/$C$17)*'2022 Revekting utgiftsbehov'!G7*'2022 Arbavg tjeneste'!G7/'2022 Lønnsgr arbavg tjeneste'!G7)</f>
        <v>2.0815877434986391E-2</v>
      </c>
      <c r="Z7" s="5">
        <f>IF('2022 Lønnsgr arbavg tjeneste'!G7&lt;100,0,C7)</f>
        <v>265848</v>
      </c>
      <c r="AA7" s="59">
        <f>'2022 Revekting utgiftsbehov'!G7*Z7/$Z$17</f>
        <v>0.34297415324440217</v>
      </c>
      <c r="AB7" s="59">
        <f>'2022 Revekting utgiftsbehov'!G7/$AA$17</f>
        <v>1.8853013997753012</v>
      </c>
      <c r="AC7" s="59">
        <f>IF(Z7=0,0,(Z7/$Z$17)*AB7*'2022 Arbavg tjeneste'!G7/'2022 Lønnsgr arbavg tjeneste'!G7)</f>
        <v>2.8889546689639892E-2</v>
      </c>
      <c r="AD7" s="5">
        <f>IF(Z7=0,0,'2022 Nto driftsutg landet'!$C$8*'2022 Lønnsand og arbavg landet'!$D$9*('2022 Arbavg tjeneste'!G7/'2022 Lønnsgr arbavg tjeneste'!G7-$AC$17)*'2022 Revekting utgiftsbehov'!G7)</f>
        <v>0.85855146406511118</v>
      </c>
      <c r="AE7" s="5">
        <f t="shared" si="6"/>
        <v>228.24418961878166</v>
      </c>
      <c r="AF7" s="59">
        <f>IF('2022 Lønnsgr arbavg tjeneste'!H7&lt;100,0,(C7/$C$17)*'2022 Revekting utgiftsbehov'!H7*'2022 Arbavg tjeneste'!H7/'2022 Lønnsgr arbavg tjeneste'!H7)</f>
        <v>6.4057384277414562E-3</v>
      </c>
      <c r="AG7" s="5">
        <f>IF('2022 Lønnsgr arbavg tjeneste'!H7&lt;100,0,C7)</f>
        <v>265848</v>
      </c>
      <c r="AH7" s="59">
        <f>'2022 Revekting utgiftsbehov'!H7*AG7/$AG$17</f>
        <v>5.0474067778318865E-2</v>
      </c>
      <c r="AI7" s="59">
        <f>'2022 Revekting utgiftsbehov'!H7/$AH$17</f>
        <v>1.0300827782874455</v>
      </c>
      <c r="AJ7" s="59">
        <f>IF(AG7=0,0,(AG7/$AG$17)*AI7*'2022 Arbavg tjeneste'!H7/'2022 Lønnsgr arbavg tjeneste'!H7)</f>
        <v>6.4059723717653054E-3</v>
      </c>
      <c r="AK7" s="5">
        <f>IF(AG7=0,0,'2022 Nto driftsutg landet'!$C$9*'2022 Lønnsand og arbavg landet'!$D$10*('2022 Arbavg tjeneste'!H7/'2022 Lønnsgr arbavg tjeneste'!H7-$AJ$17)*'2022 Revekting utgiftsbehov'!H7)</f>
        <v>9.3527441869347236E-2</v>
      </c>
      <c r="AL7" s="5">
        <f t="shared" si="7"/>
        <v>24.864083366082223</v>
      </c>
      <c r="AM7" s="59">
        <f>IF('2022 Lønnsgr arbavg tjeneste'!K7&lt;100,0,(C7/$C$17)*'2022 Arbavg tjeneste'!K7/'2022 Lønnsgr arbavg tjeneste'!K7)</f>
        <v>7.0693089497398578E-3</v>
      </c>
      <c r="AN7" s="5">
        <f>IF('2022 Lønnsgr arbavg tjeneste'!K7&lt;100,0,C7)</f>
        <v>265848</v>
      </c>
      <c r="AO7" s="59">
        <f t="shared" si="8"/>
        <v>4.9001800832032323E-2</v>
      </c>
      <c r="AP7" s="59">
        <f t="shared" si="9"/>
        <v>1.0000365210079192</v>
      </c>
      <c r="AQ7" s="59">
        <f>IF(AN7=0,0,(AN7/$AN$17)*AP7*'2022 Arbavg tjeneste'!K7/'2022 Lønnsgr arbavg tjeneste'!K7)</f>
        <v>7.0695671280279933E-3</v>
      </c>
      <c r="AR7" s="5">
        <f>IF(AN7=0,0,'2022 Nto driftsutg landet'!$C$23*'2022 Lønnsand og arbavg landet'!$D$13*('2022 Arbavg tjeneste'!K7/'2022 Lønnsgr arbavg tjeneste'!K7-$AQ$17))</f>
        <v>9.6646451371245483</v>
      </c>
      <c r="AS7" s="5">
        <f t="shared" si="10"/>
        <v>2569.326580414287</v>
      </c>
      <c r="AT7" s="59">
        <f>IF('2022 Lønnsgr arbavg tjeneste'!L7&lt;100,0,(C7/$C$17)*'2022 Arbavg tjeneste'!L7/'2022 Lønnsgr arbavg tjeneste'!L7)</f>
        <v>6.7310779310482231E-3</v>
      </c>
      <c r="AU7" s="5">
        <f>IF('2022 Lønnsgr arbavg tjeneste'!L7&lt;100,0,C7)</f>
        <v>265848</v>
      </c>
      <c r="AV7" s="59">
        <f t="shared" si="11"/>
        <v>5.6258852344637317E-2</v>
      </c>
      <c r="AW7" s="59">
        <f t="shared" si="12"/>
        <v>1</v>
      </c>
      <c r="AX7" s="59">
        <f>IF(AU7=0,0,(AU7/$AU$17)*AW7*'2022 Arbavg tjeneste'!L7/'2022 Lønnsgr arbavg tjeneste'!L7)</f>
        <v>7.7279347496050617E-3</v>
      </c>
      <c r="AY7" s="5">
        <f>IF(AU7=0,0,'2022 Nto driftsutg landet'!$C$24*'2022 Lønnsand og arbavg landet'!$D$14*('2022 Arbavg tjeneste'!L7/'2022 Lønnsgr arbavg tjeneste'!L7-$AX$17))</f>
        <v>0.36946776711311435</v>
      </c>
      <c r="AZ7" s="5">
        <f t="shared" si="13"/>
        <v>98.222266951487228</v>
      </c>
      <c r="BA7" s="59">
        <f>IF('2022 Lønnsgr arbavg tjeneste'!M7&lt;100,0,(C7/$C$17)*'2022 Arbavg tjeneste'!M7/'2022 Lønnsgr arbavg tjeneste'!M7)</f>
        <v>6.732717423226172E-3</v>
      </c>
      <c r="BB7" s="5">
        <f>IF('2022 Lønnsgr arbavg tjeneste'!M7&lt;100,0,C7)</f>
        <v>265848</v>
      </c>
      <c r="BC7" s="59">
        <f t="shared" si="14"/>
        <v>4.9001800832032323E-2</v>
      </c>
      <c r="BD7" s="59">
        <f t="shared" si="15"/>
        <v>1</v>
      </c>
      <c r="BE7" s="59">
        <f>IF(BB7=0,0,(BB7/$BB$17)*BD7*'2022 Arbavg tjeneste'!M7/'2022 Lønnsgr arbavg tjeneste'!M7)</f>
        <v>6.732717423226172E-3</v>
      </c>
      <c r="BF7" s="5">
        <f>IF(BB7=0,0,'2022 Nto driftsutg landet'!$C$25*'2022 Lønnsand og arbavg landet'!$D$15*('2022 Arbavg tjeneste'!M7/'2022 Lønnsgr arbavg tjeneste'!M7-$BE$17))</f>
        <v>-2.6013430920969575E-2</v>
      </c>
      <c r="BG7" s="5">
        <f t="shared" si="16"/>
        <v>-6.9156185834779196</v>
      </c>
      <c r="BH7" s="59">
        <f>IF('2022 Lønnsgr arbavg tjeneste'!N7&lt;100,0,(C7/$C$17)*'2022 Arbavg tjeneste'!N7/'2022 Lønnsgr arbavg tjeneste'!N7)</f>
        <v>6.7065255645129595E-3</v>
      </c>
      <c r="BI7" s="5">
        <f>IF('2022 Lønnsgr arbavg tjeneste'!N7&lt;100,0,C7)</f>
        <v>265848</v>
      </c>
      <c r="BJ7" s="59">
        <f t="shared" si="17"/>
        <v>4.9001800832032323E-2</v>
      </c>
      <c r="BK7" s="59">
        <f t="shared" si="18"/>
        <v>1</v>
      </c>
      <c r="BL7" s="59">
        <f>IF(BI7=0,0,(BI7/$BI$17)*BK7*'2022 Arbavg tjeneste'!N7/'2022 Lønnsgr arbavg tjeneste'!N7)</f>
        <v>6.7065255645129595E-3</v>
      </c>
      <c r="BM7" s="5">
        <f>IF(BI7=0,0,'2022 Nto driftsutg landet'!$C$26*'2022 Lønnsand og arbavg landet'!$D$16*('2022 Arbavg tjeneste'!N7/'2022 Lønnsgr arbavg tjeneste'!N7-$BL$17))</f>
        <v>0.20706556065987702</v>
      </c>
      <c r="BN7" s="5">
        <f t="shared" si="19"/>
        <v>55.047965170306988</v>
      </c>
      <c r="BO7" s="59">
        <f>IF('2022 Lønnsgr arbavg tjeneste'!O7&lt;100,0,(C7/$C$17)*'2022 Arbavg tjeneste'!O7/'2022 Lønnsgr arbavg tjeneste'!O7)</f>
        <v>0</v>
      </c>
      <c r="BP7" s="5">
        <f>IF('2022 Lønnsgr arbavg tjeneste'!O7&lt;100,0,C7)</f>
        <v>0</v>
      </c>
      <c r="BQ7" s="59">
        <f t="shared" si="20"/>
        <v>0</v>
      </c>
      <c r="BR7" s="59">
        <f t="shared" si="21"/>
        <v>1</v>
      </c>
      <c r="BS7" s="59">
        <f>IF(BP7=0,0,(BP7/$BP$17)*BR7*'2022 Arbavg tjeneste'!O7/'2022 Lønnsgr arbavg tjeneste'!O7)</f>
        <v>0</v>
      </c>
      <c r="BT7" s="5">
        <f>IF(BP7=0,0,'2022 Nto driftsutg landet'!$C$27*'2022 Lønnsand og arbavg landet'!$D$17*('2022 Arbavg tjeneste'!O7/'2022 Lønnsgr arbavg tjeneste'!O7-$BS$17))</f>
        <v>0</v>
      </c>
      <c r="BU7" s="5">
        <f t="shared" si="22"/>
        <v>0</v>
      </c>
      <c r="BV7" s="59">
        <f>IF('2022 Lønnsgr arbavg tjeneste'!P7&lt;100,0,(C7/$C$17)*'2022 Arbavg tjeneste'!P7/'2022 Lønnsgr arbavg tjeneste'!P7)</f>
        <v>0</v>
      </c>
      <c r="BW7" s="5">
        <f>IF('2022 Lønnsgr arbavg tjeneste'!P7&lt;100,0,C7)</f>
        <v>0</v>
      </c>
      <c r="BX7" s="59">
        <f t="shared" si="23"/>
        <v>0</v>
      </c>
      <c r="BY7" s="59">
        <f t="shared" si="24"/>
        <v>1</v>
      </c>
      <c r="BZ7" s="59">
        <f>IF(BW7=0,0,(BW7/$BW$17)*BY7*'2022 Arbavg tjeneste'!P7/'2022 Lønnsgr arbavg tjeneste'!P7)</f>
        <v>0</v>
      </c>
      <c r="CA7" s="5">
        <f>IF(BW7=0,0,'2022 Nto driftsutg landet'!$C$28*'2022 Lønnsand og arbavg landet'!$D$18*('2022 Arbavg tjeneste'!P7/'2022 Lønnsgr arbavg tjeneste'!P7-$BZ$17))</f>
        <v>0</v>
      </c>
      <c r="CB7" s="5">
        <f t="shared" si="25"/>
        <v>0</v>
      </c>
      <c r="CC7" s="5"/>
      <c r="CD7" s="5"/>
      <c r="CE7" s="5"/>
    </row>
    <row r="8" spans="1:83" x14ac:dyDescent="0.25">
      <c r="A8" s="43">
        <v>1800</v>
      </c>
      <c r="B8" s="44" t="s">
        <v>143</v>
      </c>
      <c r="C8" s="44">
        <f>+'2022 Nto driftsutg'!W8</f>
        <v>240190</v>
      </c>
      <c r="D8" s="59">
        <f>IF('2022 Lønnsgr arbavg tjeneste'!D8&lt;100,0,(C8/$C$17)*'2022 Revekting utgiftsbehov'!D8*'2022 Arbavg tjeneste'!D8/'2022 Lønnsgr arbavg tjeneste'!D8)</f>
        <v>2.6888792012073432E-3</v>
      </c>
      <c r="E8" s="5">
        <f>IF('2022 Lønnsgr arbavg tjeneste'!D8&lt;100,0,C8)</f>
        <v>240190</v>
      </c>
      <c r="F8" s="59">
        <f>'2022 Revekting utgiftsbehov'!D8*E8/$E$17</f>
        <v>4.7546162732417005E-2</v>
      </c>
      <c r="G8" s="59">
        <f>'2022 Revekting utgiftsbehov'!D8/$F$17</f>
        <v>1.0739259424287657</v>
      </c>
      <c r="H8" s="59">
        <f>IF(E8=0,0,(E8/$E$17)*G8*'2022 Arbavg tjeneste'!D8/'2022 Lønnsgr arbavg tjeneste'!D8)</f>
        <v>2.6888323122211712E-3</v>
      </c>
      <c r="I8" s="5">
        <f>IF(E8=0,0,'2022 Nto driftsutg landet'!$C$5*'2022 Lønnsand og arbavg landet'!$D$6*('2022 Arbavg tjeneste'!D8/'2022 Lønnsgr arbavg tjeneste'!D8-$H$17)*'2022 Revekting utgiftsbehov'!D8)</f>
        <v>-302.46521280612546</v>
      </c>
      <c r="J8" s="5">
        <f t="shared" si="3"/>
        <v>-72649.119463903276</v>
      </c>
      <c r="K8" s="59">
        <f>IF('2022 Lønnsgr arbavg tjeneste'!E8&lt;100,0,(C8/$C$17)*'2022 Revekting utgiftsbehov'!E8*'2022 Arbavg tjeneste'!E8/'2022 Lønnsgr arbavg tjeneste'!E8)</f>
        <v>7.2821346661260328E-3</v>
      </c>
      <c r="L8" s="5">
        <f>IF('2022 Lønnsgr arbavg tjeneste'!E8&lt;100,0,C8)</f>
        <v>240190</v>
      </c>
      <c r="M8" s="59">
        <f>'2022 Revekting utgiftsbehov'!E8*L8/$L$17</f>
        <v>8.9132068324006872E-2</v>
      </c>
      <c r="N8" s="59">
        <f>'2022 Revekting utgiftsbehov'!E8/$M$17</f>
        <v>1.5813075535186731</v>
      </c>
      <c r="O8" s="59">
        <f>IF(L8=0,0,(L8/$L$17)*N8*'2022 Arbavg tjeneste'!E8/'2022 Lønnsgr arbavg tjeneste'!E8)</f>
        <v>7.5393219248641044E-3</v>
      </c>
      <c r="P8" s="5">
        <f>IF(L8=0,0,'2022 Nto driftsutg landet'!$C$6*'2022 Lønnsand og arbavg landet'!$D$7*('2022 Arbavg tjeneste'!E8/'2022 Lønnsgr arbavg tjeneste'!E8-$O$17)*'2022 Revekting utgiftsbehov'!E8)</f>
        <v>-33.516408331879767</v>
      </c>
      <c r="Q8" s="5">
        <f t="shared" si="4"/>
        <v>-8050.3061172342013</v>
      </c>
      <c r="R8" s="59">
        <f>IF('2022 Lønnsgr arbavg tjeneste'!F8&lt;100,0,(C8/$C$17)*'2022 Revekting utgiftsbehov'!F8*'2022 Arbavg tjeneste'!F8/'2022 Lønnsgr arbavg tjeneste'!F8)</f>
        <v>3.4047026854614618E-3</v>
      </c>
      <c r="S8" s="5">
        <f>IF('2022 Lønnsgr arbavg tjeneste'!F8&lt;100,0,C8)</f>
        <v>240190</v>
      </c>
      <c r="T8" s="59">
        <f>'2022 Revekting utgiftsbehov'!F8*S8/$S$17</f>
        <v>4.5178268844721092E-2</v>
      </c>
      <c r="U8" s="59">
        <f>'2022 Revekting utgiftsbehov'!F8/$T$17</f>
        <v>1.0201570465367038</v>
      </c>
      <c r="V8" s="59">
        <f>IF(S8=0,0,(S8/$S$17)*U8*'2022 Arbavg tjeneste'!F8/'2022 Lønnsgr arbavg tjeneste'!F8)</f>
        <v>3.4036916328328581E-3</v>
      </c>
      <c r="W8" s="5">
        <f>IF(S8=0,0,'2022 Nto driftsutg landet'!$C$7*'2022 Lønnsand og arbavg landet'!$D$8*('2022 Arbavg tjeneste'!F8/'2022 Lønnsgr arbavg tjeneste'!F8-$V$17)*'2022 Revekting utgiftsbehov'!F8)</f>
        <v>-2.6124430245731354</v>
      </c>
      <c r="X8" s="5">
        <f t="shared" si="5"/>
        <v>-627.48269007222132</v>
      </c>
      <c r="Y8" s="59">
        <f>IF('2022 Lønnsgr arbavg tjeneste'!G8&lt;100,0,(C8/$C$17)*'2022 Revekting utgiftsbehov'!G8*'2022 Arbavg tjeneste'!G8/'2022 Lønnsgr arbavg tjeneste'!G8)</f>
        <v>1.6814779045169932E-2</v>
      </c>
      <c r="Z8" s="5">
        <f>IF('2022 Lønnsgr arbavg tjeneste'!G8&lt;100,0,C8)</f>
        <v>240190</v>
      </c>
      <c r="AA8" s="59">
        <f>'2022 Revekting utgiftsbehov'!G8*Z8/$Z$17</f>
        <v>0.53934835043623908</v>
      </c>
      <c r="AB8" s="59">
        <f>'2022 Revekting utgiftsbehov'!G8/$AA$17</f>
        <v>3.2814608521916004</v>
      </c>
      <c r="AC8" s="59">
        <f>IF(Z8=0,0,(Z8/$Z$17)*AB8*'2022 Arbavg tjeneste'!G8/'2022 Lønnsgr arbavg tjeneste'!G8)</f>
        <v>2.3336577851143205E-2</v>
      </c>
      <c r="AD8" s="5">
        <f>IF(Z8=0,0,'2022 Nto driftsutg landet'!$C$8*'2022 Lønnsand og arbavg landet'!$D$9*('2022 Arbavg tjeneste'!G8/'2022 Lønnsgr arbavg tjeneste'!G8-$AC$17)*'2022 Revekting utgiftsbehov'!G8)</f>
        <v>-0.60449589512648194</v>
      </c>
      <c r="AE8" s="5">
        <f t="shared" si="6"/>
        <v>-145.1938690504297</v>
      </c>
      <c r="AF8" s="59">
        <f>IF('2022 Lønnsgr arbavg tjeneste'!H8&lt;100,0,(C8/$C$17)*'2022 Revekting utgiftsbehov'!H8*'2022 Arbavg tjeneste'!H8/'2022 Lønnsgr arbavg tjeneste'!H8)</f>
        <v>2.3061951223958999E-3</v>
      </c>
      <c r="AG8" s="5">
        <f>IF('2022 Lønnsgr arbavg tjeneste'!H8&lt;100,0,C8)</f>
        <v>240190</v>
      </c>
      <c r="AH8" s="59">
        <f>'2022 Revekting utgiftsbehov'!H8*AG8/$AG$17</f>
        <v>4.3489173014098839E-2</v>
      </c>
      <c r="AI8" s="59">
        <f>'2022 Revekting utgiftsbehov'!H8/$AH$17</f>
        <v>0.98234365487021258</v>
      </c>
      <c r="AJ8" s="59">
        <f>IF(AG8=0,0,(AG8/$AG$17)*AI8*'2022 Arbavg tjeneste'!H8/'2022 Lønnsgr arbavg tjeneste'!H8)</f>
        <v>2.3062793469662279E-3</v>
      </c>
      <c r="AK8" s="5">
        <f>IF(AG8=0,0,'2022 Nto driftsutg landet'!$C$9*'2022 Lønnsand og arbavg landet'!$D$10*('2022 Arbavg tjeneste'!H8/'2022 Lønnsgr arbavg tjeneste'!H8-$AJ$17)*'2022 Revekting utgiftsbehov'!H8)</f>
        <v>-24.182746927325486</v>
      </c>
      <c r="AL8" s="5">
        <f t="shared" si="7"/>
        <v>-5808.4539844743085</v>
      </c>
      <c r="AM8" s="59">
        <f>IF('2022 Lønnsgr arbavg tjeneste'!K8&lt;100,0,(C8/$C$17)*'2022 Arbavg tjeneste'!K8/'2022 Lønnsgr arbavg tjeneste'!K8)</f>
        <v>3.2959457179482649E-3</v>
      </c>
      <c r="AN8" s="5">
        <f>IF('2022 Lønnsgr arbavg tjeneste'!K8&lt;100,0,C8)</f>
        <v>240190</v>
      </c>
      <c r="AO8" s="59">
        <f t="shared" si="8"/>
        <v>4.4272450956357935E-2</v>
      </c>
      <c r="AP8" s="59">
        <f t="shared" si="9"/>
        <v>1.0000365210079192</v>
      </c>
      <c r="AQ8" s="59">
        <f>IF(AN8=0,0,(AN8/$AN$17)*AP8*'2022 Arbavg tjeneste'!K8/'2022 Lønnsgr arbavg tjeneste'!K8)</f>
        <v>3.2960660892079312E-3</v>
      </c>
      <c r="AR8" s="5">
        <f>IF(AN8=0,0,'2022 Nto driftsutg landet'!$C$23*'2022 Lønnsand og arbavg landet'!$D$13*('2022 Arbavg tjeneste'!K8/'2022 Lønnsgr arbavg tjeneste'!K8-$AQ$17))</f>
        <v>-23.661833435596954</v>
      </c>
      <c r="AS8" s="5">
        <f t="shared" si="10"/>
        <v>-5683.3357728960327</v>
      </c>
      <c r="AT8" s="59">
        <f>IF('2022 Lønnsgr arbavg tjeneste'!L8&lt;100,0,(C8/$C$17)*'2022 Arbavg tjeneste'!L8/'2022 Lønnsgr arbavg tjeneste'!L8)</f>
        <v>3.1526236544361257E-3</v>
      </c>
      <c r="AU8" s="5">
        <f>IF('2022 Lønnsgr arbavg tjeneste'!L8&lt;100,0,C8)</f>
        <v>240190</v>
      </c>
      <c r="AV8" s="59">
        <f t="shared" si="11"/>
        <v>5.0829096869859612E-2</v>
      </c>
      <c r="AW8" s="59">
        <f t="shared" si="12"/>
        <v>1</v>
      </c>
      <c r="AX8" s="59">
        <f>IF(AU8=0,0,(AU8/$AU$17)*AW8*'2022 Arbavg tjeneste'!L8/'2022 Lønnsgr arbavg tjeneste'!L8)</f>
        <v>3.6195198066514989E-3</v>
      </c>
      <c r="AY8" s="5">
        <f>IF(AU8=0,0,'2022 Nto driftsutg landet'!$C$24*'2022 Lønnsand og arbavg landet'!$D$14*('2022 Arbavg tjeneste'!L8/'2022 Lønnsgr arbavg tjeneste'!L8-$AX$17))</f>
        <v>-3.4100664376535703</v>
      </c>
      <c r="AZ8" s="5">
        <f t="shared" si="13"/>
        <v>-819.06385766001108</v>
      </c>
      <c r="BA8" s="59">
        <f>IF('2022 Lønnsgr arbavg tjeneste'!M8&lt;100,0,(C8/$C$17)*'2022 Arbavg tjeneste'!M8/'2022 Lønnsgr arbavg tjeneste'!M8)</f>
        <v>3.0560544540907471E-3</v>
      </c>
      <c r="BB8" s="5">
        <f>IF('2022 Lønnsgr arbavg tjeneste'!M8&lt;100,0,C8)</f>
        <v>240190</v>
      </c>
      <c r="BC8" s="59">
        <f t="shared" si="14"/>
        <v>4.4272450956357935E-2</v>
      </c>
      <c r="BD8" s="59">
        <f t="shared" si="15"/>
        <v>1</v>
      </c>
      <c r="BE8" s="59">
        <f>IF(BB8=0,0,(BB8/$BB$17)*BD8*'2022 Arbavg tjeneste'!M8/'2022 Lønnsgr arbavg tjeneste'!M8)</f>
        <v>3.0560544540907471E-3</v>
      </c>
      <c r="BF8" s="5">
        <f>IF(BB8=0,0,'2022 Nto driftsutg landet'!$C$25*'2022 Lønnsand og arbavg landet'!$D$15*('2022 Arbavg tjeneste'!M8/'2022 Lønnsgr arbavg tjeneste'!M8-$BE$17))</f>
        <v>0.14900685494373869</v>
      </c>
      <c r="BG8" s="5">
        <f t="shared" si="16"/>
        <v>35.789956488936596</v>
      </c>
      <c r="BH8" s="59">
        <f>IF('2022 Lønnsgr arbavg tjeneste'!N8&lt;100,0,(C8/$C$17)*'2022 Arbavg tjeneste'!N8/'2022 Lønnsgr arbavg tjeneste'!N8)</f>
        <v>2.6055862837875729E-3</v>
      </c>
      <c r="BI8" s="5">
        <f>IF('2022 Lønnsgr arbavg tjeneste'!N8&lt;100,0,C8)</f>
        <v>240190</v>
      </c>
      <c r="BJ8" s="59">
        <f t="shared" si="17"/>
        <v>4.4272450956357935E-2</v>
      </c>
      <c r="BK8" s="59">
        <f t="shared" si="18"/>
        <v>1</v>
      </c>
      <c r="BL8" s="59">
        <f>IF(BI8=0,0,(BI8/$BI$17)*BK8*'2022 Arbavg tjeneste'!N8/'2022 Lønnsgr arbavg tjeneste'!N8)</f>
        <v>2.6055862837875729E-3</v>
      </c>
      <c r="BM8" s="5">
        <f>IF(BI8=0,0,'2022 Nto driftsutg landet'!$C$26*'2022 Lønnsand og arbavg landet'!$D$16*('2022 Arbavg tjeneste'!N8/'2022 Lønnsgr arbavg tjeneste'!N8-$BL$17))</f>
        <v>-2.1651373973704655</v>
      </c>
      <c r="BN8" s="5">
        <f t="shared" si="19"/>
        <v>-520.04435147441211</v>
      </c>
      <c r="BO8" s="59">
        <f>IF('2022 Lønnsgr arbavg tjeneste'!O8&lt;100,0,(C8/$C$17)*'2022 Arbavg tjeneste'!O8/'2022 Lønnsgr arbavg tjeneste'!O8)</f>
        <v>0</v>
      </c>
      <c r="BP8" s="5">
        <f>IF('2022 Lønnsgr arbavg tjeneste'!O8&lt;100,0,C8)</f>
        <v>0</v>
      </c>
      <c r="BQ8" s="59">
        <f t="shared" si="20"/>
        <v>0</v>
      </c>
      <c r="BR8" s="59">
        <f t="shared" si="21"/>
        <v>1</v>
      </c>
      <c r="BS8" s="59">
        <f>IF(BP8=0,0,(BP8/$BP$17)*BR8*'2022 Arbavg tjeneste'!O8/'2022 Lønnsgr arbavg tjeneste'!O8)</f>
        <v>0</v>
      </c>
      <c r="BT8" s="5">
        <f>IF(BP8=0,0,'2022 Nto driftsutg landet'!$C$27*'2022 Lønnsand og arbavg landet'!$D$17*('2022 Arbavg tjeneste'!O8/'2022 Lønnsgr arbavg tjeneste'!O8-$BS$17))</f>
        <v>0</v>
      </c>
      <c r="BU8" s="5">
        <f t="shared" si="22"/>
        <v>0</v>
      </c>
      <c r="BV8" s="59">
        <f>IF('2022 Lønnsgr arbavg tjeneste'!P8&lt;100,0,(C8/$C$17)*'2022 Arbavg tjeneste'!P8/'2022 Lønnsgr arbavg tjeneste'!P8)</f>
        <v>0</v>
      </c>
      <c r="BW8" s="5">
        <f>IF('2022 Lønnsgr arbavg tjeneste'!P8&lt;100,0,C8)</f>
        <v>0</v>
      </c>
      <c r="BX8" s="59">
        <f t="shared" si="23"/>
        <v>0</v>
      </c>
      <c r="BY8" s="59">
        <f t="shared" si="24"/>
        <v>1</v>
      </c>
      <c r="BZ8" s="59">
        <f>IF(BW8=0,0,(BW8/$BW$17)*BY8*'2022 Arbavg tjeneste'!P8/'2022 Lønnsgr arbavg tjeneste'!P8)</f>
        <v>0</v>
      </c>
      <c r="CA8" s="5">
        <f>IF(BW8=0,0,'2022 Nto driftsutg landet'!$C$28*'2022 Lønnsand og arbavg landet'!$D$18*('2022 Arbavg tjeneste'!P8/'2022 Lønnsgr arbavg tjeneste'!P8-$BZ$17))</f>
        <v>0</v>
      </c>
      <c r="CB8" s="5">
        <f t="shared" si="25"/>
        <v>0</v>
      </c>
      <c r="CC8" s="5"/>
      <c r="CD8" s="5"/>
      <c r="CE8" s="5"/>
    </row>
    <row r="9" spans="1:83" x14ac:dyDescent="0.25">
      <c r="A9" s="43">
        <v>3000</v>
      </c>
      <c r="B9" s="44" t="s">
        <v>391</v>
      </c>
      <c r="C9" s="44">
        <f>+'2022 Nto driftsutg'!W9</f>
        <v>1269230</v>
      </c>
      <c r="D9" s="59">
        <f>IF('2022 Lønnsgr arbavg tjeneste'!D9&lt;100,0,(C9/$C$17)*'2022 Revekting utgiftsbehov'!D9*'2022 Arbavg tjeneste'!D9/'2022 Lønnsgr arbavg tjeneste'!D9)</f>
        <v>3.3357429833629007E-2</v>
      </c>
      <c r="E9" s="5">
        <f>IF('2022 Lønnsgr arbavg tjeneste'!D9&lt;100,0,C9)</f>
        <v>1269230</v>
      </c>
      <c r="F9" s="59">
        <f>'2022 Revekting utgiftsbehov'!D9*E9/$E$17</f>
        <v>0.23830808992875926</v>
      </c>
      <c r="G9" s="59">
        <f>'2022 Revekting utgiftsbehov'!D9/$F$17</f>
        <v>1.0186200968753083</v>
      </c>
      <c r="H9" s="59">
        <f>IF(E9=0,0,(E9/$E$17)*G9*'2022 Arbavg tjeneste'!D9/'2022 Lønnsgr arbavg tjeneste'!D9)</f>
        <v>3.3356848142913599E-2</v>
      </c>
      <c r="I9" s="5">
        <f>IF(E9=0,0,'2022 Nto driftsutg landet'!$C$5*'2022 Lønnsand og arbavg landet'!$D$6*('2022 Arbavg tjeneste'!D9/'2022 Lønnsgr arbavg tjeneste'!D9-$H$17)*'2022 Revekting utgiftsbehov'!D9)</f>
        <v>46.039351986843485</v>
      </c>
      <c r="J9" s="5">
        <f t="shared" si="3"/>
        <v>58434.526722261355</v>
      </c>
      <c r="K9" s="59">
        <f>IF('2022 Lønnsgr arbavg tjeneste'!E9&lt;100,0,(C9/$C$17)*'2022 Revekting utgiftsbehov'!E9*'2022 Arbavg tjeneste'!E9/'2022 Lønnsgr arbavg tjeneste'!E9)</f>
        <v>4.0172797735445555E-2</v>
      </c>
      <c r="L9" s="5">
        <f>IF('2022 Lønnsgr arbavg tjeneste'!E9&lt;100,0,C9)</f>
        <v>1269230</v>
      </c>
      <c r="M9" s="59">
        <f>'2022 Revekting utgiftsbehov'!E9*L9/$L$17</f>
        <v>0.17230038790699628</v>
      </c>
      <c r="N9" s="59">
        <f>'2022 Revekting utgiftsbehov'!E9/$M$17</f>
        <v>0.5784731549869061</v>
      </c>
      <c r="O9" s="59">
        <f>IF(L9=0,0,(L9/$L$17)*N9*'2022 Arbavg tjeneste'!E9/'2022 Lønnsgr arbavg tjeneste'!E9)</f>
        <v>4.1591603099410998E-2</v>
      </c>
      <c r="P9" s="5">
        <f>IF(L9=0,0,'2022 Nto driftsutg landet'!$C$6*'2022 Lønnsand og arbavg landet'!$D$7*('2022 Arbavg tjeneste'!E9/'2022 Lønnsgr arbavg tjeneste'!E9-$O$17)*'2022 Revekting utgiftsbehov'!E9)</f>
        <v>4.4023882161939829</v>
      </c>
      <c r="Q9" s="5">
        <f t="shared" si="4"/>
        <v>5587.6431956398892</v>
      </c>
      <c r="R9" s="59">
        <f>IF('2022 Lønnsgr arbavg tjeneste'!F9&lt;100,0,(C9/$C$17)*'2022 Revekting utgiftsbehov'!F9*'2022 Arbavg tjeneste'!F9/'2022 Lønnsgr arbavg tjeneste'!F9)</f>
        <v>2.1862643074152782E-2</v>
      </c>
      <c r="S9" s="5">
        <f>IF('2022 Lønnsgr arbavg tjeneste'!F9&lt;100,0,C9)</f>
        <v>1269230</v>
      </c>
      <c r="T9" s="59">
        <f>'2022 Revekting utgiftsbehov'!F9*S9/$S$17</f>
        <v>0.15429464034814858</v>
      </c>
      <c r="U9" s="59">
        <f>'2022 Revekting utgiftsbehov'!F9/$T$17</f>
        <v>0.65933006870940247</v>
      </c>
      <c r="V9" s="59">
        <f>IF(S9=0,0,(S9/$S$17)*U9*'2022 Arbavg tjeneste'!F9/'2022 Lønnsgr arbavg tjeneste'!F9)</f>
        <v>2.1856150794270973E-2</v>
      </c>
      <c r="W9" s="5">
        <f>IF(S9=0,0,'2022 Nto driftsutg landet'!$C$7*'2022 Lønnsand og arbavg landet'!$D$8*('2022 Arbavg tjeneste'!F9/'2022 Lønnsgr arbavg tjeneste'!F9-$V$17)*'2022 Revekting utgiftsbehov'!F9)</f>
        <v>0.17930921546345202</v>
      </c>
      <c r="X9" s="5">
        <f t="shared" si="5"/>
        <v>227.58463554267723</v>
      </c>
      <c r="Y9" s="59">
        <f>IF('2022 Lønnsgr arbavg tjeneste'!G9&lt;100,0,(C9/$C$17)*'2022 Revekting utgiftsbehov'!G9*'2022 Arbavg tjeneste'!G9/'2022 Lønnsgr arbavg tjeneste'!G9)</f>
        <v>0</v>
      </c>
      <c r="Z9" s="5">
        <f>IF('2022 Lønnsgr arbavg tjeneste'!G9&lt;100,0,C9)</f>
        <v>0</v>
      </c>
      <c r="AA9" s="59">
        <f>'2022 Revekting utgiftsbehov'!G9*Z9/$Z$17</f>
        <v>0</v>
      </c>
      <c r="AB9" s="59">
        <f>'2022 Revekting utgiftsbehov'!G9/$AA$17</f>
        <v>4.2651615131101613E-2</v>
      </c>
      <c r="AC9" s="59">
        <f>IF(Z9=0,0,(Z9/$Z$17)*AB9*'2022 Arbavg tjeneste'!G9/'2022 Lønnsgr arbavg tjeneste'!G9)</f>
        <v>0</v>
      </c>
      <c r="AD9" s="5">
        <f>IF(Z9=0,0,'2022 Nto driftsutg landet'!$C$8*'2022 Lønnsand og arbavg landet'!$D$9*('2022 Arbavg tjeneste'!G9/'2022 Lønnsgr arbavg tjeneste'!G9-$AC$17)*'2022 Revekting utgiftsbehov'!G9)</f>
        <v>0</v>
      </c>
      <c r="AE9" s="5">
        <f t="shared" si="6"/>
        <v>0</v>
      </c>
      <c r="AF9" s="59">
        <f>IF('2022 Lønnsgr arbavg tjeneste'!H9&lt;100,0,(C9/$C$17)*'2022 Revekting utgiftsbehov'!H9*'2022 Arbavg tjeneste'!H9/'2022 Lønnsgr arbavg tjeneste'!H9)</f>
        <v>3.3655556614408638E-2</v>
      </c>
      <c r="AG9" s="5">
        <f>IF('2022 Lønnsgr arbavg tjeneste'!H9&lt;100,0,C9)</f>
        <v>1269230</v>
      </c>
      <c r="AH9" s="59">
        <f>'2022 Revekting utgiftsbehov'!H9*AG9/$AG$17</f>
        <v>0.23973341224274555</v>
      </c>
      <c r="AI9" s="59">
        <f>'2022 Revekting utgiftsbehov'!H9/$AH$17</f>
        <v>1.0247677641848623</v>
      </c>
      <c r="AJ9" s="59">
        <f>IF(AG9=0,0,(AG9/$AG$17)*AI9*'2022 Arbavg tjeneste'!H9/'2022 Lønnsgr arbavg tjeneste'!H9)</f>
        <v>3.3656785749258275E-2</v>
      </c>
      <c r="AK9" s="5">
        <f>IF(AG9=0,0,'2022 Nto driftsutg landet'!$C$9*'2022 Lønnsand og arbavg landet'!$D$10*('2022 Arbavg tjeneste'!H9/'2022 Lønnsgr arbavg tjeneste'!H9-$AJ$17)*'2022 Revekting utgiftsbehov'!H9)</f>
        <v>4.7113805853414714</v>
      </c>
      <c r="AL9" s="5">
        <f t="shared" si="7"/>
        <v>5979.8255803329557</v>
      </c>
      <c r="AM9" s="59">
        <f>IF('2022 Lønnsgr arbavg tjeneste'!K9&lt;100,0,(C9/$C$17)*'2022 Arbavg tjeneste'!K9/'2022 Lønnsgr arbavg tjeneste'!K9)</f>
        <v>3.2196614251326833E-2</v>
      </c>
      <c r="AN9" s="5">
        <f>IF('2022 Lønnsgr arbavg tjeneste'!K9&lt;100,0,C9)</f>
        <v>1269230</v>
      </c>
      <c r="AO9" s="59">
        <f t="shared" si="8"/>
        <v>0.23394780351945618</v>
      </c>
      <c r="AP9" s="59">
        <f t="shared" si="9"/>
        <v>1.0000365210079192</v>
      </c>
      <c r="AQ9" s="59">
        <f>IF(AN9=0,0,(AN9/$AN$17)*AP9*'2022 Arbavg tjeneste'!K9/'2022 Lønnsgr arbavg tjeneste'!K9)</f>
        <v>3.2197790104130875E-2</v>
      </c>
      <c r="AR9" s="5">
        <f>IF(AN9=0,0,'2022 Nto driftsutg landet'!$C$23*'2022 Lønnsand og arbavg landet'!$D$13*('2022 Arbavg tjeneste'!K9/'2022 Lønnsgr arbavg tjeneste'!K9-$AQ$17))</f>
        <v>6.4936673702457623</v>
      </c>
      <c r="AS9" s="5">
        <f t="shared" si="10"/>
        <v>8241.9574363370284</v>
      </c>
      <c r="AT9" s="59">
        <f>IF('2022 Lønnsgr arbavg tjeneste'!L9&lt;100,0,(C9/$C$17)*'2022 Arbavg tjeneste'!L9/'2022 Lønnsgr arbavg tjeneste'!L9)</f>
        <v>3.312925667793809E-2</v>
      </c>
      <c r="AU9" s="5">
        <f>IF('2022 Lønnsgr arbavg tjeneste'!L9&lt;100,0,C9)</f>
        <v>1269230</v>
      </c>
      <c r="AV9" s="59">
        <f t="shared" si="11"/>
        <v>0.26859492326962786</v>
      </c>
      <c r="AW9" s="59">
        <f t="shared" si="12"/>
        <v>1</v>
      </c>
      <c r="AX9" s="59">
        <f>IF(AU9=0,0,(AU9/$AU$17)*AW9*'2022 Arbavg tjeneste'!L9/'2022 Lønnsgr arbavg tjeneste'!L9)</f>
        <v>3.803562171358689E-2</v>
      </c>
      <c r="AY9" s="5">
        <f>IF(AU9=0,0,'2022 Nto driftsutg landet'!$C$24*'2022 Lønnsand og arbavg landet'!$D$14*('2022 Arbavg tjeneste'!L9/'2022 Lønnsgr arbavg tjeneste'!L9-$AX$17))</f>
        <v>0.61203465031699467</v>
      </c>
      <c r="AZ9" s="5">
        <f t="shared" si="13"/>
        <v>776.81273922183914</v>
      </c>
      <c r="BA9" s="59">
        <f>IF('2022 Lønnsgr arbavg tjeneste'!M9&lt;100,0,(C9/$C$17)*'2022 Arbavg tjeneste'!M9/'2022 Lønnsgr arbavg tjeneste'!M9)</f>
        <v>3.1786523926340536E-2</v>
      </c>
      <c r="BB9" s="5">
        <f>IF('2022 Lønnsgr arbavg tjeneste'!M9&lt;100,0,C9)</f>
        <v>1269230</v>
      </c>
      <c r="BC9" s="59">
        <f t="shared" si="14"/>
        <v>0.23394780351945618</v>
      </c>
      <c r="BD9" s="59">
        <f t="shared" si="15"/>
        <v>1</v>
      </c>
      <c r="BE9" s="59">
        <f>IF(BB9=0,0,(BB9/$BB$17)*BD9*'2022 Arbavg tjeneste'!M9/'2022 Lønnsgr arbavg tjeneste'!M9)</f>
        <v>3.1786523926340536E-2</v>
      </c>
      <c r="BF9" s="5">
        <f>IF(BB9=0,0,'2022 Nto driftsutg landet'!$C$25*'2022 Lønnsand og arbavg landet'!$D$15*('2022 Arbavg tjeneste'!M9/'2022 Lønnsgr arbavg tjeneste'!M9-$BE$17))</f>
        <v>-2.2103912314933197E-2</v>
      </c>
      <c r="BG9" s="5">
        <f t="shared" si="16"/>
        <v>-28.054948627482663</v>
      </c>
      <c r="BH9" s="59">
        <f>IF('2022 Lønnsgr arbavg tjeneste'!N9&lt;100,0,(C9/$C$17)*'2022 Arbavg tjeneste'!N9/'2022 Lønnsgr arbavg tjeneste'!N9)</f>
        <v>3.3155114422791933E-2</v>
      </c>
      <c r="BI9" s="5">
        <f>IF('2022 Lønnsgr arbavg tjeneste'!N9&lt;100,0,C9)</f>
        <v>1269230</v>
      </c>
      <c r="BJ9" s="59">
        <f t="shared" si="17"/>
        <v>0.23394780351945618</v>
      </c>
      <c r="BK9" s="59">
        <f t="shared" si="18"/>
        <v>1</v>
      </c>
      <c r="BL9" s="59">
        <f>IF(BI9=0,0,(BI9/$BI$17)*BK9*'2022 Arbavg tjeneste'!N9/'2022 Lønnsgr arbavg tjeneste'!N9)</f>
        <v>3.3155114422791933E-2</v>
      </c>
      <c r="BM9" s="5">
        <f>IF(BI9=0,0,'2022 Nto driftsutg landet'!$C$26*'2022 Lønnsand og arbavg landet'!$D$16*('2022 Arbavg tjeneste'!N9/'2022 Lønnsgr arbavg tjeneste'!N9-$BL$17))</f>
        <v>0.35477205339619833</v>
      </c>
      <c r="BN9" s="5">
        <f t="shared" si="19"/>
        <v>450.28733333205685</v>
      </c>
      <c r="BO9" s="59">
        <f>IF('2022 Lønnsgr arbavg tjeneste'!O9&lt;100,0,(C9/$C$17)*'2022 Arbavg tjeneste'!O9/'2022 Lønnsgr arbavg tjeneste'!O9)</f>
        <v>3.3173431753568176E-2</v>
      </c>
      <c r="BP9" s="5">
        <f>IF('2022 Lønnsgr arbavg tjeneste'!O9&lt;100,0,C9)</f>
        <v>1269230</v>
      </c>
      <c r="BQ9" s="59">
        <f t="shared" si="20"/>
        <v>0.74922287377911789</v>
      </c>
      <c r="BR9" s="59">
        <f t="shared" si="21"/>
        <v>1</v>
      </c>
      <c r="BS9" s="59">
        <f>IF(BP9=0,0,(BP9/$BP$17)*BR9*'2022 Arbavg tjeneste'!O9/'2022 Lønnsgr arbavg tjeneste'!O9)</f>
        <v>0.10623862886345412</v>
      </c>
      <c r="BT9" s="5">
        <f>IF(BP9=0,0,'2022 Nto driftsutg landet'!$C$27*'2022 Lønnsand og arbavg landet'!$D$17*('2022 Arbavg tjeneste'!O9/'2022 Lønnsgr arbavg tjeneste'!O9-$BS$17))</f>
        <v>-3.4272597289338241E-3</v>
      </c>
      <c r="BU9" s="5">
        <f t="shared" si="22"/>
        <v>-4.3499808657546772</v>
      </c>
      <c r="BV9" s="59">
        <f>IF('2022 Lønnsgr arbavg tjeneste'!P9&lt;100,0,(C9/$C$17)*'2022 Arbavg tjeneste'!P9/'2022 Lønnsgr arbavg tjeneste'!P9)</f>
        <v>3.2864096208685516E-2</v>
      </c>
      <c r="BW9" s="5">
        <f>IF('2022 Lønnsgr arbavg tjeneste'!P9&lt;100,0,C9)</f>
        <v>1269230</v>
      </c>
      <c r="BX9" s="59">
        <f t="shared" si="23"/>
        <v>0.37617726742068291</v>
      </c>
      <c r="BY9" s="59">
        <f t="shared" si="24"/>
        <v>1</v>
      </c>
      <c r="BZ9" s="59">
        <f>IF(BW9=0,0,(BW9/$BW$17)*BY9*'2022 Arbavg tjeneste'!P9/'2022 Lønnsgr arbavg tjeneste'!P9)</f>
        <v>5.2843949471000698E-2</v>
      </c>
      <c r="CA9" s="5">
        <f>IF(BW9=0,0,'2022 Nto driftsutg landet'!$C$28*'2022 Lønnsand og arbavg landet'!$D$18*('2022 Arbavg tjeneste'!P9/'2022 Lønnsgr arbavg tjeneste'!P9-$BZ$17))</f>
        <v>-1.8166404558826485E-3</v>
      </c>
      <c r="CB9" s="5">
        <f t="shared" si="25"/>
        <v>-2.3057345658199337</v>
      </c>
      <c r="CC9" s="5"/>
      <c r="CD9" s="5"/>
      <c r="CE9" s="5"/>
    </row>
    <row r="10" spans="1:83" x14ac:dyDescent="0.25">
      <c r="A10" s="43">
        <v>3400</v>
      </c>
      <c r="B10" s="44" t="s">
        <v>392</v>
      </c>
      <c r="C10" s="44">
        <f>+'2022 Nto driftsutg'!W10</f>
        <v>371253</v>
      </c>
      <c r="D10" s="59">
        <f>IF('2022 Lønnsgr arbavg tjeneste'!D10&lt;100,0,(C10/$C$17)*'2022 Revekting utgiftsbehov'!D10*'2022 Arbavg tjeneste'!D10/'2022 Lønnsgr arbavg tjeneste'!D10)</f>
        <v>8.6148690065774147E-3</v>
      </c>
      <c r="E10" s="5">
        <f>IF('2022 Lønnsgr arbavg tjeneste'!D10&lt;100,0,C10)</f>
        <v>371253</v>
      </c>
      <c r="F10" s="59">
        <f>'2022 Revekting utgiftsbehov'!D10*E10/$E$17</f>
        <v>6.921141193533778E-2</v>
      </c>
      <c r="G10" s="59">
        <f>'2022 Revekting utgiftsbehov'!D10/$F$17</f>
        <v>1.0113966728404078</v>
      </c>
      <c r="H10" s="59">
        <f>IF(E10=0,0,(E10/$E$17)*G10*'2022 Arbavg tjeneste'!D10/'2022 Lønnsgr arbavg tjeneste'!D10)</f>
        <v>8.6147187794963533E-3</v>
      </c>
      <c r="I10" s="5">
        <f>IF(E10=0,0,'2022 Nto driftsutg landet'!$C$5*'2022 Lønnsand og arbavg landet'!$D$6*('2022 Arbavg tjeneste'!D10/'2022 Lønnsgr arbavg tjeneste'!D10-$H$17)*'2022 Revekting utgiftsbehov'!D10)</f>
        <v>-15.723402691897826</v>
      </c>
      <c r="J10" s="5">
        <f t="shared" si="3"/>
        <v>-5837.3604195751432</v>
      </c>
      <c r="K10" s="59">
        <f>IF('2022 Lønnsgr arbavg tjeneste'!E10&lt;100,0,(C10/$C$17)*'2022 Revekting utgiftsbehov'!E10*'2022 Arbavg tjeneste'!E10/'2022 Lønnsgr arbavg tjeneste'!E10)</f>
        <v>1.274052196976966E-2</v>
      </c>
      <c r="L10" s="5">
        <f>IF('2022 Lønnsgr arbavg tjeneste'!E10&lt;100,0,C10)</f>
        <v>371253</v>
      </c>
      <c r="M10" s="59">
        <f>'2022 Revekting utgiftsbehov'!E10*L10/$L$17</f>
        <v>0.12105005202307172</v>
      </c>
      <c r="N10" s="59">
        <f>'2022 Revekting utgiftsbehov'!E10/$M$17</f>
        <v>1.3894159872599361</v>
      </c>
      <c r="O10" s="59">
        <f>IF(L10=0,0,(L10/$L$17)*N10*'2022 Arbavg tjeneste'!E10/'2022 Lønnsgr arbavg tjeneste'!E10)</f>
        <v>1.3190486172648156E-2</v>
      </c>
      <c r="P10" s="5">
        <f>IF(L10=0,0,'2022 Nto driftsutg landet'!$C$6*'2022 Lønnsand og arbavg landet'!$D$7*('2022 Arbavg tjeneste'!E10/'2022 Lønnsgr arbavg tjeneste'!E10-$O$17)*'2022 Revekting utgiftsbehov'!E10)</f>
        <v>-23.22605300440026</v>
      </c>
      <c r="Q10" s="5">
        <f t="shared" si="4"/>
        <v>-8622.7418560426104</v>
      </c>
      <c r="R10" s="59">
        <f>IF('2022 Lønnsgr arbavg tjeneste'!F10&lt;100,0,(C10/$C$17)*'2022 Revekting utgiftsbehov'!F10*'2022 Arbavg tjeneste'!F10/'2022 Lønnsgr arbavg tjeneste'!F10)</f>
        <v>9.7056439355339488E-3</v>
      </c>
      <c r="S10" s="5">
        <f>IF('2022 Lønnsgr arbavg tjeneste'!F10&lt;100,0,C10)</f>
        <v>371253</v>
      </c>
      <c r="T10" s="59">
        <f>'2022 Revekting utgiftsbehov'!F10*S10/$S$17</f>
        <v>6.8835609687200816E-2</v>
      </c>
      <c r="U10" s="59">
        <f>'2022 Revekting utgiftsbehov'!F10/$T$17</f>
        <v>1.0056238435649929</v>
      </c>
      <c r="V10" s="59">
        <f>IF(S10=0,0,(S10/$S$17)*U10*'2022 Arbavg tjeneste'!F10/'2022 Lønnsgr arbavg tjeneste'!F10)</f>
        <v>9.7027617699765225E-3</v>
      </c>
      <c r="W10" s="5">
        <f>IF(S10=0,0,'2022 Nto driftsutg landet'!$C$7*'2022 Lønnsand og arbavg landet'!$D$8*('2022 Arbavg tjeneste'!F10/'2022 Lønnsgr arbavg tjeneste'!F10-$V$17)*'2022 Revekting utgiftsbehov'!F10)</f>
        <v>0.24356613673752617</v>
      </c>
      <c r="X10" s="5">
        <f t="shared" si="5"/>
        <v>90.424658962216796</v>
      </c>
      <c r="Y10" s="59">
        <f>IF('2022 Lønnsgr arbavg tjeneste'!G10&lt;100,0,(C10/$C$17)*'2022 Revekting utgiftsbehov'!G10*'2022 Arbavg tjeneste'!G10/'2022 Lønnsgr arbavg tjeneste'!G10)</f>
        <v>3.4786004857674101E-4</v>
      </c>
      <c r="Z10" s="5">
        <f>IF('2022 Lønnsgr arbavg tjeneste'!G10&lt;100,0,C10)</f>
        <v>371253</v>
      </c>
      <c r="AA10" s="59">
        <f>'2022 Revekting utgiftsbehov'!G10*Z10/$Z$17</f>
        <v>5.8196012357698817E-3</v>
      </c>
      <c r="AB10" s="59">
        <f>'2022 Revekting utgiftsbehov'!G10/$AA$17</f>
        <v>2.2907413246366359E-2</v>
      </c>
      <c r="AC10" s="59">
        <f>IF(Z10=0,0,(Z10/$Z$17)*AB10*'2022 Arbavg tjeneste'!G10/'2022 Lønnsgr arbavg tjeneste'!G10)</f>
        <v>4.8278143192404552E-4</v>
      </c>
      <c r="AD10" s="5">
        <f>IF(Z10=0,0,'2022 Nto driftsutg landet'!$C$8*'2022 Lønnsand og arbavg landet'!$D$9*('2022 Arbavg tjeneste'!G10/'2022 Lønnsgr arbavg tjeneste'!G10-$AC$17)*'2022 Revekting utgiftsbehov'!G10)</f>
        <v>9.9759647814333177E-3</v>
      </c>
      <c r="AE10" s="5">
        <f t="shared" si="6"/>
        <v>3.7036068530014634</v>
      </c>
      <c r="AF10" s="59">
        <f>IF('2022 Lønnsgr arbavg tjeneste'!H10&lt;100,0,(C10/$C$17)*'2022 Revekting utgiftsbehov'!H10*'2022 Arbavg tjeneste'!H10/'2022 Lønnsgr arbavg tjeneste'!H10)</f>
        <v>7.9269893895459638E-3</v>
      </c>
      <c r="AG10" s="5">
        <f>IF('2022 Lønnsgr arbavg tjeneste'!H10&lt;100,0,C10)</f>
        <v>371253</v>
      </c>
      <c r="AH10" s="59">
        <f>'2022 Revekting utgiftsbehov'!H10*AG10/$AG$17</f>
        <v>6.6153013589572499E-2</v>
      </c>
      <c r="AI10" s="59">
        <f>'2022 Revekting utgiftsbehov'!H10/$AH$17</f>
        <v>0.9667560056143405</v>
      </c>
      <c r="AJ10" s="59">
        <f>IF(AG10=0,0,(AG10/$AG$17)*AI10*'2022 Arbavg tjeneste'!H10/'2022 Lønnsgr arbavg tjeneste'!H10)</f>
        <v>7.9272788911882355E-3</v>
      </c>
      <c r="AK10" s="5">
        <f>IF(AG10=0,0,'2022 Nto driftsutg landet'!$C$9*'2022 Lønnsand og arbavg landet'!$D$10*('2022 Arbavg tjeneste'!H10/'2022 Lønnsgr arbavg tjeneste'!H10-$AJ$17)*'2022 Revekting utgiftsbehov'!H10)</f>
        <v>-2.2023427458834477</v>
      </c>
      <c r="AL10" s="5">
        <f t="shared" si="7"/>
        <v>-817.62635143746763</v>
      </c>
      <c r="AM10" s="59">
        <f>IF('2022 Lønnsgr arbavg tjeneste'!K10&lt;100,0,(C10/$C$17)*'2022 Arbavg tjeneste'!K10/'2022 Lønnsgr arbavg tjeneste'!K10)</f>
        <v>9.6345437562782663E-3</v>
      </c>
      <c r="AN10" s="5">
        <f>IF('2022 Lønnsgr arbavg tjeneste'!K10&lt;100,0,C10)</f>
        <v>371253</v>
      </c>
      <c r="AO10" s="59">
        <f t="shared" si="8"/>
        <v>6.8430326969901964E-2</v>
      </c>
      <c r="AP10" s="59">
        <f t="shared" si="9"/>
        <v>1.0000365210079192</v>
      </c>
      <c r="AQ10" s="59">
        <f>IF(AN10=0,0,(AN10/$AN$17)*AP10*'2022 Arbavg tjeneste'!K10/'2022 Lønnsgr arbavg tjeneste'!K10)</f>
        <v>9.6348956195270886E-3</v>
      </c>
      <c r="AR10" s="5">
        <f>IF(AN10=0,0,'2022 Nto driftsutg landet'!$C$23*'2022 Lønnsand og arbavg landet'!$D$13*('2022 Arbavg tjeneste'!K10/'2022 Lønnsgr arbavg tjeneste'!K10-$AQ$17))</f>
        <v>8.0069802088014619</v>
      </c>
      <c r="AS10" s="5">
        <f t="shared" si="10"/>
        <v>2972.6154234581691</v>
      </c>
      <c r="AT10" s="59">
        <f>IF('2022 Lønnsgr arbavg tjeneste'!L10&lt;100,0,(C10/$C$17)*'2022 Arbavg tjeneste'!L10/'2022 Lønnsgr arbavg tjeneste'!L10)</f>
        <v>9.6103403363601188E-3</v>
      </c>
      <c r="AU10" s="5">
        <f>IF('2022 Lønnsgr arbavg tjeneste'!L10&lt;100,0,C10)</f>
        <v>371253</v>
      </c>
      <c r="AV10" s="59">
        <f t="shared" si="11"/>
        <v>7.8564697532062078E-2</v>
      </c>
      <c r="AW10" s="59">
        <f t="shared" si="12"/>
        <v>1</v>
      </c>
      <c r="AX10" s="59">
        <f>IF(AU10=0,0,(AU10/$AU$17)*AW10*'2022 Arbavg tjeneste'!L10/'2022 Lønnsgr arbavg tjeneste'!L10)</f>
        <v>1.1033609148738955E-2</v>
      </c>
      <c r="AY10" s="5">
        <f>IF(AU10=0,0,'2022 Nto driftsutg landet'!$C$24*'2022 Lønnsand og arbavg landet'!$D$14*('2022 Arbavg tjeneste'!L10/'2022 Lønnsgr arbavg tjeneste'!L10-$AX$17))</f>
        <v>0.54520014769329783</v>
      </c>
      <c r="AZ10" s="5">
        <f t="shared" si="13"/>
        <v>202.40719043157989</v>
      </c>
      <c r="BA10" s="59">
        <f>IF('2022 Lønnsgr arbavg tjeneste'!M10&lt;100,0,(C10/$C$17)*'2022 Arbavg tjeneste'!M10/'2022 Lønnsgr arbavg tjeneste'!M10)</f>
        <v>9.6319046055052936E-3</v>
      </c>
      <c r="BB10" s="5">
        <f>IF('2022 Lønnsgr arbavg tjeneste'!M10&lt;100,0,C10)</f>
        <v>371253</v>
      </c>
      <c r="BC10" s="59">
        <f t="shared" si="14"/>
        <v>6.8430326969901964E-2</v>
      </c>
      <c r="BD10" s="59">
        <f t="shared" si="15"/>
        <v>1</v>
      </c>
      <c r="BE10" s="59">
        <f>IF(BB10=0,0,(BB10/$BB$17)*BD10*'2022 Arbavg tjeneste'!M10/'2022 Lønnsgr arbavg tjeneste'!M10)</f>
        <v>9.6319046055052936E-3</v>
      </c>
      <c r="BF10" s="5">
        <f>IF(BB10=0,0,'2022 Nto driftsutg landet'!$C$25*'2022 Lønnsand og arbavg landet'!$D$15*('2022 Arbavg tjeneste'!M10/'2022 Lønnsgr arbavg tjeneste'!M10-$BE$17))</f>
        <v>-3.4608583293853738E-2</v>
      </c>
      <c r="BG10" s="5">
        <f t="shared" si="16"/>
        <v>-12.848540373593082</v>
      </c>
      <c r="BH10" s="59">
        <f>IF('2022 Lønnsgr arbavg tjeneste'!N10&lt;100,0,(C10/$C$17)*'2022 Arbavg tjeneste'!N10/'2022 Lønnsgr arbavg tjeneste'!N10)</f>
        <v>9.6965972732233324E-3</v>
      </c>
      <c r="BI10" s="5">
        <f>IF('2022 Lønnsgr arbavg tjeneste'!N10&lt;100,0,C10)</f>
        <v>371253</v>
      </c>
      <c r="BJ10" s="59">
        <f t="shared" si="17"/>
        <v>6.8430326969901964E-2</v>
      </c>
      <c r="BK10" s="59">
        <f t="shared" si="18"/>
        <v>1</v>
      </c>
      <c r="BL10" s="59">
        <f>IF(BI10=0,0,(BI10/$BI$17)*BK10*'2022 Arbavg tjeneste'!N10/'2022 Lønnsgr arbavg tjeneste'!N10)</f>
        <v>9.6965972732233324E-3</v>
      </c>
      <c r="BM10" s="5">
        <f>IF(BI10=0,0,'2022 Nto driftsutg landet'!$C$26*'2022 Lønnsand og arbavg landet'!$D$16*('2022 Arbavg tjeneste'!N10/'2022 Lønnsgr arbavg tjeneste'!N10-$BL$17))</f>
        <v>0.35416860965073244</v>
      </c>
      <c r="BN10" s="5">
        <f t="shared" si="19"/>
        <v>131.48615883866336</v>
      </c>
      <c r="BO10" s="59">
        <f>IF('2022 Lønnsgr arbavg tjeneste'!O10&lt;100,0,(C10/$C$17)*'2022 Arbavg tjeneste'!O10/'2022 Lønnsgr arbavg tjeneste'!O10)</f>
        <v>0</v>
      </c>
      <c r="BP10" s="5">
        <f>IF('2022 Lønnsgr arbavg tjeneste'!O10&lt;100,0,C10)</f>
        <v>0</v>
      </c>
      <c r="BQ10" s="59">
        <f t="shared" si="20"/>
        <v>0</v>
      </c>
      <c r="BR10" s="59">
        <f t="shared" si="21"/>
        <v>1</v>
      </c>
      <c r="BS10" s="59">
        <f>IF(BP10=0,0,(BP10/$BP$17)*BR10*'2022 Arbavg tjeneste'!O10/'2022 Lønnsgr arbavg tjeneste'!O10)</f>
        <v>0</v>
      </c>
      <c r="BT10" s="5">
        <f>IF(BP10=0,0,'2022 Nto driftsutg landet'!$C$27*'2022 Lønnsand og arbavg landet'!$D$17*('2022 Arbavg tjeneste'!O10/'2022 Lønnsgr arbavg tjeneste'!O10-$BS$17))</f>
        <v>0</v>
      </c>
      <c r="BU10" s="5">
        <f t="shared" si="22"/>
        <v>0</v>
      </c>
      <c r="BV10" s="59">
        <f>IF('2022 Lønnsgr arbavg tjeneste'!P10&lt;100,0,(C10/$C$17)*'2022 Arbavg tjeneste'!P10/'2022 Lønnsgr arbavg tjeneste'!P10)</f>
        <v>0</v>
      </c>
      <c r="BW10" s="5">
        <f>IF('2022 Lønnsgr arbavg tjeneste'!P10&lt;100,0,C10)</f>
        <v>0</v>
      </c>
      <c r="BX10" s="59">
        <f t="shared" si="23"/>
        <v>0</v>
      </c>
      <c r="BY10" s="59">
        <f t="shared" si="24"/>
        <v>1</v>
      </c>
      <c r="BZ10" s="59">
        <f>IF(BW10=0,0,(BW10/$BW$17)*BY10*'2022 Arbavg tjeneste'!P10/'2022 Lønnsgr arbavg tjeneste'!P10)</f>
        <v>0</v>
      </c>
      <c r="CA10" s="5">
        <f>IF(BW10=0,0,'2022 Nto driftsutg landet'!$C$28*'2022 Lønnsand og arbavg landet'!$D$18*('2022 Arbavg tjeneste'!P10/'2022 Lønnsgr arbavg tjeneste'!P10-$BZ$17))</f>
        <v>0</v>
      </c>
      <c r="CB10" s="5">
        <f t="shared" si="25"/>
        <v>0</v>
      </c>
      <c r="CC10" s="5"/>
      <c r="CD10" s="5"/>
      <c r="CE10" s="5"/>
    </row>
    <row r="11" spans="1:83" x14ac:dyDescent="0.25">
      <c r="A11" s="43">
        <v>3800</v>
      </c>
      <c r="B11" s="44" t="s">
        <v>393</v>
      </c>
      <c r="C11" s="44">
        <f>+'2022 Nto driftsutg'!W11</f>
        <v>424832</v>
      </c>
      <c r="D11" s="59">
        <f>IF('2022 Lønnsgr arbavg tjeneste'!D11&lt;100,0,(C11/$C$17)*'2022 Revekting utgiftsbehov'!D11*'2022 Arbavg tjeneste'!D11/'2022 Lønnsgr arbavg tjeneste'!D11)</f>
        <v>1.1087448939007986E-2</v>
      </c>
      <c r="E11" s="5">
        <f>IF('2022 Lønnsgr arbavg tjeneste'!D11&lt;100,0,C11)</f>
        <v>424832</v>
      </c>
      <c r="F11" s="59">
        <f>'2022 Revekting utgiftsbehov'!D11*E11/$E$17</f>
        <v>7.9721075150383305E-2</v>
      </c>
      <c r="G11" s="59">
        <f>'2022 Revekting utgiftsbehov'!D11/$F$17</f>
        <v>1.0180514067923647</v>
      </c>
      <c r="H11" s="59">
        <f>IF(E11=0,0,(E11/$E$17)*G11*'2022 Arbavg tjeneste'!D11/'2022 Lønnsgr arbavg tjeneste'!D11)</f>
        <v>1.1087255594792391E-2</v>
      </c>
      <c r="I11" s="5">
        <f>IF(E11=0,0,'2022 Nto driftsutg landet'!$C$5*'2022 Lønnsand og arbavg landet'!$D$6*('2022 Arbavg tjeneste'!D11/'2022 Lønnsgr arbavg tjeneste'!D11-$H$17)*'2022 Revekting utgiftsbehov'!D11)</f>
        <v>42.431659529972357</v>
      </c>
      <c r="J11" s="5">
        <f t="shared" si="3"/>
        <v>18026.326781437219</v>
      </c>
      <c r="K11" s="59">
        <f>IF('2022 Lønnsgr arbavg tjeneste'!E11&lt;100,0,(C11/$C$17)*'2022 Revekting utgiftsbehov'!E11*'2022 Arbavg tjeneste'!E11/'2022 Lønnsgr arbavg tjeneste'!E11)</f>
        <v>1.0574481556375876E-2</v>
      </c>
      <c r="L11" s="5">
        <f>IF('2022 Lønnsgr arbavg tjeneste'!E11&lt;100,0,C11)</f>
        <v>424832</v>
      </c>
      <c r="M11" s="59">
        <f>'2022 Revekting utgiftsbehov'!E11*L11/$L$17</f>
        <v>8.5554808632468962E-2</v>
      </c>
      <c r="N11" s="59">
        <f>'2022 Revekting utgiftsbehov'!E11/$M$17</f>
        <v>0.85815252613298787</v>
      </c>
      <c r="O11" s="59">
        <f>IF(L11=0,0,(L11/$L$17)*N11*'2022 Arbavg tjeneste'!E11/'2022 Lønnsgr arbavg tjeneste'!E11)</f>
        <v>1.0947946487848699E-2</v>
      </c>
      <c r="P11" s="5">
        <f>IF(L11=0,0,'2022 Nto driftsutg landet'!$C$6*'2022 Lønnsand og arbavg landet'!$D$7*('2022 Arbavg tjeneste'!E11/'2022 Lønnsgr arbavg tjeneste'!E11-$O$17)*'2022 Revekting utgiftsbehov'!E11)</f>
        <v>-11.350423461882921</v>
      </c>
      <c r="Q11" s="5">
        <f t="shared" si="4"/>
        <v>-4822.0231001586444</v>
      </c>
      <c r="R11" s="59">
        <f>IF('2022 Lønnsgr arbavg tjeneste'!F11&lt;100,0,(C11/$C$17)*'2022 Revekting utgiftsbehov'!F11*'2022 Arbavg tjeneste'!F11/'2022 Lønnsgr arbavg tjeneste'!F11)</f>
        <v>8.2969770180491755E-3</v>
      </c>
      <c r="S11" s="5">
        <f>IF('2022 Lønnsgr arbavg tjeneste'!F11&lt;100,0,C11)</f>
        <v>424832</v>
      </c>
      <c r="T11" s="59">
        <f>'2022 Revekting utgiftsbehov'!F11*S11/$S$17</f>
        <v>5.7132942974900784E-2</v>
      </c>
      <c r="U11" s="59">
        <f>'2022 Revekting utgiftsbehov'!F11/$T$17</f>
        <v>0.72939325672698596</v>
      </c>
      <c r="V11" s="59">
        <f>IF(S11=0,0,(S11/$S$17)*U11*'2022 Arbavg tjeneste'!F11/'2022 Lønnsgr arbavg tjeneste'!F11)</f>
        <v>8.2945131669589223E-3</v>
      </c>
      <c r="W11" s="5">
        <f>IF(S11=0,0,'2022 Nto driftsutg landet'!$C$7*'2022 Lønnsand og arbavg landet'!$D$8*('2022 Arbavg tjeneste'!F11/'2022 Lønnsgr arbavg tjeneste'!F11-$V$17)*'2022 Revekting utgiftsbehov'!F11)</f>
        <v>0.30826339596772301</v>
      </c>
      <c r="X11" s="5">
        <f t="shared" si="5"/>
        <v>130.9601550357597</v>
      </c>
      <c r="Y11" s="59">
        <f>IF('2022 Lønnsgr arbavg tjeneste'!G11&lt;100,0,(C11/$C$17)*'2022 Revekting utgiftsbehov'!G11*'2022 Arbavg tjeneste'!G11/'2022 Lønnsgr arbavg tjeneste'!G11)</f>
        <v>0</v>
      </c>
      <c r="Z11" s="5">
        <f>IF('2022 Lønnsgr arbavg tjeneste'!G11&lt;100,0,C11)</f>
        <v>0</v>
      </c>
      <c r="AA11" s="59">
        <f>'2022 Revekting utgiftsbehov'!G11*Z11/$Z$17</f>
        <v>0</v>
      </c>
      <c r="AB11" s="59">
        <f>'2022 Revekting utgiftsbehov'!G11/$AA$17</f>
        <v>8.1966865122977198E-2</v>
      </c>
      <c r="AC11" s="59">
        <f>IF(Z11=0,0,(Z11/$Z$17)*AB11*'2022 Arbavg tjeneste'!G11/'2022 Lønnsgr arbavg tjeneste'!G11)</f>
        <v>0</v>
      </c>
      <c r="AD11" s="5">
        <f>IF(Z11=0,0,'2022 Nto driftsutg landet'!$C$8*'2022 Lønnsand og arbavg landet'!$D$9*('2022 Arbavg tjeneste'!G11/'2022 Lønnsgr arbavg tjeneste'!G11-$AC$17)*'2022 Revekting utgiftsbehov'!G11)</f>
        <v>0</v>
      </c>
      <c r="AE11" s="5">
        <f t="shared" si="6"/>
        <v>0</v>
      </c>
      <c r="AF11" s="59">
        <f>IF('2022 Lønnsgr arbavg tjeneste'!H11&lt;100,0,(C11/$C$17)*'2022 Revekting utgiftsbehov'!H11*'2022 Arbavg tjeneste'!H11/'2022 Lønnsgr arbavg tjeneste'!H11)</f>
        <v>1.0775817540743882E-2</v>
      </c>
      <c r="AG11" s="5">
        <f>IF('2022 Lønnsgr arbavg tjeneste'!H11&lt;100,0,C11)</f>
        <v>424832</v>
      </c>
      <c r="AH11" s="59">
        <f>'2022 Revekting utgiftsbehov'!H11*AG11/$AG$17</f>
        <v>7.7705490541027461E-2</v>
      </c>
      <c r="AI11" s="59">
        <f>'2022 Revekting utgiftsbehov'!H11/$AH$17</f>
        <v>0.99236560086841508</v>
      </c>
      <c r="AJ11" s="59">
        <f>IF(AG11=0,0,(AG11/$AG$17)*AI11*'2022 Arbavg tjeneste'!H11/'2022 Lønnsgr arbavg tjeneste'!H11)</f>
        <v>1.0776211084461623E-2</v>
      </c>
      <c r="AK11" s="5">
        <f>IF(AG11=0,0,'2022 Nto driftsutg landet'!$C$9*'2022 Lønnsand og arbavg landet'!$D$10*('2022 Arbavg tjeneste'!H11/'2022 Lønnsgr arbavg tjeneste'!H11-$AJ$17)*'2022 Revekting utgiftsbehov'!H11)</f>
        <v>3.9941397564361689</v>
      </c>
      <c r="AL11" s="5">
        <f t="shared" si="7"/>
        <v>1696.8383810062905</v>
      </c>
      <c r="AM11" s="59">
        <f>IF('2022 Lønnsgr arbavg tjeneste'!K11&lt;100,0,(C11/$C$17)*'2022 Arbavg tjeneste'!K11/'2022 Lønnsgr arbavg tjeneste'!K11)</f>
        <v>1.1008307110659834E-2</v>
      </c>
      <c r="AN11" s="5">
        <f>IF('2022 Lønnsgr arbavg tjeneste'!K11&lt;100,0,C11)</f>
        <v>424832</v>
      </c>
      <c r="AO11" s="59">
        <f t="shared" si="8"/>
        <v>7.8306148818399826E-2</v>
      </c>
      <c r="AP11" s="59">
        <f t="shared" si="9"/>
        <v>1.0000365210079192</v>
      </c>
      <c r="AQ11" s="59">
        <f>IF(AN11=0,0,(AN11/$AN$17)*AP11*'2022 Arbavg tjeneste'!K11/'2022 Lønnsgr arbavg tjeneste'!K11)</f>
        <v>1.1008709145130998E-2</v>
      </c>
      <c r="AR11" s="5">
        <f>IF(AN11=0,0,'2022 Nto driftsutg landet'!$C$23*'2022 Lønnsand og arbavg landet'!$D$13*('2022 Arbavg tjeneste'!K11/'2022 Lønnsgr arbavg tjeneste'!K11-$AQ$17))</f>
        <v>7.905256926183144</v>
      </c>
      <c r="AS11" s="5">
        <f t="shared" si="10"/>
        <v>3358.4061104642378</v>
      </c>
      <c r="AT11" s="59">
        <f>IF('2022 Lønnsgr arbavg tjeneste'!L11&lt;100,0,(C11/$C$17)*'2022 Arbavg tjeneste'!L11/'2022 Lønnsgr arbavg tjeneste'!L11)</f>
        <v>1.076729344530915E-2</v>
      </c>
      <c r="AU11" s="5">
        <f>IF('2022 Lønnsgr arbavg tjeneste'!L11&lt;100,0,C11)</f>
        <v>424832</v>
      </c>
      <c r="AV11" s="59">
        <f t="shared" si="11"/>
        <v>8.9903105380807688E-2</v>
      </c>
      <c r="AW11" s="59">
        <f t="shared" si="12"/>
        <v>1</v>
      </c>
      <c r="AX11" s="59">
        <f>IF(AU11=0,0,(AU11/$AU$17)*AW11*'2022 Arbavg tjeneste'!L11/'2022 Lønnsgr arbavg tjeneste'!L11)</f>
        <v>1.2361904293424418E-2</v>
      </c>
      <c r="AY11" s="5">
        <f>IF(AU11=0,0,'2022 Nto driftsutg landet'!$C$24*'2022 Lønnsand og arbavg landet'!$D$14*('2022 Arbavg tjeneste'!L11/'2022 Lønnsgr arbavg tjeneste'!L11-$AX$17))</f>
        <v>0.37738852348627916</v>
      </c>
      <c r="AZ11" s="5">
        <f t="shared" si="13"/>
        <v>160.32672120972296</v>
      </c>
      <c r="BA11" s="59">
        <f>IF('2022 Lønnsgr arbavg tjeneste'!M11&lt;100,0,(C11/$C$17)*'2022 Arbavg tjeneste'!M11/'2022 Lønnsgr arbavg tjeneste'!M11)</f>
        <v>1.1120251298782215E-2</v>
      </c>
      <c r="BB11" s="5">
        <f>IF('2022 Lønnsgr arbavg tjeneste'!M11&lt;100,0,C11)</f>
        <v>424832</v>
      </c>
      <c r="BC11" s="59">
        <f t="shared" si="14"/>
        <v>7.8306148818399826E-2</v>
      </c>
      <c r="BD11" s="59">
        <f t="shared" si="15"/>
        <v>1</v>
      </c>
      <c r="BE11" s="59">
        <f>IF(BB11=0,0,(BB11/$BB$17)*BD11*'2022 Arbavg tjeneste'!M11/'2022 Lønnsgr arbavg tjeneste'!M11)</f>
        <v>1.1120251298782215E-2</v>
      </c>
      <c r="BF11" s="5">
        <f>IF(BB11=0,0,'2022 Nto driftsutg landet'!$C$25*'2022 Lønnsand og arbavg landet'!$D$15*('2022 Arbavg tjeneste'!M11/'2022 Lønnsgr arbavg tjeneste'!M11-$BE$17))</f>
        <v>-3.7821370691761912E-2</v>
      </c>
      <c r="BG11" s="5">
        <f t="shared" si="16"/>
        <v>-16.067728553722596</v>
      </c>
      <c r="BH11" s="59">
        <f>IF('2022 Lønnsgr arbavg tjeneste'!N11&lt;100,0,(C11/$C$17)*'2022 Arbavg tjeneste'!N11/'2022 Lønnsgr arbavg tjeneste'!N11)</f>
        <v>1.1109380681236508E-2</v>
      </c>
      <c r="BI11" s="5">
        <f>IF('2022 Lønnsgr arbavg tjeneste'!N11&lt;100,0,C11)</f>
        <v>424832</v>
      </c>
      <c r="BJ11" s="59">
        <f t="shared" si="17"/>
        <v>7.8306148818399826E-2</v>
      </c>
      <c r="BK11" s="59">
        <f t="shared" si="18"/>
        <v>1</v>
      </c>
      <c r="BL11" s="59">
        <f>IF(BI11=0,0,(BI11/$BI$17)*BK11*'2022 Arbavg tjeneste'!N11/'2022 Lønnsgr arbavg tjeneste'!N11)</f>
        <v>1.1109380681236508E-2</v>
      </c>
      <c r="BM11" s="5">
        <f>IF(BI11=0,0,'2022 Nto driftsutg landet'!$C$26*'2022 Lønnsand og arbavg landet'!$D$16*('2022 Arbavg tjeneste'!N11/'2022 Lønnsgr arbavg tjeneste'!N11-$BL$17))</f>
        <v>0.35936323198945702</v>
      </c>
      <c r="BN11" s="5">
        <f t="shared" si="19"/>
        <v>152.66900057254503</v>
      </c>
      <c r="BO11" s="59">
        <f>IF('2022 Lønnsgr arbavg tjeneste'!O11&lt;100,0,(C11/$C$17)*'2022 Arbavg tjeneste'!O11/'2022 Lønnsgr arbavg tjeneste'!O11)</f>
        <v>8.3507471317611024E-3</v>
      </c>
      <c r="BP11" s="5">
        <f>IF('2022 Lønnsgr arbavg tjeneste'!O11&lt;100,0,C11)</f>
        <v>424832</v>
      </c>
      <c r="BQ11" s="59">
        <f t="shared" si="20"/>
        <v>0.25077712622088211</v>
      </c>
      <c r="BR11" s="59">
        <f t="shared" si="21"/>
        <v>1</v>
      </c>
      <c r="BS11" s="59">
        <f>IF(BP11=0,0,(BP11/$BP$17)*BR11*'2022 Arbavg tjeneste'!O11/'2022 Lønnsgr arbavg tjeneste'!O11)</f>
        <v>2.6743447342263481E-2</v>
      </c>
      <c r="BT11" s="5">
        <f>IF(BP11=0,0,'2022 Nto driftsutg landet'!$C$27*'2022 Lønnsand og arbavg landet'!$D$17*('2022 Arbavg tjeneste'!O11/'2022 Lønnsgr arbavg tjeneste'!O11-$BS$17))</f>
        <v>1.0239296629619851E-2</v>
      </c>
      <c r="BU11" s="5">
        <f t="shared" si="22"/>
        <v>4.3499808657546613</v>
      </c>
      <c r="BV11" s="59">
        <f>IF('2022 Lønnsgr arbavg tjeneste'!P11&lt;100,0,(C11/$C$17)*'2022 Arbavg tjeneste'!P11/'2022 Lønnsgr arbavg tjeneste'!P11)</f>
        <v>1.2488039419404939E-2</v>
      </c>
      <c r="BW11" s="5">
        <f>IF('2022 Lønnsgr arbavg tjeneste'!P11&lt;100,0,C11)</f>
        <v>424832</v>
      </c>
      <c r="BX11" s="59">
        <f t="shared" si="23"/>
        <v>0.12591267214993623</v>
      </c>
      <c r="BY11" s="59">
        <f t="shared" si="24"/>
        <v>1</v>
      </c>
      <c r="BZ11" s="59">
        <f>IF(BW11=0,0,(BW11/$BW$17)*BY11*'2022 Arbavg tjeneste'!P11/'2022 Lønnsgr arbavg tjeneste'!P11)</f>
        <v>2.0080190852669568E-2</v>
      </c>
      <c r="CA11" s="5">
        <f>IF(BW11=0,0,'2022 Nto driftsutg landet'!$C$28*'2022 Lønnsand og arbavg landet'!$D$18*('2022 Arbavg tjeneste'!P11/'2022 Lønnsgr arbavg tjeneste'!P11-$BZ$17))</f>
        <v>-6.0581407769728863E-3</v>
      </c>
      <c r="CB11" s="5">
        <f t="shared" si="25"/>
        <v>-2.5736920625629449</v>
      </c>
      <c r="CC11" s="5"/>
      <c r="CD11" s="5"/>
      <c r="CE11" s="5"/>
    </row>
    <row r="12" spans="1:83" x14ac:dyDescent="0.25">
      <c r="A12" s="43">
        <v>4200</v>
      </c>
      <c r="B12" s="44" t="s">
        <v>394</v>
      </c>
      <c r="C12" s="44">
        <f>+'2022 Nto driftsutg'!W12</f>
        <v>311134</v>
      </c>
      <c r="D12" s="59">
        <f>IF('2022 Lønnsgr arbavg tjeneste'!D12&lt;100,0,(C12/$C$17)*'2022 Revekting utgiftsbehov'!D12*'2022 Arbavg tjeneste'!D12/'2022 Lønnsgr arbavg tjeneste'!D12)</f>
        <v>8.5761385528796176E-3</v>
      </c>
      <c r="E12" s="5">
        <f>IF('2022 Lønnsgr arbavg tjeneste'!D12&lt;100,0,C12)</f>
        <v>311134</v>
      </c>
      <c r="F12" s="59">
        <f>'2022 Revekting utgiftsbehov'!D12*E12/$E$17</f>
        <v>6.1284340866876667E-2</v>
      </c>
      <c r="G12" s="59">
        <f>'2022 Revekting utgiftsbehov'!D12/$F$17</f>
        <v>1.0686016252764423</v>
      </c>
      <c r="H12" s="59">
        <f>IF(E12=0,0,(E12/$E$17)*G12*'2022 Arbavg tjeneste'!D12/'2022 Lønnsgr arbavg tjeneste'!D12)</f>
        <v>8.5759890011846834E-3</v>
      </c>
      <c r="I12" s="5">
        <f>IF(E12=0,0,'2022 Nto driftsutg landet'!$C$5*'2022 Lønnsand og arbavg landet'!$D$6*('2022 Arbavg tjeneste'!D12/'2022 Lønnsgr arbavg tjeneste'!D12-$H$17)*'2022 Revekting utgiftsbehov'!D12)</f>
        <v>48.147932407849062</v>
      </c>
      <c r="J12" s="5">
        <f t="shared" si="3"/>
        <v>14980.45880178371</v>
      </c>
      <c r="K12" s="59">
        <f>IF('2022 Lønnsgr arbavg tjeneste'!E12&lt;100,0,(C12/$C$17)*'2022 Revekting utgiftsbehov'!E12*'2022 Arbavg tjeneste'!E12/'2022 Lønnsgr arbavg tjeneste'!E12)</f>
        <v>1.3260490202753841E-2</v>
      </c>
      <c r="L12" s="5">
        <f>IF('2022 Lønnsgr arbavg tjeneste'!E12&lt;100,0,C12)</f>
        <v>311134</v>
      </c>
      <c r="M12" s="59">
        <f>'2022 Revekting utgiftsbehov'!E12*L12/$L$17</f>
        <v>7.5820192795528374E-2</v>
      </c>
      <c r="N12" s="59">
        <f>'2022 Revekting utgiftsbehov'!E12/$M$17</f>
        <v>1.0384239477738173</v>
      </c>
      <c r="O12" s="59">
        <f>IF(L12=0,0,(L12/$L$17)*N12*'2022 Arbavg tjeneste'!E12/'2022 Lønnsgr arbavg tjeneste'!E12)</f>
        <v>1.3728818417093721E-2</v>
      </c>
      <c r="P12" s="5">
        <f>IF(L12=0,0,'2022 Nto driftsutg landet'!$C$6*'2022 Lønnsand og arbavg landet'!$D$7*('2022 Arbavg tjeneste'!E12/'2022 Lønnsgr arbavg tjeneste'!E12-$O$17)*'2022 Revekting utgiftsbehov'!E12)</f>
        <v>-3.6039729665316607</v>
      </c>
      <c r="Q12" s="5">
        <f t="shared" si="4"/>
        <v>-1121.3185249688615</v>
      </c>
      <c r="R12" s="59">
        <f>IF('2022 Lønnsgr arbavg tjeneste'!F12&lt;100,0,(C12/$C$17)*'2022 Revekting utgiftsbehov'!F12*'2022 Arbavg tjeneste'!F12/'2022 Lønnsgr arbavg tjeneste'!F12)</f>
        <v>6.3381883826059918E-3</v>
      </c>
      <c r="S12" s="5">
        <f>IF('2022 Lønnsgr arbavg tjeneste'!F12&lt;100,0,C12)</f>
        <v>311134</v>
      </c>
      <c r="T12" s="59">
        <f>'2022 Revekting utgiftsbehov'!F12*S12/$S$17</f>
        <v>4.7328603414377529E-2</v>
      </c>
      <c r="U12" s="59">
        <f>'2022 Revekting utgiftsbehov'!F12/$T$17</f>
        <v>0.82502780887581562</v>
      </c>
      <c r="V12" s="59">
        <f>IF(S12=0,0,(S12/$S$17)*U12*'2022 Arbavg tjeneste'!F12/'2022 Lønnsgr arbavg tjeneste'!F12)</f>
        <v>6.3363062088549081E-3</v>
      </c>
      <c r="W12" s="5">
        <f>IF(S12=0,0,'2022 Nto driftsutg landet'!$C$7*'2022 Lønnsand og arbavg landet'!$D$8*('2022 Arbavg tjeneste'!F12/'2022 Lønnsgr arbavg tjeneste'!F12-$V$17)*'2022 Revekting utgiftsbehov'!F12)</f>
        <v>-4.9580114509258991E-2</v>
      </c>
      <c r="X12" s="5">
        <f t="shared" si="5"/>
        <v>-15.426059347723788</v>
      </c>
      <c r="Y12" s="59">
        <f>IF('2022 Lønnsgr arbavg tjeneste'!G12&lt;100,0,(C12/$C$17)*'2022 Revekting utgiftsbehov'!G12*'2022 Arbavg tjeneste'!G12/'2022 Lønnsgr arbavg tjeneste'!G12)</f>
        <v>9.449340450730561E-4</v>
      </c>
      <c r="Z12" s="5">
        <f>IF('2022 Lønnsgr arbavg tjeneste'!G12&lt;100,0,C12)</f>
        <v>311134</v>
      </c>
      <c r="AA12" s="59">
        <f>'2022 Revekting utgiftsbehov'!G12*Z12/$Z$17</f>
        <v>2.9842205885990021E-2</v>
      </c>
      <c r="AB12" s="59">
        <f>'2022 Revekting utgiftsbehov'!G12/$AA$17</f>
        <v>0.14016392314287168</v>
      </c>
      <c r="AC12" s="59">
        <f>IF(Z12=0,0,(Z12/$Z$17)*AB12*'2022 Arbavg tjeneste'!G12/'2022 Lønnsgr arbavg tjeneste'!G12)</f>
        <v>1.3114372093624015E-3</v>
      </c>
      <c r="AD12" s="5">
        <f>IF(Z12=0,0,'2022 Nto driftsutg landet'!$C$8*'2022 Lønnsand og arbavg landet'!$D$9*('2022 Arbavg tjeneste'!G12/'2022 Lønnsgr arbavg tjeneste'!G12-$AC$17)*'2022 Revekting utgiftsbehov'!G12)</f>
        <v>-2.4337401089058647E-2</v>
      </c>
      <c r="AE12" s="5">
        <f t="shared" si="6"/>
        <v>-7.5721929504431724</v>
      </c>
      <c r="AF12" s="59">
        <f>IF('2022 Lønnsgr arbavg tjeneste'!H12&lt;100,0,(C12/$C$17)*'2022 Revekting utgiftsbehov'!H12*'2022 Arbavg tjeneste'!H12/'2022 Lønnsgr arbavg tjeneste'!H12)</f>
        <v>7.7666125460780031E-3</v>
      </c>
      <c r="AG12" s="5">
        <f>IF('2022 Lønnsgr arbavg tjeneste'!H12&lt;100,0,C12)</f>
        <v>311134</v>
      </c>
      <c r="AH12" s="59">
        <f>'2022 Revekting utgiftsbehov'!H12*AG12/$AG$17</f>
        <v>6.0236720807974528E-2</v>
      </c>
      <c r="AI12" s="59">
        <f>'2022 Revekting utgiftsbehov'!H12/$AH$17</f>
        <v>1.0503911799436572</v>
      </c>
      <c r="AJ12" s="59">
        <f>IF(AG12=0,0,(AG12/$AG$17)*AI12*'2022 Arbavg tjeneste'!H12/'2022 Lønnsgr arbavg tjeneste'!H12)</f>
        <v>7.7668961905963049E-3</v>
      </c>
      <c r="AK12" s="5">
        <f>IF(AG12=0,0,'2022 Nto driftsutg landet'!$C$9*'2022 Lønnsand og arbavg landet'!$D$10*('2022 Arbavg tjeneste'!H12/'2022 Lønnsgr arbavg tjeneste'!H12-$AJ$17)*'2022 Revekting utgiftsbehov'!H12)</f>
        <v>0.80613939626141551</v>
      </c>
      <c r="AL12" s="5">
        <f t="shared" si="7"/>
        <v>250.81737491639925</v>
      </c>
      <c r="AM12" s="59">
        <f>IF('2022 Lønnsgr arbavg tjeneste'!K12&lt;100,0,(C12/$C$17)*'2022 Arbavg tjeneste'!K12/'2022 Lønnsgr arbavg tjeneste'!K12)</f>
        <v>5.8637119058678406E-3</v>
      </c>
      <c r="AN12" s="5">
        <f>IF('2022 Lønnsgr arbavg tjeneste'!K12&lt;100,0,C12)</f>
        <v>311134</v>
      </c>
      <c r="AO12" s="59">
        <f t="shared" si="8"/>
        <v>5.7349035163226897E-2</v>
      </c>
      <c r="AP12" s="59">
        <f t="shared" si="9"/>
        <v>1.0000365210079192</v>
      </c>
      <c r="AQ12" s="59">
        <f>IF(AN12=0,0,(AN12/$AN$17)*AP12*'2022 Arbavg tjeneste'!K12/'2022 Lønnsgr arbavg tjeneste'!K12)</f>
        <v>5.8639260545367902E-3</v>
      </c>
      <c r="AR12" s="5">
        <f>IF(AN12=0,0,'2022 Nto driftsutg landet'!$C$23*'2022 Lønnsand og arbavg landet'!$D$13*('2022 Arbavg tjeneste'!K12/'2022 Lønnsgr arbavg tjeneste'!K12-$AQ$17))</f>
        <v>-10.392629257608922</v>
      </c>
      <c r="AS12" s="5">
        <f t="shared" si="10"/>
        <v>-3233.5003114368942</v>
      </c>
      <c r="AT12" s="59">
        <f>IF('2022 Lønnsgr arbavg tjeneste'!L12&lt;100,0,(C12/$C$17)*'2022 Arbavg tjeneste'!L12/'2022 Lønnsgr arbavg tjeneste'!L12)</f>
        <v>7.7489941449998441E-3</v>
      </c>
      <c r="AU12" s="5">
        <f>IF('2022 Lønnsgr arbavg tjeneste'!L12&lt;100,0,C12)</f>
        <v>311134</v>
      </c>
      <c r="AV12" s="59">
        <f t="shared" si="11"/>
        <v>6.5842292458082763E-2</v>
      </c>
      <c r="AW12" s="59">
        <f t="shared" si="12"/>
        <v>1</v>
      </c>
      <c r="AX12" s="59">
        <f>IF(AU12=0,0,(AU12/$AU$17)*AW12*'2022 Arbavg tjeneste'!L12/'2022 Lønnsgr arbavg tjeneste'!L12)</f>
        <v>8.8966019619839461E-3</v>
      </c>
      <c r="AY12" s="5">
        <f>IF(AU12=0,0,'2022 Nto driftsutg landet'!$C$24*'2022 Lønnsand og arbavg landet'!$D$14*('2022 Arbavg tjeneste'!L12/'2022 Lønnsgr arbavg tjeneste'!L12-$AX$17))</f>
        <v>0.24126218641331956</v>
      </c>
      <c r="AZ12" s="5">
        <f t="shared" si="13"/>
        <v>75.064869107521758</v>
      </c>
      <c r="BA12" s="59">
        <f>IF('2022 Lønnsgr arbavg tjeneste'!M12&lt;100,0,(C12/$C$17)*'2022 Arbavg tjeneste'!M12/'2022 Lønnsgr arbavg tjeneste'!M12)</f>
        <v>5.674817216384501E-3</v>
      </c>
      <c r="BB12" s="5">
        <f>IF('2022 Lønnsgr arbavg tjeneste'!M12&lt;100,0,C12)</f>
        <v>311134</v>
      </c>
      <c r="BC12" s="59">
        <f t="shared" si="14"/>
        <v>5.7349035163226897E-2</v>
      </c>
      <c r="BD12" s="59">
        <f t="shared" si="15"/>
        <v>1</v>
      </c>
      <c r="BE12" s="59">
        <f>IF(BB12=0,0,(BB12/$BB$17)*BD12*'2022 Arbavg tjeneste'!M12/'2022 Lønnsgr arbavg tjeneste'!M12)</f>
        <v>5.674817216384501E-3</v>
      </c>
      <c r="BF12" s="5">
        <f>IF(BB12=0,0,'2022 Nto driftsutg landet'!$C$25*'2022 Lønnsand og arbavg landet'!$D$15*('2022 Arbavg tjeneste'!M12/'2022 Lønnsgr arbavg tjeneste'!M12-$BE$17))</f>
        <v>7.2403528651835358E-2</v>
      </c>
      <c r="BG12" s="5">
        <f t="shared" si="16"/>
        <v>22.527199483560143</v>
      </c>
      <c r="BH12" s="59">
        <f>IF('2022 Lønnsgr arbavg tjeneste'!N12&lt;100,0,(C12/$C$17)*'2022 Arbavg tjeneste'!N12/'2022 Lønnsgr arbavg tjeneste'!N12)</f>
        <v>7.2233649171502649E-3</v>
      </c>
      <c r="BI12" s="5">
        <f>IF('2022 Lønnsgr arbavg tjeneste'!N12&lt;100,0,C12)</f>
        <v>311134</v>
      </c>
      <c r="BJ12" s="59">
        <f t="shared" si="17"/>
        <v>5.7349035163226897E-2</v>
      </c>
      <c r="BK12" s="59">
        <f t="shared" si="18"/>
        <v>1</v>
      </c>
      <c r="BL12" s="59">
        <f>IF(BI12=0,0,(BI12/$BI$17)*BK12*'2022 Arbavg tjeneste'!N12/'2022 Lønnsgr arbavg tjeneste'!N12)</f>
        <v>7.2233649171502649E-3</v>
      </c>
      <c r="BM12" s="5">
        <f>IF(BI12=0,0,'2022 Nto driftsutg landet'!$C$26*'2022 Lønnsand og arbavg landet'!$D$16*('2022 Arbavg tjeneste'!N12/'2022 Lønnsgr arbavg tjeneste'!N12-$BL$17))</f>
        <v>-0.12465044536780442</v>
      </c>
      <c r="BN12" s="5">
        <f t="shared" si="19"/>
        <v>-38.782991669066462</v>
      </c>
      <c r="BO12" s="59">
        <f>IF('2022 Lønnsgr arbavg tjeneste'!O12&lt;100,0,(C12/$C$17)*'2022 Arbavg tjeneste'!O12/'2022 Lønnsgr arbavg tjeneste'!O12)</f>
        <v>0</v>
      </c>
      <c r="BP12" s="5">
        <f>IF('2022 Lønnsgr arbavg tjeneste'!O12&lt;100,0,C12)</f>
        <v>0</v>
      </c>
      <c r="BQ12" s="59">
        <f t="shared" si="20"/>
        <v>0</v>
      </c>
      <c r="BR12" s="59">
        <f t="shared" si="21"/>
        <v>1</v>
      </c>
      <c r="BS12" s="59">
        <f>IF(BP12=0,0,(BP12/$BP$17)*BR12*'2022 Arbavg tjeneste'!O12/'2022 Lønnsgr arbavg tjeneste'!O12)</f>
        <v>0</v>
      </c>
      <c r="BT12" s="5">
        <f>IF(BP12=0,0,'2022 Nto driftsutg landet'!$C$27*'2022 Lønnsand og arbavg landet'!$D$17*('2022 Arbavg tjeneste'!O12/'2022 Lønnsgr arbavg tjeneste'!O12-$BS$17))</f>
        <v>0</v>
      </c>
      <c r="BU12" s="5">
        <f t="shared" si="22"/>
        <v>0</v>
      </c>
      <c r="BV12" s="59">
        <f>IF('2022 Lønnsgr arbavg tjeneste'!P12&lt;100,0,(C12/$C$17)*'2022 Arbavg tjeneste'!P12/'2022 Lønnsgr arbavg tjeneste'!P12)</f>
        <v>8.9869669976902714E-3</v>
      </c>
      <c r="BW12" s="5">
        <f>IF('2022 Lønnsgr arbavg tjeneste'!P12&lt;100,0,C12)</f>
        <v>311134</v>
      </c>
      <c r="BX12" s="59">
        <f t="shared" si="23"/>
        <v>9.2214600916828912E-2</v>
      </c>
      <c r="BY12" s="59">
        <f t="shared" si="24"/>
        <v>1</v>
      </c>
      <c r="BZ12" s="59">
        <f>IF(BW12=0,0,(BW12/$BW$17)*BY12*'2022 Arbavg tjeneste'!P12/'2022 Lønnsgr arbavg tjeneste'!P12)</f>
        <v>1.4450628032119273E-2</v>
      </c>
      <c r="CA12" s="5">
        <f>IF(BW12=0,0,'2022 Nto driftsutg landet'!$C$28*'2022 Lønnsand og arbavg landet'!$D$18*('2022 Arbavg tjeneste'!P12/'2022 Lønnsgr arbavg tjeneste'!P12-$BZ$17))</f>
        <v>-5.4396673607316108E-3</v>
      </c>
      <c r="CB12" s="5">
        <f t="shared" si="25"/>
        <v>-1.692465464613869</v>
      </c>
      <c r="CC12" s="5"/>
      <c r="CD12" s="5"/>
      <c r="CE12" s="5"/>
    </row>
    <row r="13" spans="1:83" x14ac:dyDescent="0.25">
      <c r="A13" s="43">
        <v>4600</v>
      </c>
      <c r="B13" s="44" t="s">
        <v>395</v>
      </c>
      <c r="C13" s="44">
        <f>+'2022 Nto driftsutg'!W13</f>
        <v>641292</v>
      </c>
      <c r="D13" s="59">
        <f>IF('2022 Lønnsgr arbavg tjeneste'!D13&lt;100,0,(C13/$C$17)*'2022 Revekting utgiftsbehov'!D13*'2022 Arbavg tjeneste'!D13/'2022 Lønnsgr arbavg tjeneste'!D13)</f>
        <v>1.6974672675300711E-2</v>
      </c>
      <c r="E13" s="5">
        <f>IF('2022 Lønnsgr arbavg tjeneste'!D13&lt;100,0,C13)</f>
        <v>641292</v>
      </c>
      <c r="F13" s="59">
        <f>'2022 Revekting utgiftsbehov'!D13*E13/$E$17</f>
        <v>0.1252971968639349</v>
      </c>
      <c r="G13" s="59">
        <f>'2022 Revekting utgiftsbehov'!D13/$F$17</f>
        <v>1.0599840155539371</v>
      </c>
      <c r="H13" s="59">
        <f>IF(E13=0,0,(E13/$E$17)*G13*'2022 Arbavg tjeneste'!D13/'2022 Lønnsgr arbavg tjeneste'!D13)</f>
        <v>1.6974376668997419E-2</v>
      </c>
      <c r="I13" s="5">
        <f>IF(E13=0,0,'2022 Nto driftsutg landet'!$C$5*'2022 Lønnsand og arbavg landet'!$D$6*('2022 Arbavg tjeneste'!D13/'2022 Lønnsgr arbavg tjeneste'!D13-$H$17)*'2022 Revekting utgiftsbehov'!D13)</f>
        <v>29.217579937279538</v>
      </c>
      <c r="J13" s="5">
        <f t="shared" si="3"/>
        <v>18737.00027313787</v>
      </c>
      <c r="K13" s="59">
        <f>IF('2022 Lønnsgr arbavg tjeneste'!E13&lt;100,0,(C13/$C$17)*'2022 Revekting utgiftsbehov'!E13*'2022 Arbavg tjeneste'!E13/'2022 Lønnsgr arbavg tjeneste'!E13)</f>
        <v>5.9852490468490137E-2</v>
      </c>
      <c r="L13" s="5">
        <f>IF('2022 Lønnsgr arbavg tjeneste'!E13&lt;100,0,C13)</f>
        <v>641292</v>
      </c>
      <c r="M13" s="59">
        <f>'2022 Revekting utgiftsbehov'!E13*L13/$L$17</f>
        <v>0.16088779568303754</v>
      </c>
      <c r="N13" s="59">
        <f>'2022 Revekting utgiftsbehov'!E13/$M$17</f>
        <v>1.0690661099511769</v>
      </c>
      <c r="O13" s="59">
        <f>IF(L13=0,0,(L13/$L$17)*N13*'2022 Arbavg tjeneste'!E13/'2022 Lønnsgr arbavg tjeneste'!E13)</f>
        <v>6.196633464440765E-2</v>
      </c>
      <c r="P13" s="5">
        <f>IF(L13=0,0,'2022 Nto driftsutg landet'!$C$6*'2022 Lønnsand og arbavg landet'!$D$7*('2022 Arbavg tjeneste'!E13/'2022 Lønnsgr arbavg tjeneste'!E13-$O$17)*'2022 Revekting utgiftsbehov'!E13)</f>
        <v>36.369913657883103</v>
      </c>
      <c r="Q13" s="5">
        <f t="shared" si="4"/>
        <v>23323.734669491172</v>
      </c>
      <c r="R13" s="59">
        <f>IF('2022 Lønnsgr arbavg tjeneste'!F13&lt;100,0,(C13/$C$17)*'2022 Revekting utgiftsbehov'!F13*'2022 Arbavg tjeneste'!F13/'2022 Lønnsgr arbavg tjeneste'!F13)</f>
        <v>1.665680466947882E-2</v>
      </c>
      <c r="S13" s="5">
        <f>IF('2022 Lønnsgr arbavg tjeneste'!F13&lt;100,0,C13)</f>
        <v>641292</v>
      </c>
      <c r="T13" s="59">
        <f>'2022 Revekting utgiftsbehov'!F13*S13/$S$17</f>
        <v>0.11826788703205555</v>
      </c>
      <c r="U13" s="59">
        <f>'2022 Revekting utgiftsbehov'!F13/$T$17</f>
        <v>1.0002380833829485</v>
      </c>
      <c r="V13" s="59">
        <f>IF(S13=0,0,(S13/$S$17)*U13*'2022 Arbavg tjeneste'!F13/'2022 Lønnsgr arbavg tjeneste'!F13)</f>
        <v>1.6651858303319701E-2</v>
      </c>
      <c r="W13" s="5">
        <f>IF(S13=0,0,'2022 Nto driftsutg landet'!$C$7*'2022 Lønnsand og arbavg landet'!$D$8*('2022 Arbavg tjeneste'!F13/'2022 Lønnsgr arbavg tjeneste'!F13-$V$17)*'2022 Revekting utgiftsbehov'!F13)</f>
        <v>0.2355209126095949</v>
      </c>
      <c r="X13" s="5">
        <f t="shared" si="5"/>
        <v>151.03767708923235</v>
      </c>
      <c r="Y13" s="59">
        <f>IF('2022 Lønnsgr arbavg tjeneste'!G13&lt;100,0,(C13/$C$17)*'2022 Revekting utgiftsbehov'!G13*'2022 Arbavg tjeneste'!G13/'2022 Lønnsgr arbavg tjeneste'!G13)</f>
        <v>0</v>
      </c>
      <c r="Z13" s="5">
        <f>IF('2022 Lønnsgr arbavg tjeneste'!G13&lt;100,0,C13)</f>
        <v>0</v>
      </c>
      <c r="AA13" s="59">
        <f>'2022 Revekting utgiftsbehov'!G13*Z13/$Z$17</f>
        <v>0</v>
      </c>
      <c r="AB13" s="59">
        <f>'2022 Revekting utgiftsbehov'!G13/$AA$17</f>
        <v>1.3176957596839727</v>
      </c>
      <c r="AC13" s="59">
        <f>IF(Z13=0,0,(Z13/$Z$17)*AB13*'2022 Arbavg tjeneste'!G13/'2022 Lønnsgr arbavg tjeneste'!G13)</f>
        <v>0</v>
      </c>
      <c r="AD13" s="5">
        <f>IF(Z13=0,0,'2022 Nto driftsutg landet'!$C$8*'2022 Lønnsand og arbavg landet'!$D$9*('2022 Arbavg tjeneste'!G13/'2022 Lønnsgr arbavg tjeneste'!G13-$AC$17)*'2022 Revekting utgiftsbehov'!G13)</f>
        <v>0</v>
      </c>
      <c r="AE13" s="5">
        <f t="shared" si="6"/>
        <v>0</v>
      </c>
      <c r="AF13" s="59">
        <f>IF('2022 Lønnsgr arbavg tjeneste'!H13&lt;100,0,(C13/$C$17)*'2022 Revekting utgiftsbehov'!H13*'2022 Arbavg tjeneste'!H13/'2022 Lønnsgr arbavg tjeneste'!H13)</f>
        <v>1.625641531396347E-2</v>
      </c>
      <c r="AG13" s="5">
        <f>IF('2022 Lønnsgr arbavg tjeneste'!H13&lt;100,0,C13)</f>
        <v>641292</v>
      </c>
      <c r="AH13" s="59">
        <f>'2022 Revekting utgiftsbehov'!H13*AG13/$AG$17</f>
        <v>0.12192723149994748</v>
      </c>
      <c r="AI13" s="59">
        <f>'2022 Revekting utgiftsbehov'!H13/$AH$17</f>
        <v>1.0315305811607349</v>
      </c>
      <c r="AJ13" s="59">
        <f>IF(AG13=0,0,(AG13/$AG$17)*AI13*'2022 Arbavg tjeneste'!H13/'2022 Lønnsgr arbavg tjeneste'!H13)</f>
        <v>1.6257009014635893E-2</v>
      </c>
      <c r="AK13" s="5">
        <f>IF(AG13=0,0,'2022 Nto driftsutg landet'!$C$9*'2022 Lønnsand og arbavg landet'!$D$10*('2022 Arbavg tjeneste'!H13/'2022 Lønnsgr arbavg tjeneste'!H13-$AJ$17)*'2022 Revekting utgiftsbehov'!H13)</f>
        <v>2.3074614445668487</v>
      </c>
      <c r="AL13" s="5">
        <f t="shared" si="7"/>
        <v>1479.7565647091635</v>
      </c>
      <c r="AM13" s="59">
        <f>IF('2022 Lønnsgr arbavg tjeneste'!K13&lt;100,0,(C13/$C$17)*'2022 Arbavg tjeneste'!K13/'2022 Lønnsgr arbavg tjeneste'!K13)</f>
        <v>1.1075149104623979E-2</v>
      </c>
      <c r="AN13" s="5">
        <f>IF('2022 Lønnsgr arbavg tjeneste'!K13&lt;100,0,C13)</f>
        <v>641292</v>
      </c>
      <c r="AO13" s="59">
        <f t="shared" si="8"/>
        <v>0.11820462391733499</v>
      </c>
      <c r="AP13" s="59">
        <f t="shared" si="9"/>
        <v>1.0000365210079192</v>
      </c>
      <c r="AQ13" s="59">
        <f>IF(AN13=0,0,(AN13/$AN$17)*AP13*'2022 Arbavg tjeneste'!K13/'2022 Lønnsgr arbavg tjeneste'!K13)</f>
        <v>1.1075553580232135E-2</v>
      </c>
      <c r="AR13" s="5">
        <f>IF(AN13=0,0,'2022 Nto driftsutg landet'!$C$23*'2022 Lønnsand og arbavg landet'!$D$13*('2022 Arbavg tjeneste'!K13/'2022 Lønnsgr arbavg tjeneste'!K13-$AQ$17))</f>
        <v>-14.474379554194043</v>
      </c>
      <c r="AS13" s="5">
        <f t="shared" si="10"/>
        <v>-9282.3038130682053</v>
      </c>
      <c r="AT13" s="59">
        <f>IF('2022 Lønnsgr arbavg tjeneste'!L13&lt;100,0,(C13/$C$17)*'2022 Arbavg tjeneste'!L13/'2022 Lønnsgr arbavg tjeneste'!L13)</f>
        <v>1.5853109074465889E-2</v>
      </c>
      <c r="AU13" s="5">
        <f>IF('2022 Lønnsgr arbavg tjeneste'!L13&lt;100,0,C13)</f>
        <v>641292</v>
      </c>
      <c r="AV13" s="59">
        <f t="shared" si="11"/>
        <v>0.13571045085085146</v>
      </c>
      <c r="AW13" s="59">
        <f t="shared" si="12"/>
        <v>1</v>
      </c>
      <c r="AX13" s="59">
        <f>IF(AU13=0,0,(AU13/$AU$17)*AW13*'2022 Arbavg tjeneste'!L13/'2022 Lønnsgr arbavg tjeneste'!L13)</f>
        <v>1.8200917261815993E-2</v>
      </c>
      <c r="AY13" s="5">
        <f>IF(AU13=0,0,'2022 Nto driftsutg landet'!$C$24*'2022 Lønnsand og arbavg landet'!$D$14*('2022 Arbavg tjeneste'!L13/'2022 Lønnsgr arbavg tjeneste'!L13-$AX$17))</f>
        <v>0.18389823973910716</v>
      </c>
      <c r="AZ13" s="5">
        <f t="shared" si="13"/>
        <v>117.93246995877151</v>
      </c>
      <c r="BA13" s="59">
        <f>IF('2022 Lønnsgr arbavg tjeneste'!M13&lt;100,0,(C13/$C$17)*'2022 Arbavg tjeneste'!M13/'2022 Lønnsgr arbavg tjeneste'!M13)</f>
        <v>1.5834421027098658E-2</v>
      </c>
      <c r="BB13" s="5">
        <f>IF('2022 Lønnsgr arbavg tjeneste'!M13&lt;100,0,C13)</f>
        <v>641292</v>
      </c>
      <c r="BC13" s="59">
        <f t="shared" si="14"/>
        <v>0.11820462391733499</v>
      </c>
      <c r="BD13" s="59">
        <f t="shared" si="15"/>
        <v>1</v>
      </c>
      <c r="BE13" s="59">
        <f>IF(BB13=0,0,(BB13/$BB$17)*BD13*'2022 Arbavg tjeneste'!M13/'2022 Lønnsgr arbavg tjeneste'!M13)</f>
        <v>1.5834421027098658E-2</v>
      </c>
      <c r="BF13" s="5">
        <f>IF(BB13=0,0,'2022 Nto driftsutg landet'!$C$25*'2022 Lønnsand og arbavg landet'!$D$15*('2022 Arbavg tjeneste'!M13/'2022 Lønnsgr arbavg tjeneste'!M13-$BE$17))</f>
        <v>-1.7208185114453205E-2</v>
      </c>
      <c r="BG13" s="5">
        <f t="shared" si="16"/>
        <v>-11.035471448417924</v>
      </c>
      <c r="BH13" s="59">
        <f>IF('2022 Lønnsgr arbavg tjeneste'!N13&lt;100,0,(C13/$C$17)*'2022 Arbavg tjeneste'!N13/'2022 Lønnsgr arbavg tjeneste'!N13)</f>
        <v>1.5353010982404684E-2</v>
      </c>
      <c r="BI13" s="5">
        <f>IF('2022 Lønnsgr arbavg tjeneste'!N13&lt;100,0,C13)</f>
        <v>641292</v>
      </c>
      <c r="BJ13" s="59">
        <f t="shared" si="17"/>
        <v>0.11820462391733499</v>
      </c>
      <c r="BK13" s="59">
        <f t="shared" si="18"/>
        <v>1</v>
      </c>
      <c r="BL13" s="59">
        <f>IF(BI13=0,0,(BI13/$BI$17)*BK13*'2022 Arbavg tjeneste'!N13/'2022 Lønnsgr arbavg tjeneste'!N13)</f>
        <v>1.5353010982404684E-2</v>
      </c>
      <c r="BM13" s="5">
        <f>IF(BI13=0,0,'2022 Nto driftsutg landet'!$C$26*'2022 Lønnsand og arbavg landet'!$D$16*('2022 Arbavg tjeneste'!N13/'2022 Lønnsgr arbavg tjeneste'!N13-$BL$17))</f>
        <v>-5.1240317572005525E-3</v>
      </c>
      <c r="BN13" s="5">
        <f t="shared" si="19"/>
        <v>-3.2860005736386566</v>
      </c>
      <c r="BO13" s="59">
        <f>IF('2022 Lønnsgr arbavg tjeneste'!O13&lt;100,0,(C13/$C$17)*'2022 Arbavg tjeneste'!O13/'2022 Lønnsgr arbavg tjeneste'!O13)</f>
        <v>0</v>
      </c>
      <c r="BP13" s="5">
        <f>IF('2022 Lønnsgr arbavg tjeneste'!O13&lt;100,0,C13)</f>
        <v>0</v>
      </c>
      <c r="BQ13" s="59">
        <f t="shared" si="20"/>
        <v>0</v>
      </c>
      <c r="BR13" s="59">
        <f t="shared" si="21"/>
        <v>1</v>
      </c>
      <c r="BS13" s="59">
        <f>IF(BP13=0,0,(BP13/$BP$17)*BR13*'2022 Arbavg tjeneste'!O13/'2022 Lønnsgr arbavg tjeneste'!O13)</f>
        <v>0</v>
      </c>
      <c r="BT13" s="5">
        <f>IF(BP13=0,0,'2022 Nto driftsutg landet'!$C$27*'2022 Lønnsand og arbavg landet'!$D$17*('2022 Arbavg tjeneste'!O13/'2022 Lønnsgr arbavg tjeneste'!O13-$BS$17))</f>
        <v>0</v>
      </c>
      <c r="BU13" s="5">
        <f t="shared" si="22"/>
        <v>0</v>
      </c>
      <c r="BV13" s="59">
        <f>IF('2022 Lønnsgr arbavg tjeneste'!P13&lt;100,0,(C13/$C$17)*'2022 Arbavg tjeneste'!P13/'2022 Lønnsgr arbavg tjeneste'!P13)</f>
        <v>1.6638774041149797E-2</v>
      </c>
      <c r="BW13" s="5">
        <f>IF('2022 Lønnsgr arbavg tjeneste'!P13&lt;100,0,C13)</f>
        <v>641292</v>
      </c>
      <c r="BX13" s="59">
        <f t="shared" si="23"/>
        <v>0.19006757812117944</v>
      </c>
      <c r="BY13" s="59">
        <f t="shared" si="24"/>
        <v>1</v>
      </c>
      <c r="BZ13" s="59">
        <f>IF(BW13=0,0,(BW13/$BW$17)*BY13*'2022 Arbavg tjeneste'!P13/'2022 Lønnsgr arbavg tjeneste'!P13)</f>
        <v>2.675438049799593E-2</v>
      </c>
      <c r="CA13" s="5">
        <f>IF(BW13=0,0,'2022 Nto driftsutg landet'!$C$28*'2022 Lønnsand og arbavg landet'!$D$18*('2022 Arbavg tjeneste'!P13/'2022 Lønnsgr arbavg tjeneste'!P13-$BZ$17))</f>
        <v>-1.8805439711355187E-3</v>
      </c>
      <c r="CB13" s="5">
        <f t="shared" si="25"/>
        <v>-1.205977804337439</v>
      </c>
      <c r="CC13" s="5"/>
      <c r="CD13" s="5"/>
      <c r="CE13" s="5"/>
    </row>
    <row r="14" spans="1:83" x14ac:dyDescent="0.25">
      <c r="A14" s="43">
        <v>5000</v>
      </c>
      <c r="B14" s="44" t="s">
        <v>390</v>
      </c>
      <c r="C14" s="44">
        <f>+'2022 Nto driftsutg'!W14</f>
        <v>474131</v>
      </c>
      <c r="D14" s="59">
        <f>IF('2022 Lønnsgr arbavg tjeneste'!D14&lt;100,0,(C14/$C$17)*'2022 Revekting utgiftsbehov'!D14*'2022 Arbavg tjeneste'!D14/'2022 Lønnsgr arbavg tjeneste'!D14)</f>
        <v>1.1425480091156646E-2</v>
      </c>
      <c r="E14" s="5">
        <f>IF('2022 Lønnsgr arbavg tjeneste'!D14&lt;100,0,C14)</f>
        <v>474131</v>
      </c>
      <c r="F14" s="59">
        <f>'2022 Revekting utgiftsbehov'!D14*E14/$E$17</f>
        <v>8.9171843037491219E-2</v>
      </c>
      <c r="G14" s="59">
        <f>'2022 Revekting utgiftsbehov'!D14/$F$17</f>
        <v>1.0203359169541177</v>
      </c>
      <c r="H14" s="59">
        <f>IF(E14=0,0,(E14/$E$17)*G14*'2022 Arbavg tjeneste'!D14/'2022 Lønnsgr arbavg tjeneste'!D14)</f>
        <v>1.1425280852314767E-2</v>
      </c>
      <c r="I14" s="5">
        <f>IF(E14=0,0,'2022 Nto driftsutg landet'!$C$5*'2022 Lønnsand og arbavg landet'!$D$6*('2022 Arbavg tjeneste'!D14/'2022 Lønnsgr arbavg tjeneste'!D14-$H$17)*'2022 Revekting utgiftsbehov'!D14)</f>
        <v>-1.2433413764553691</v>
      </c>
      <c r="J14" s="5">
        <f t="shared" si="3"/>
        <v>-589.5066901601607</v>
      </c>
      <c r="K14" s="59">
        <f>IF('2022 Lønnsgr arbavg tjeneste'!E14&lt;100,0,(C14/$C$17)*'2022 Revekting utgiftsbehov'!E14*'2022 Arbavg tjeneste'!E14/'2022 Lønnsgr arbavg tjeneste'!E14)</f>
        <v>3.2479088768382861E-2</v>
      </c>
      <c r="L14" s="5">
        <f>IF('2022 Lønnsgr arbavg tjeneste'!E14&lt;100,0,C14)</f>
        <v>474131</v>
      </c>
      <c r="M14" s="59">
        <f>'2022 Revekting utgiftsbehov'!E14*L14/$L$17</f>
        <v>0.12847013288375717</v>
      </c>
      <c r="N14" s="59">
        <f>'2022 Revekting utgiftsbehov'!E14/$M$17</f>
        <v>1.1546253939528952</v>
      </c>
      <c r="O14" s="59">
        <f>IF(L14=0,0,(L14/$L$17)*N14*'2022 Arbavg tjeneste'!E14/'2022 Lønnsgr arbavg tjeneste'!E14)</f>
        <v>3.3626171071805121E-2</v>
      </c>
      <c r="P14" s="5">
        <f>IF(L14=0,0,'2022 Nto driftsutg landet'!$C$6*'2022 Lønnsand og arbavg landet'!$D$7*('2022 Arbavg tjeneste'!E14/'2022 Lønnsgr arbavg tjeneste'!E14-$O$17)*'2022 Revekting utgiftsbehov'!E14)</f>
        <v>13.104209245474539</v>
      </c>
      <c r="Q14" s="5">
        <f t="shared" si="4"/>
        <v>6213.1118337660891</v>
      </c>
      <c r="R14" s="59">
        <f>IF('2022 Lønnsgr arbavg tjeneste'!F14&lt;100,0,(C14/$C$17)*'2022 Revekting utgiftsbehov'!F14*'2022 Arbavg tjeneste'!F14/'2022 Lønnsgr arbavg tjeneste'!F14)</f>
        <v>1.3331769422112151E-2</v>
      </c>
      <c r="S14" s="5">
        <f>IF('2022 Lønnsgr arbavg tjeneste'!F14&lt;100,0,C14)</f>
        <v>474131</v>
      </c>
      <c r="T14" s="59">
        <f>'2022 Revekting utgiftsbehov'!F14*S14/$S$17</f>
        <v>9.2775329351497723E-2</v>
      </c>
      <c r="U14" s="59">
        <f>'2022 Revekting utgiftsbehov'!F14/$T$17</f>
        <v>1.0612715536411288</v>
      </c>
      <c r="V14" s="59">
        <f>IF(S14=0,0,(S14/$S$17)*U14*'2022 Arbavg tjeneste'!F14/'2022 Lønnsgr arbavg tjeneste'!F14)</f>
        <v>1.3327810450723628E-2</v>
      </c>
      <c r="W14" s="5">
        <f>IF(S14=0,0,'2022 Nto driftsutg landet'!$C$7*'2022 Lønnsand og arbavg landet'!$D$8*('2022 Arbavg tjeneste'!F14/'2022 Lønnsgr arbavg tjeneste'!F14-$V$17)*'2022 Revekting utgiftsbehov'!F14)</f>
        <v>0.3795089734806647</v>
      </c>
      <c r="X14" s="5">
        <f t="shared" si="5"/>
        <v>179.93696910536102</v>
      </c>
      <c r="Y14" s="59">
        <f>IF('2022 Lønnsgr arbavg tjeneste'!G14&lt;100,0,(C14/$C$17)*'2022 Revekting utgiftsbehov'!G14*'2022 Arbavg tjeneste'!G14/'2022 Lønnsgr arbavg tjeneste'!G14)</f>
        <v>1.2818414768303858E-2</v>
      </c>
      <c r="Z14" s="5">
        <f>IF('2022 Lønnsgr arbavg tjeneste'!G14&lt;100,0,C14)</f>
        <v>474131</v>
      </c>
      <c r="AA14" s="59">
        <f>'2022 Revekting utgiftsbehov'!G14*Z14/$Z$17</f>
        <v>0.24366239639560702</v>
      </c>
      <c r="AB14" s="59">
        <f>'2022 Revekting utgiftsbehov'!G14/$AA$17</f>
        <v>0.75100521774183482</v>
      </c>
      <c r="AC14" s="59">
        <f>IF(Z14=0,0,(Z14/$Z$17)*AB14*'2022 Arbavg tjeneste'!G14/'2022 Lønnsgr arbavg tjeneste'!G14)</f>
        <v>1.779017930388414E-2</v>
      </c>
      <c r="AD14" s="5">
        <f>IF(Z14=0,0,'2022 Nto driftsutg landet'!$C$8*'2022 Lønnsand og arbavg landet'!$D$9*('2022 Arbavg tjeneste'!G14/'2022 Lønnsgr arbavg tjeneste'!G14-$AC$17)*'2022 Revekting utgiftsbehov'!G14)</f>
        <v>0.21042606647899464</v>
      </c>
      <c r="AE14" s="5">
        <f t="shared" si="6"/>
        <v>99.769521325752208</v>
      </c>
      <c r="AF14" s="59">
        <f>IF('2022 Lønnsgr arbavg tjeneste'!H14&lt;100,0,(C14/$C$17)*'2022 Revekting utgiftsbehov'!H14*'2022 Arbavg tjeneste'!H14/'2022 Lønnsgr arbavg tjeneste'!H14)</f>
        <v>1.1021546737730953E-2</v>
      </c>
      <c r="AG14" s="5">
        <f>IF('2022 Lønnsgr arbavg tjeneste'!H14&lt;100,0,C14)</f>
        <v>474131</v>
      </c>
      <c r="AH14" s="59">
        <f>'2022 Revekting utgiftsbehov'!H14*AG14/$AG$17</f>
        <v>8.7775588430749063E-2</v>
      </c>
      <c r="AI14" s="59">
        <f>'2022 Revekting utgiftsbehov'!H14/$AH$17</f>
        <v>1.0044136708600055</v>
      </c>
      <c r="AJ14" s="59">
        <f>IF(AG14=0,0,(AG14/$AG$17)*AI14*'2022 Arbavg tjeneste'!H14/'2022 Lønnsgr arbavg tjeneste'!H14)</f>
        <v>1.1021949255726643E-2</v>
      </c>
      <c r="AK14" s="5">
        <f>IF(AG14=0,0,'2022 Nto driftsutg landet'!$C$9*'2022 Lønnsand og arbavg landet'!$D$10*('2022 Arbavg tjeneste'!H14/'2022 Lønnsgr arbavg tjeneste'!H14-$AJ$17)*'2022 Revekting utgiftsbehov'!H14)</f>
        <v>-0.36106876395803478</v>
      </c>
      <c r="AL14" s="5">
        <f t="shared" si="7"/>
        <v>-171.19389412418698</v>
      </c>
      <c r="AM14" s="59">
        <f>IF('2022 Lønnsgr arbavg tjeneste'!K14&lt;100,0,(C14/$C$17)*'2022 Arbavg tjeneste'!K14/'2022 Lønnsgr arbavg tjeneste'!K14)</f>
        <v>6.0419112729745445E-3</v>
      </c>
      <c r="AN14" s="5">
        <f>IF('2022 Lønnsgr arbavg tjeneste'!K14&lt;100,0,C14)</f>
        <v>474131</v>
      </c>
      <c r="AO14" s="59">
        <f t="shared" si="8"/>
        <v>8.7393069837998841E-2</v>
      </c>
      <c r="AP14" s="59">
        <f t="shared" si="9"/>
        <v>1.0000365210079192</v>
      </c>
      <c r="AQ14" s="59">
        <f>IF(AN14=0,0,(AN14/$AN$17)*AP14*'2022 Arbavg tjeneste'!K14/'2022 Lønnsgr arbavg tjeneste'!K14)</f>
        <v>6.0421319296639917E-3</v>
      </c>
      <c r="AR14" s="5">
        <f>IF(AN14=0,0,'2022 Nto driftsutg landet'!$C$23*'2022 Lønnsand og arbavg landet'!$D$13*('2022 Arbavg tjeneste'!K14/'2022 Lønnsgr arbavg tjeneste'!K14-$AQ$17))</f>
        <v>-26.197366003971002</v>
      </c>
      <c r="AS14" s="5">
        <f t="shared" si="10"/>
        <v>-12420.983340828774</v>
      </c>
      <c r="AT14" s="59">
        <f>IF('2022 Lønnsgr arbavg tjeneste'!L14&lt;100,0,(C14/$C$17)*'2022 Arbavg tjeneste'!L14/'2022 Lønnsgr arbavg tjeneste'!L14)</f>
        <v>1.2060332316557933E-2</v>
      </c>
      <c r="AU14" s="5">
        <f>IF('2022 Lønnsgr arbavg tjeneste'!L14&lt;100,0,C14)</f>
        <v>474131</v>
      </c>
      <c r="AV14" s="59">
        <f t="shared" si="11"/>
        <v>0.10033577804239729</v>
      </c>
      <c r="AW14" s="59">
        <f t="shared" si="12"/>
        <v>1</v>
      </c>
      <c r="AX14" s="59">
        <f>IF(AU14=0,0,(AU14/$AU$17)*AW14*'2022 Arbavg tjeneste'!L14/'2022 Lønnsgr arbavg tjeneste'!L14)</f>
        <v>1.3846439181903635E-2</v>
      </c>
      <c r="AY14" s="5">
        <f>IF(AU14=0,0,'2022 Nto driftsutg landet'!$C$24*'2022 Lønnsand og arbavg landet'!$D$14*('2022 Arbavg tjeneste'!L14/'2022 Lønnsgr arbavg tjeneste'!L14-$AX$17))</f>
        <v>0.40586810504034165</v>
      </c>
      <c r="AZ14" s="5">
        <f t="shared" si="13"/>
        <v>192.43465051088222</v>
      </c>
      <c r="BA14" s="59">
        <f>IF('2022 Lønnsgr arbavg tjeneste'!M14&lt;100,0,(C14/$C$17)*'2022 Arbavg tjeneste'!M14/'2022 Lønnsgr arbavg tjeneste'!M14)</f>
        <v>1.0775911214293934E-2</v>
      </c>
      <c r="BB14" s="5">
        <f>IF('2022 Lønnsgr arbavg tjeneste'!M14&lt;100,0,C14)</f>
        <v>474131</v>
      </c>
      <c r="BC14" s="59">
        <f t="shared" si="14"/>
        <v>8.7393069837998841E-2</v>
      </c>
      <c r="BD14" s="59">
        <f t="shared" si="15"/>
        <v>1</v>
      </c>
      <c r="BE14" s="59">
        <f>IF(BB14=0,0,(BB14/$BB$17)*BD14*'2022 Arbavg tjeneste'!M14/'2022 Lønnsgr arbavg tjeneste'!M14)</f>
        <v>1.0775911214293934E-2</v>
      </c>
      <c r="BF14" s="5">
        <f>IF(BB14=0,0,'2022 Nto driftsutg landet'!$C$25*'2022 Lønnsand og arbavg landet'!$D$15*('2022 Arbavg tjeneste'!M14/'2022 Lønnsgr arbavg tjeneste'!M14-$BE$17))</f>
        <v>1.0064756933471405E-2</v>
      </c>
      <c r="BG14" s="5">
        <f t="shared" si="16"/>
        <v>4.7720132696237307</v>
      </c>
      <c r="BH14" s="59">
        <f>IF('2022 Lønnsgr arbavg tjeneste'!N14&lt;100,0,(C14/$C$17)*'2022 Arbavg tjeneste'!N14/'2022 Lønnsgr arbavg tjeneste'!N14)</f>
        <v>1.2521572120604072E-2</v>
      </c>
      <c r="BI14" s="5">
        <f>IF('2022 Lønnsgr arbavg tjeneste'!N14&lt;100,0,C14)</f>
        <v>474131</v>
      </c>
      <c r="BJ14" s="59">
        <f t="shared" si="17"/>
        <v>8.7393069837998841E-2</v>
      </c>
      <c r="BK14" s="59">
        <f t="shared" si="18"/>
        <v>1</v>
      </c>
      <c r="BL14" s="59">
        <f>IF(BI14=0,0,(BI14/$BI$17)*BK14*'2022 Arbavg tjeneste'!N14/'2022 Lønnsgr arbavg tjeneste'!N14)</f>
        <v>1.2521572120604072E-2</v>
      </c>
      <c r="BM14" s="5">
        <f>IF(BI14=0,0,'2022 Nto driftsutg landet'!$C$26*'2022 Lønnsand og arbavg landet'!$D$16*('2022 Arbavg tjeneste'!N14/'2022 Lønnsgr arbavg tjeneste'!N14-$BL$17))</f>
        <v>0.40216907253141976</v>
      </c>
      <c r="BN14" s="5">
        <f t="shared" si="19"/>
        <v>190.6808245283946</v>
      </c>
      <c r="BO14" s="59">
        <f>IF('2022 Lønnsgr arbavg tjeneste'!O14&lt;100,0,(C14/$C$17)*'2022 Arbavg tjeneste'!O14/'2022 Lønnsgr arbavg tjeneste'!O14)</f>
        <v>0</v>
      </c>
      <c r="BP14" s="5">
        <f>IF('2022 Lønnsgr arbavg tjeneste'!O14&lt;100,0,C14)</f>
        <v>0</v>
      </c>
      <c r="BQ14" s="59">
        <f t="shared" si="20"/>
        <v>0</v>
      </c>
      <c r="BR14" s="59">
        <f t="shared" si="21"/>
        <v>1</v>
      </c>
      <c r="BS14" s="59">
        <f>IF(BP14=0,0,(BP14/$BP$17)*BR14*'2022 Arbavg tjeneste'!O14/'2022 Lønnsgr arbavg tjeneste'!O14)</f>
        <v>0</v>
      </c>
      <c r="BT14" s="5">
        <f>IF(BP14=0,0,'2022 Nto driftsutg landet'!$C$27*'2022 Lønnsand og arbavg landet'!$D$17*('2022 Arbavg tjeneste'!O14/'2022 Lønnsgr arbavg tjeneste'!O14-$BS$17))</f>
        <v>0</v>
      </c>
      <c r="BU14" s="5">
        <f t="shared" si="22"/>
        <v>0</v>
      </c>
      <c r="BV14" s="59">
        <f>IF('2022 Lønnsgr arbavg tjeneste'!P14&lt;100,0,(C14/$C$17)*'2022 Arbavg tjeneste'!P14/'2022 Lønnsgr arbavg tjeneste'!P14)</f>
        <v>0</v>
      </c>
      <c r="BW14" s="5">
        <f>IF('2022 Lønnsgr arbavg tjeneste'!P14&lt;100,0,C14)</f>
        <v>0</v>
      </c>
      <c r="BX14" s="59">
        <f t="shared" si="23"/>
        <v>0</v>
      </c>
      <c r="BY14" s="59">
        <f t="shared" si="24"/>
        <v>1</v>
      </c>
      <c r="BZ14" s="59">
        <f>IF(BW14=0,0,(BW14/$BW$17)*BY14*'2022 Arbavg tjeneste'!P14/'2022 Lønnsgr arbavg tjeneste'!P14)</f>
        <v>0</v>
      </c>
      <c r="CA14" s="5">
        <f>IF(BW14=0,0,'2022 Nto driftsutg landet'!$C$28*'2022 Lønnsand og arbavg landet'!$D$18*('2022 Arbavg tjeneste'!P14/'2022 Lønnsgr arbavg tjeneste'!P14-$BZ$17))</f>
        <v>0</v>
      </c>
      <c r="CB14" s="5">
        <f t="shared" si="25"/>
        <v>0</v>
      </c>
      <c r="CC14" s="5"/>
      <c r="CD14" s="5"/>
      <c r="CE14" s="5"/>
    </row>
    <row r="15" spans="1:83" x14ac:dyDescent="0.25">
      <c r="A15" s="43">
        <v>5400</v>
      </c>
      <c r="B15" s="44" t="s">
        <v>396</v>
      </c>
      <c r="C15" s="44">
        <f>+'2022 Nto driftsutg'!W15</f>
        <v>241736</v>
      </c>
      <c r="D15" s="59">
        <f>IF('2022 Lønnsgr arbavg tjeneste'!D15&lt;100,0,(C15/$C$17)*'2022 Revekting utgiftsbehov'!D15*'2022 Arbavg tjeneste'!D15/'2022 Lønnsgr arbavg tjeneste'!D15)</f>
        <v>1.8839811522553588E-3</v>
      </c>
      <c r="E15" s="5">
        <f>IF('2022 Lønnsgr arbavg tjeneste'!D15&lt;100,0,C15)</f>
        <v>241736</v>
      </c>
      <c r="F15" s="59">
        <f>'2022 Revekting utgiftsbehov'!D15*E15/$E$17</f>
        <v>4.7419555193337848E-2</v>
      </c>
      <c r="G15" s="59">
        <f>'2022 Revekting utgiftsbehov'!D15/$F$17</f>
        <v>1.0642163517486827</v>
      </c>
      <c r="H15" s="59">
        <f>IF(E15=0,0,(E15/$E$17)*G15*'2022 Arbavg tjeneste'!D15/'2022 Lønnsgr arbavg tjeneste'!D15)</f>
        <v>1.8839482991743592E-3</v>
      </c>
      <c r="I15" s="5">
        <f>IF(E15=0,0,'2022 Nto driftsutg landet'!$C$5*'2022 Lønnsand og arbavg landet'!$D$6*('2022 Arbavg tjeneste'!D15/'2022 Lønnsgr arbavg tjeneste'!D15-$H$17)*'2022 Revekting utgiftsbehov'!D15)</f>
        <v>-369.87362732889073</v>
      </c>
      <c r="J15" s="5">
        <f t="shared" si="3"/>
        <v>-89411.771175976726</v>
      </c>
      <c r="K15" s="59">
        <f>IF('2022 Lønnsgr arbavg tjeneste'!E15&lt;100,0,(C15/$C$17)*'2022 Revekting utgiftsbehov'!E15*'2022 Arbavg tjeneste'!E15/'2022 Lønnsgr arbavg tjeneste'!E15)</f>
        <v>3.7365204684192068E-3</v>
      </c>
      <c r="L15" s="5">
        <f>IF('2022 Lønnsgr arbavg tjeneste'!E15&lt;100,0,C15)</f>
        <v>241736</v>
      </c>
      <c r="M15" s="59">
        <f>'2022 Revekting utgiftsbehov'!E15*L15/$L$17</f>
        <v>0.105661965854613</v>
      </c>
      <c r="N15" s="59">
        <f>'2022 Revekting utgiftsbehov'!E15/$M$17</f>
        <v>1.8625787252973451</v>
      </c>
      <c r="O15" s="59">
        <f>IF(L15=0,0,(L15/$L$17)*N15*'2022 Arbavg tjeneste'!E15/'2022 Lønnsgr arbavg tjeneste'!E15)</f>
        <v>3.8684852700262974E-3</v>
      </c>
      <c r="P15" s="5">
        <f>IF(L15=0,0,'2022 Nto driftsutg landet'!$C$6*'2022 Lønnsand og arbavg landet'!$D$7*('2022 Arbavg tjeneste'!E15/'2022 Lønnsgr arbavg tjeneste'!E15-$O$17)*'2022 Revekting utgiftsbehov'!E15)</f>
        <v>-55.893124168348727</v>
      </c>
      <c r="Q15" s="5">
        <f t="shared" si="4"/>
        <v>-13511.380263959947</v>
      </c>
      <c r="R15" s="59">
        <f>IF('2022 Lønnsgr arbavg tjeneste'!F15&lt;100,0,(C15/$C$17)*'2022 Revekting utgiftsbehov'!F15*'2022 Arbavg tjeneste'!F15/'2022 Lønnsgr arbavg tjeneste'!F15)</f>
        <v>3.067013835153285E-3</v>
      </c>
      <c r="S15" s="5">
        <f>IF('2022 Lønnsgr arbavg tjeneste'!F15&lt;100,0,C15)</f>
        <v>241736</v>
      </c>
      <c r="T15" s="59">
        <f>'2022 Revekting utgiftsbehov'!F15*S15/$S$17</f>
        <v>4.9975538208774858E-2</v>
      </c>
      <c r="U15" s="59">
        <f>'2022 Revekting utgiftsbehov'!F15/$T$17</f>
        <v>1.1212656526402751</v>
      </c>
      <c r="V15" s="59">
        <f>IF(S15=0,0,(S15/$S$17)*U15*'2022 Arbavg tjeneste'!F15/'2022 Lønnsgr arbavg tjeneste'!F15)</f>
        <v>3.06610306182402E-3</v>
      </c>
      <c r="W15" s="5">
        <f>IF(S15=0,0,'2022 Nto driftsutg landet'!$C$7*'2022 Lønnsand og arbavg landet'!$D$8*('2022 Arbavg tjeneste'!F15/'2022 Lønnsgr arbavg tjeneste'!F15-$V$17)*'2022 Revekting utgiftsbehov'!F15)</f>
        <v>-3.5413258218411658</v>
      </c>
      <c r="X15" s="5">
        <f t="shared" si="5"/>
        <v>-856.06593886859605</v>
      </c>
      <c r="Y15" s="59">
        <f>IF('2022 Lønnsgr arbavg tjeneste'!G15&lt;100,0,(C15/$C$17)*'2022 Revekting utgiftsbehov'!G15*'2022 Arbavg tjeneste'!G15/'2022 Lønnsgr arbavg tjeneste'!G15)</f>
        <v>3.640591820952061E-3</v>
      </c>
      <c r="Z15" s="5">
        <f>IF('2022 Lønnsgr arbavg tjeneste'!G15&lt;100,0,C15)</f>
        <v>241736</v>
      </c>
      <c r="AA15" s="59">
        <f>'2022 Revekting utgiftsbehov'!G15*Z15/$Z$17</f>
        <v>0.32168898481922636</v>
      </c>
      <c r="AB15" s="59">
        <f>'2022 Revekting utgiftsbehov'!G15/$AA$17</f>
        <v>1.9446777866524561</v>
      </c>
      <c r="AC15" s="59">
        <f>IF(Z15=0,0,(Z15/$Z$17)*AB15*'2022 Arbavg tjeneste'!G15/'2022 Lønnsgr arbavg tjeneste'!G15)</f>
        <v>5.0526357929328589E-3</v>
      </c>
      <c r="AD15" s="5">
        <f>IF(Z15=0,0,'2022 Nto driftsutg landet'!$C$8*'2022 Lønnsand og arbavg landet'!$D$9*('2022 Arbavg tjeneste'!G15/'2022 Lønnsgr arbavg tjeneste'!G15-$AC$17)*'2022 Revekting utgiftsbehov'!G15)</f>
        <v>-1.1951106603352577</v>
      </c>
      <c r="AE15" s="5">
        <f t="shared" si="6"/>
        <v>-288.90127058680383</v>
      </c>
      <c r="AF15" s="59">
        <f>IF('2022 Lønnsgr arbavg tjeneste'!H15&lt;100,0,(C15/$C$17)*'2022 Revekting utgiftsbehov'!H15*'2022 Arbavg tjeneste'!H15/'2022 Lønnsgr arbavg tjeneste'!H15)</f>
        <v>1.5596650430404133E-3</v>
      </c>
      <c r="AG15" s="5">
        <f>IF('2022 Lønnsgr arbavg tjeneste'!H15&lt;100,0,C15)</f>
        <v>241736</v>
      </c>
      <c r="AH15" s="59">
        <f>'2022 Revekting utgiftsbehov'!H15*AG15/$AG$17</f>
        <v>4.3278945683145727E-2</v>
      </c>
      <c r="AI15" s="59">
        <f>'2022 Revekting utgiftsbehov'!H15/$AH$17</f>
        <v>0.97134287312524759</v>
      </c>
      <c r="AJ15" s="59">
        <f>IF(AG15=0,0,(AG15/$AG$17)*AI15*'2022 Arbavg tjeneste'!H15/'2022 Lønnsgr arbavg tjeneste'!H15)</f>
        <v>1.5597220035798015E-3</v>
      </c>
      <c r="AK15" s="5">
        <f>IF(AG15=0,0,'2022 Nto driftsutg landet'!$C$9*'2022 Lønnsand og arbavg landet'!$D$10*('2022 Arbavg tjeneste'!H15/'2022 Lønnsgr arbavg tjeneste'!H15-$AJ$17)*'2022 Revekting utgiftsbehov'!H15)</f>
        <v>-29.431560006609136</v>
      </c>
      <c r="AL15" s="5">
        <f t="shared" si="7"/>
        <v>-7114.6675897576661</v>
      </c>
      <c r="AM15" s="59">
        <f>IF('2022 Lønnsgr arbavg tjeneste'!K15&lt;100,0,(C15/$C$17)*'2022 Arbavg tjeneste'!K15/'2022 Lønnsgr arbavg tjeneste'!K15)</f>
        <v>2.351645102642865E-3</v>
      </c>
      <c r="AN15" s="5">
        <f>IF('2022 Lønnsgr arbavg tjeneste'!K15&lt;100,0,C15)</f>
        <v>241736</v>
      </c>
      <c r="AO15" s="59">
        <f t="shared" si="8"/>
        <v>4.45574137324041E-2</v>
      </c>
      <c r="AP15" s="59">
        <f t="shared" si="9"/>
        <v>1.0000365210079192</v>
      </c>
      <c r="AQ15" s="59">
        <f>IF(AN15=0,0,(AN15/$AN$17)*AP15*'2022 Arbavg tjeneste'!K15/'2022 Lønnsgr arbavg tjeneste'!K15)</f>
        <v>2.3517309870922814E-3</v>
      </c>
      <c r="AR15" s="5">
        <f>IF(AN15=0,0,'2022 Nto driftsutg landet'!$C$23*'2022 Lønnsand og arbavg landet'!$D$13*('2022 Arbavg tjeneste'!K15/'2022 Lønnsgr arbavg tjeneste'!K15-$AQ$17))</f>
        <v>-34.004969957763834</v>
      </c>
      <c r="AS15" s="5">
        <f t="shared" si="10"/>
        <v>-8220.2254177099985</v>
      </c>
      <c r="AT15" s="59">
        <f>IF('2022 Lønnsgr arbavg tjeneste'!L15&lt;100,0,(C15/$C$17)*'2022 Arbavg tjeneste'!L15/'2022 Lønnsgr arbavg tjeneste'!L15)</f>
        <v>2.3235515350006498E-3</v>
      </c>
      <c r="AU15" s="5">
        <f>IF('2022 Lønnsgr arbavg tjeneste'!L15&lt;100,0,C15)</f>
        <v>241736</v>
      </c>
      <c r="AV15" s="59">
        <f t="shared" si="11"/>
        <v>5.1156261963164092E-2</v>
      </c>
      <c r="AW15" s="59">
        <f t="shared" si="12"/>
        <v>1</v>
      </c>
      <c r="AX15" s="59">
        <f>IF(AU15=0,0,(AU15/$AU$17)*AW15*'2022 Arbavg tjeneste'!L15/'2022 Lønnsgr arbavg tjeneste'!L15)</f>
        <v>2.6676640552627507E-3</v>
      </c>
      <c r="AY15" s="5">
        <f>IF(AU15=0,0,'2022 Nto driftsutg landet'!$C$24*'2022 Lønnsand og arbavg landet'!$D$14*('2022 Arbavg tjeneste'!L15/'2022 Lønnsgr arbavg tjeneste'!L15-$AX$17))</f>
        <v>-4.4991326210859155</v>
      </c>
      <c r="AZ15" s="5">
        <f t="shared" si="13"/>
        <v>-1087.6023232908249</v>
      </c>
      <c r="BA15" s="59">
        <f>IF('2022 Lønnsgr arbavg tjeneste'!M15&lt;100,0,(C15/$C$17)*'2022 Arbavg tjeneste'!M15/'2022 Lønnsgr arbavg tjeneste'!M15)</f>
        <v>2.247281512335021E-3</v>
      </c>
      <c r="BB15" s="5">
        <f>IF('2022 Lønnsgr arbavg tjeneste'!M15&lt;100,0,C15)</f>
        <v>241736</v>
      </c>
      <c r="BC15" s="59">
        <f t="shared" si="14"/>
        <v>4.45574137324041E-2</v>
      </c>
      <c r="BD15" s="59">
        <f t="shared" si="15"/>
        <v>1</v>
      </c>
      <c r="BE15" s="59">
        <f>IF(BB15=0,0,(BB15/$BB$17)*BD15*'2022 Arbavg tjeneste'!M15/'2022 Lønnsgr arbavg tjeneste'!M15)</f>
        <v>2.247281512335021E-3</v>
      </c>
      <c r="BF15" s="5">
        <f>IF(BB15=0,0,'2022 Nto driftsutg landet'!$C$25*'2022 Lønnsand og arbavg landet'!$D$15*('2022 Arbavg tjeneste'!M15/'2022 Lønnsgr arbavg tjeneste'!M15-$BE$17))</f>
        <v>0.19660303595777684</v>
      </c>
      <c r="BG15" s="5">
        <f t="shared" si="16"/>
        <v>47.526031500289143</v>
      </c>
      <c r="BH15" s="59">
        <f>IF('2022 Lønnsgr arbavg tjeneste'!N15&lt;100,0,(C15/$C$17)*'2022 Arbavg tjeneste'!N15/'2022 Lønnsgr arbavg tjeneste'!N15)</f>
        <v>1.4762551504045012E-3</v>
      </c>
      <c r="BI15" s="5">
        <f>IF('2022 Lønnsgr arbavg tjeneste'!N15&lt;100,0,C15)</f>
        <v>241736</v>
      </c>
      <c r="BJ15" s="59">
        <f t="shared" si="17"/>
        <v>4.45574137324041E-2</v>
      </c>
      <c r="BK15" s="59">
        <f t="shared" si="18"/>
        <v>1</v>
      </c>
      <c r="BL15" s="59">
        <f>IF(BI15=0,0,(BI15/$BI$17)*BK15*'2022 Arbavg tjeneste'!N15/'2022 Lønnsgr arbavg tjeneste'!N15)</f>
        <v>1.4762551504045012E-3</v>
      </c>
      <c r="BM15" s="5">
        <f>IF(BI15=0,0,'2022 Nto driftsutg landet'!$C$26*'2022 Lønnsand og arbavg landet'!$D$16*('2022 Arbavg tjeneste'!N15/'2022 Lønnsgr arbavg tjeneste'!N15-$BL$17))</f>
        <v>-2.9473202761054083</v>
      </c>
      <c r="BN15" s="5">
        <f t="shared" si="19"/>
        <v>-712.47341426461708</v>
      </c>
      <c r="BO15" s="59">
        <f>IF('2022 Lønnsgr arbavg tjeneste'!O15&lt;100,0,(C15/$C$17)*'2022 Arbavg tjeneste'!O15/'2022 Lønnsgr arbavg tjeneste'!O15)</f>
        <v>0</v>
      </c>
      <c r="BP15" s="5">
        <f>IF('2022 Lønnsgr arbavg tjeneste'!O15&lt;100,0,C15)</f>
        <v>0</v>
      </c>
      <c r="BQ15" s="59">
        <f t="shared" si="20"/>
        <v>0</v>
      </c>
      <c r="BR15" s="59">
        <f t="shared" si="21"/>
        <v>1</v>
      </c>
      <c r="BS15" s="59">
        <f>IF(BP15=0,0,(BP15/$BP$17)*BR15*'2022 Arbavg tjeneste'!O15/'2022 Lønnsgr arbavg tjeneste'!O15)</f>
        <v>0</v>
      </c>
      <c r="BT15" s="5">
        <f>IF(BP15=0,0,'2022 Nto driftsutg landet'!$C$27*'2022 Lønnsand og arbavg landet'!$D$17*('2022 Arbavg tjeneste'!O15/'2022 Lønnsgr arbavg tjeneste'!O15-$BS$17))</f>
        <v>0</v>
      </c>
      <c r="BU15" s="5">
        <f t="shared" si="22"/>
        <v>0</v>
      </c>
      <c r="BV15" s="59">
        <f>IF('2022 Lønnsgr arbavg tjeneste'!P15&lt;100,0,(C15/$C$17)*'2022 Arbavg tjeneste'!P15/'2022 Lønnsgr arbavg tjeneste'!P15)</f>
        <v>3.4750892899395101E-3</v>
      </c>
      <c r="BW15" s="5">
        <f>IF('2022 Lønnsgr arbavg tjeneste'!P15&lt;100,0,C15)</f>
        <v>241736</v>
      </c>
      <c r="BX15" s="59">
        <f t="shared" si="23"/>
        <v>7.164626420523168E-2</v>
      </c>
      <c r="BY15" s="59">
        <f t="shared" si="24"/>
        <v>1</v>
      </c>
      <c r="BZ15" s="59">
        <f>IF(BW15=0,0,(BW15/$BW$17)*BY15*'2022 Arbavg tjeneste'!P15/'2022 Lønnsgr arbavg tjeneste'!P15)</f>
        <v>5.5877831442157971E-3</v>
      </c>
      <c r="CA15" s="5">
        <f>IF(BW15=0,0,'2022 Nto driftsutg landet'!$C$28*'2022 Lønnsand og arbavg landet'!$D$18*('2022 Arbavg tjeneste'!P15/'2022 Lønnsgr arbavg tjeneste'!P15-$BZ$17))</f>
        <v>1.2131611449696308E-2</v>
      </c>
      <c r="CB15" s="5">
        <f t="shared" si="25"/>
        <v>2.9326472254037865</v>
      </c>
      <c r="CC15" s="5"/>
      <c r="CD15" s="5"/>
      <c r="CE15" s="5"/>
    </row>
    <row r="16" spans="1:83" x14ac:dyDescent="0.25">
      <c r="B16" s="45"/>
      <c r="C16" s="45"/>
      <c r="D16" s="45"/>
      <c r="E16" s="45"/>
      <c r="F16" s="45"/>
      <c r="G16" s="45"/>
    </row>
    <row r="17" spans="2:83" x14ac:dyDescent="0.25">
      <c r="B17" s="44" t="s">
        <v>3</v>
      </c>
      <c r="C17" s="5">
        <f>SUM(C5:C16)</f>
        <v>5425270</v>
      </c>
      <c r="D17" s="59">
        <f>SUM(D5:D16)</f>
        <v>0.1284420518104285</v>
      </c>
      <c r="E17" s="5">
        <f>SUM(E5:E16)</f>
        <v>5425270</v>
      </c>
      <c r="F17" s="59">
        <f>SUM(F5:F16)</f>
        <v>1.0000174384196288</v>
      </c>
      <c r="G17" s="5"/>
      <c r="H17" s="59">
        <f>SUM(H5:H16)</f>
        <v>0.12843981202308941</v>
      </c>
      <c r="I17" s="5"/>
      <c r="J17" s="5">
        <f>SUM(J5:J16)</f>
        <v>-1.7462298274040222E-10</v>
      </c>
      <c r="K17" s="59">
        <f>SUM(K5:K16)</f>
        <v>0.21418124535488459</v>
      </c>
      <c r="L17" s="5">
        <f>SUM(L5:L16)</f>
        <v>4725443</v>
      </c>
      <c r="M17" s="59">
        <f>SUM(M5:M16)</f>
        <v>1.1089328423797304</v>
      </c>
      <c r="N17" s="5"/>
      <c r="O17" s="59">
        <f>SUM(O5:O16)</f>
        <v>0.22174560524267467</v>
      </c>
      <c r="P17" s="5"/>
      <c r="Q17" s="5">
        <f>SUM(Q5:Q16)</f>
        <v>-2.0008883439004421E-11</v>
      </c>
      <c r="R17" s="59">
        <f>SUM(R5:R16)</f>
        <v>0.13536615940825669</v>
      </c>
      <c r="S17" s="5">
        <f>SUM(S5:S16)</f>
        <v>5425270</v>
      </c>
      <c r="T17" s="59">
        <f>SUM(T5:T16)</f>
        <v>1.0002970458953599</v>
      </c>
      <c r="U17" s="5"/>
      <c r="V17" s="59">
        <f>SUM(V5:V16)</f>
        <v>0.1353259613868911</v>
      </c>
      <c r="W17" s="5"/>
      <c r="X17" s="5">
        <f>SUM(X5:X16)</f>
        <v>-3.4106051316484809E-12</v>
      </c>
      <c r="Y17" s="59">
        <f>SUM(Y5:Y16)</f>
        <v>6.4893578181458383E-2</v>
      </c>
      <c r="Z17" s="5">
        <f>SUM(Z5:Z16)</f>
        <v>2390089</v>
      </c>
      <c r="AA17" s="59">
        <f>SUM(AA5:AA16)</f>
        <v>1.6355404076862745</v>
      </c>
      <c r="AB17" s="5"/>
      <c r="AC17" s="59">
        <f>SUM(AC5:AC16)</f>
        <v>9.0063273219511256E-2</v>
      </c>
      <c r="AD17" s="5"/>
      <c r="AE17" s="5">
        <f>SUM(AE5:AE16)</f>
        <v>0</v>
      </c>
      <c r="AF17" s="59">
        <f>SUM(AF5:AF16)</f>
        <v>0.12663535310107191</v>
      </c>
      <c r="AG17" s="5">
        <f>SUM(AG5:AG16)</f>
        <v>5425270</v>
      </c>
      <c r="AH17" s="59">
        <f>SUM(AH5:AH16)</f>
        <v>0.99996348032581606</v>
      </c>
      <c r="AI17" s="5"/>
      <c r="AJ17" s="59">
        <f>SUM(AJ5:AJ16)</f>
        <v>0.12663997795180534</v>
      </c>
      <c r="AK17" s="5"/>
      <c r="AL17" s="5">
        <f>SUM(AL5:AL16)</f>
        <v>2.3646862246096134E-11</v>
      </c>
      <c r="AM17" s="59">
        <f>SUM(AM5:AM16)</f>
        <v>0.12401421527295758</v>
      </c>
      <c r="AN17" s="5">
        <f>SUM(AN5:AN16)</f>
        <v>5425270</v>
      </c>
      <c r="AO17" s="59">
        <f>SUM(AO5:AO16)</f>
        <v>1</v>
      </c>
      <c r="AP17" s="5"/>
      <c r="AQ17" s="59">
        <f>SUM(AQ5:AQ16)</f>
        <v>0.12401874439709563</v>
      </c>
      <c r="AR17" s="5"/>
      <c r="AS17" s="5">
        <f>SUM(AS5:AS16)</f>
        <v>-11.728668080018906</v>
      </c>
      <c r="AT17" s="59">
        <f>SUM(AT5:AT16)</f>
        <v>0.11401206800833306</v>
      </c>
      <c r="AU17" s="5">
        <f>SUM(AU5:AU16)</f>
        <v>4725443</v>
      </c>
      <c r="AV17" s="59">
        <f>SUM(AV5:AV16)</f>
        <v>1</v>
      </c>
      <c r="AW17" s="5"/>
      <c r="AX17" s="59">
        <f>SUM(AX5:AX16)</f>
        <v>0.130896987267346</v>
      </c>
      <c r="AY17" s="5"/>
      <c r="AZ17" s="5">
        <f>SUM(AZ5:AZ16)</f>
        <v>-3.865352482534945E-12</v>
      </c>
      <c r="BA17" s="59">
        <f>SUM(BA5:BA16)</f>
        <v>0.12723559875275423</v>
      </c>
      <c r="BB17" s="5">
        <f>SUM(BB5:BB16)</f>
        <v>5425270</v>
      </c>
      <c r="BC17" s="59">
        <f>SUM(BC5:BC16)</f>
        <v>1</v>
      </c>
      <c r="BD17" s="5"/>
      <c r="BE17" s="59">
        <f>SUM(BE5:BE16)</f>
        <v>0.12723559875275423</v>
      </c>
      <c r="BF17" s="5"/>
      <c r="BG17" s="5">
        <f>SUM(BG5:BG16)</f>
        <v>2.0605739337042905E-13</v>
      </c>
      <c r="BH17" s="59">
        <f>SUM(BH5:BH16)</f>
        <v>0.13005353150699148</v>
      </c>
      <c r="BI17" s="5">
        <f>SUM(BI5:BI16)</f>
        <v>5425270</v>
      </c>
      <c r="BJ17" s="59">
        <f>SUM(BJ5:BJ16)</f>
        <v>1</v>
      </c>
      <c r="BK17" s="5"/>
      <c r="BL17" s="59">
        <f>SUM(BL5:BL16)</f>
        <v>0.13005353150699148</v>
      </c>
      <c r="BM17" s="5"/>
      <c r="BN17" s="5">
        <f>SUM(BN5:BN16)</f>
        <v>-2.2737367544323206E-12</v>
      </c>
      <c r="BO17" s="59">
        <f>SUM(BO5:BO16)</f>
        <v>4.1524178885329277E-2</v>
      </c>
      <c r="BP17" s="5">
        <f>SUM(BP5:BP16)</f>
        <v>1694062</v>
      </c>
      <c r="BQ17" s="59">
        <f>SUM(BQ5:BQ16)</f>
        <v>1</v>
      </c>
      <c r="BR17" s="5"/>
      <c r="BS17" s="59">
        <f>SUM(BS5:BS16)</f>
        <v>0.13298207620571759</v>
      </c>
      <c r="BT17" s="5"/>
      <c r="BU17" s="5">
        <f>SUM(BU5:BU16)</f>
        <v>-1.5987211554602254E-14</v>
      </c>
      <c r="BV17" s="59">
        <f>SUM(BV5:BV16)</f>
        <v>8.2302154175248735E-2</v>
      </c>
      <c r="BW17" s="5">
        <f>SUM(BW5:BW16)</f>
        <v>3374021</v>
      </c>
      <c r="BX17" s="59">
        <f>SUM(BX5:BX16)</f>
        <v>0.99999999999999989</v>
      </c>
      <c r="BY17" s="5"/>
      <c r="BZ17" s="59">
        <f>SUM(BZ5:BZ16)</f>
        <v>0.13233806428067629</v>
      </c>
      <c r="CA17" s="59"/>
      <c r="CB17" s="5">
        <f>SUM(CB5:CB16)</f>
        <v>0</v>
      </c>
      <c r="CC17" s="5"/>
      <c r="CD17" s="5"/>
      <c r="CE17" s="5"/>
    </row>
    <row r="18" spans="2:83" x14ac:dyDescent="0.25">
      <c r="CD18" s="5"/>
    </row>
  </sheetData>
  <sheetProtection algorithmName="SHA-512" hashValue="VcStRJYi5k169bWwJUuDSQwDdX+f/FtCB+QU3TWas8ZQhkFzRDCZLGJrmz8z7fvSxxbPyOPmW+MBig6wfV1zrA==" saltValue="HoaXwPOq04wJAWk/fJQojw==" spinCount="100000" sheet="1" objects="1" scenarios="1" selectLockedCells="1" selectUnlockedCells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E045C-06C9-4BA6-9668-F2F5B49F2BDB}">
  <dimension ref="A1:K18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5" x14ac:dyDescent="0.25"/>
  <cols>
    <col min="1" max="1" width="6.42578125" customWidth="1"/>
    <col min="2" max="2" width="17.85546875" bestFit="1" customWidth="1"/>
    <col min="3" max="3" width="12" customWidth="1"/>
    <col min="4" max="6" width="17" customWidth="1"/>
    <col min="7" max="9" width="16.5703125" customWidth="1"/>
    <col min="10" max="10" width="15.42578125" customWidth="1"/>
    <col min="11" max="11" width="16.85546875" customWidth="1"/>
  </cols>
  <sheetData>
    <row r="1" spans="1:11" x14ac:dyDescent="0.25">
      <c r="G1" s="100"/>
      <c r="H1" s="58"/>
      <c r="I1" s="58"/>
    </row>
    <row r="2" spans="1:11" ht="39" x14ac:dyDescent="0.25">
      <c r="A2" s="24" t="s">
        <v>2</v>
      </c>
      <c r="B2" s="24" t="s">
        <v>1</v>
      </c>
      <c r="C2" s="24" t="s">
        <v>398</v>
      </c>
      <c r="D2" s="24" t="s">
        <v>120</v>
      </c>
      <c r="E2" s="24" t="s">
        <v>117</v>
      </c>
      <c r="F2" s="24" t="s">
        <v>118</v>
      </c>
      <c r="G2" s="24" t="s">
        <v>385</v>
      </c>
      <c r="H2" s="24" t="s">
        <v>386</v>
      </c>
      <c r="I2" s="24" t="s">
        <v>387</v>
      </c>
      <c r="J2" s="24" t="s">
        <v>119</v>
      </c>
      <c r="K2" s="24" t="s">
        <v>388</v>
      </c>
    </row>
    <row r="3" spans="1:11" x14ac:dyDescent="0.25">
      <c r="A3" s="107">
        <v>1</v>
      </c>
      <c r="B3" s="107">
        <f t="shared" ref="B3:K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</row>
    <row r="5" spans="1:11" x14ac:dyDescent="0.25">
      <c r="A5" s="43">
        <v>300</v>
      </c>
      <c r="B5" s="44" t="s">
        <v>0</v>
      </c>
      <c r="C5" s="44">
        <f>+'2022 Nto driftsutg'!W5</f>
        <v>699827</v>
      </c>
      <c r="D5" s="5">
        <f>+'2022 Nto driftsutg eks avskriv'!R5</f>
        <v>-405955.14792834799</v>
      </c>
      <c r="E5" s="5">
        <f>+'2022 Lønnsgr pensjon tjeneste'!C5</f>
        <v>2209104</v>
      </c>
      <c r="F5" s="59">
        <f t="shared" ref="F5:F15" si="1">+D5/E5</f>
        <v>-0.18376461584803069</v>
      </c>
      <c r="G5" s="5">
        <f>'2022 Lønnsand og pensjon landet'!$C$6*'2022 Lønnsand og arbavg landet'!$D$6*'2022 Revekting utgiftsbehov'!D5+'2022 Lønnsand og pensjon landet'!$C$7*'2022 Lønnsand og arbavg landet'!$D$7*'2022 Revekting utgiftsbehov'!E5+'2022 Lønnsand og pensjon landet'!$C$8*'2022 Lønnsand og arbavg landet'!$D$8*'2022 Revekting utgiftsbehov'!F5+'2022 Lønnsand og pensjon landet'!$C$9*'2022 Lønnsand og arbavg landet'!$D$9*'2022 Revekting utgiftsbehov'!G5+'2022 Lønnsand og pensjon landet'!$C$10*'2022 Lønnsand og arbavg landet'!$D$10*'2022 Revekting utgiftsbehov'!H5+'2022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3593.2804046836518</v>
      </c>
      <c r="H5" s="59">
        <f t="shared" ref="H5:H15" si="2">G5/G$17</f>
        <v>0.74045291821971526</v>
      </c>
      <c r="I5" s="59">
        <f t="shared" ref="I5:I15" si="3">F5*(G5*C5)/(G$17*C$17)</f>
        <v>-1.7552083546840867E-2</v>
      </c>
      <c r="J5" s="5">
        <f t="shared" ref="J5:J15" si="4">(F5-$I$17)*$G$17*H5</f>
        <v>-574.25786035378133</v>
      </c>
      <c r="K5" s="5">
        <f t="shared" ref="K5:K15" si="5">J5*C5</f>
        <v>-401881155.6378057</v>
      </c>
    </row>
    <row r="6" spans="1:11" x14ac:dyDescent="0.25">
      <c r="A6" s="43">
        <v>1100</v>
      </c>
      <c r="B6" s="44" t="s">
        <v>141</v>
      </c>
      <c r="C6" s="44">
        <f>+'2022 Nto driftsutg'!W6</f>
        <v>485797</v>
      </c>
      <c r="D6" s="5">
        <f>+'2022 Nto driftsutg eks avskriv'!R6</f>
        <v>-20762</v>
      </c>
      <c r="E6" s="5">
        <f>+'2022 Lønnsgr pensjon tjeneste'!C6</f>
        <v>2638705</v>
      </c>
      <c r="F6" s="59">
        <f t="shared" si="1"/>
        <v>-7.8682535561951789E-3</v>
      </c>
      <c r="G6" s="5">
        <f>'2022 Lønnsand og pensjon landet'!$C$6*'2022 Lønnsand og arbavg landet'!$D$6*'2022 Revekting utgiftsbehov'!D6+'2022 Lønnsand og pensjon landet'!$C$7*'2022 Lønnsand og arbavg landet'!$D$7*'2022 Revekting utgiftsbehov'!E6+'2022 Lønnsand og pensjon landet'!$C$8*'2022 Lønnsand og arbavg landet'!$D$8*'2022 Revekting utgiftsbehov'!F6+'2022 Lønnsand og pensjon landet'!$C$9*'2022 Lønnsand og arbavg landet'!$D$9*'2022 Revekting utgiftsbehov'!G6+'2022 Lønnsand og pensjon landet'!$C$10*'2022 Lønnsand og arbavg landet'!$D$10*'2022 Revekting utgiftsbehov'!H6+'2022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5125.1320147770602</v>
      </c>
      <c r="H6" s="59">
        <f t="shared" si="2"/>
        <v>1.0561154514010336</v>
      </c>
      <c r="I6" s="59">
        <f t="shared" si="3"/>
        <v>-7.4408614018258421E-4</v>
      </c>
      <c r="J6" s="5">
        <f t="shared" si="4"/>
        <v>82.422310384567098</v>
      </c>
      <c r="K6" s="5">
        <f t="shared" si="5"/>
        <v>40040511.117891543</v>
      </c>
    </row>
    <row r="7" spans="1:11" x14ac:dyDescent="0.25">
      <c r="A7" s="43">
        <v>1500</v>
      </c>
      <c r="B7" s="44" t="s">
        <v>142</v>
      </c>
      <c r="C7" s="44">
        <f>+'2022 Nto driftsutg'!W7</f>
        <v>265848</v>
      </c>
      <c r="D7" s="5">
        <f>+'2022 Nto driftsutg eks avskriv'!R7</f>
        <v>12462</v>
      </c>
      <c r="E7" s="5">
        <f>+'2022 Lønnsgr pensjon tjeneste'!C7</f>
        <v>1520875</v>
      </c>
      <c r="F7" s="59">
        <f t="shared" si="1"/>
        <v>8.1939672885674372E-3</v>
      </c>
      <c r="G7" s="5">
        <f>'2022 Lønnsand og pensjon landet'!$C$6*'2022 Lønnsand og arbavg landet'!$D$6*'2022 Revekting utgiftsbehov'!D7+'2022 Lønnsand og pensjon landet'!$C$7*'2022 Lønnsand og arbavg landet'!$D$7*'2022 Revekting utgiftsbehov'!E7+'2022 Lønnsand og pensjon landet'!$C$8*'2022 Lønnsand og arbavg landet'!$D$8*'2022 Revekting utgiftsbehov'!F7+'2022 Lønnsand og pensjon landet'!$C$9*'2022 Lønnsand og arbavg landet'!$D$9*'2022 Revekting utgiftsbehov'!G7+'2022 Lønnsand og pensjon landet'!$C$10*'2022 Lønnsand og arbavg landet'!$D$10*'2022 Revekting utgiftsbehov'!H7+'2022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5402.9561019103021</v>
      </c>
      <c r="H7" s="59">
        <f t="shared" si="2"/>
        <v>1.1133655496125168</v>
      </c>
      <c r="I7" s="59">
        <f t="shared" si="3"/>
        <v>4.4703759256954103E-4</v>
      </c>
      <c r="J7" s="5">
        <f t="shared" si="4"/>
        <v>173.67374807967451</v>
      </c>
      <c r="K7" s="5">
        <f t="shared" si="5"/>
        <v>46170818.579485312</v>
      </c>
    </row>
    <row r="8" spans="1:11" x14ac:dyDescent="0.25">
      <c r="A8" s="43">
        <v>1800</v>
      </c>
      <c r="B8" s="44" t="s">
        <v>143</v>
      </c>
      <c r="C8" s="44">
        <f>+'2022 Nto driftsutg'!W8</f>
        <v>240190</v>
      </c>
      <c r="D8" s="5">
        <f>+'2022 Nto driftsutg eks avskriv'!R8</f>
        <v>-32019</v>
      </c>
      <c r="E8" s="5">
        <f>+'2022 Lønnsgr pensjon tjeneste'!C8</f>
        <v>1780810</v>
      </c>
      <c r="F8" s="59">
        <f t="shared" si="1"/>
        <v>-1.7980020327828347E-2</v>
      </c>
      <c r="G8" s="5">
        <f>'2022 Lønnsand og pensjon landet'!$C$6*'2022 Lønnsand og arbavg landet'!$D$6*'2022 Revekting utgiftsbehov'!D8+'2022 Lønnsand og pensjon landet'!$C$7*'2022 Lønnsand og arbavg landet'!$D$7*'2022 Revekting utgiftsbehov'!E8+'2022 Lønnsand og pensjon landet'!$C$8*'2022 Lønnsand og arbavg landet'!$D$8*'2022 Revekting utgiftsbehov'!F8+'2022 Lønnsand og pensjon landet'!$C$9*'2022 Lønnsand og arbavg landet'!$D$9*'2022 Revekting utgiftsbehov'!G8+'2022 Lønnsand og pensjon landet'!$C$10*'2022 Lønnsand og arbavg landet'!$D$10*'2022 Revekting utgiftsbehov'!H8+'2022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5275.5344558946726</v>
      </c>
      <c r="H8" s="59">
        <f t="shared" si="2"/>
        <v>1.0871082807632355</v>
      </c>
      <c r="I8" s="59">
        <f t="shared" si="3"/>
        <v>-8.6535946419424446E-4</v>
      </c>
      <c r="J8" s="5">
        <f t="shared" si="4"/>
        <v>31.496106589573529</v>
      </c>
      <c r="K8" s="5">
        <f t="shared" si="5"/>
        <v>7565049.8417496663</v>
      </c>
    </row>
    <row r="9" spans="1:11" x14ac:dyDescent="0.25">
      <c r="A9" s="43">
        <v>3000</v>
      </c>
      <c r="B9" s="44" t="s">
        <v>391</v>
      </c>
      <c r="C9" s="44">
        <f>+'2022 Nto driftsutg'!W9</f>
        <v>1269230</v>
      </c>
      <c r="D9" s="5">
        <f>+'2022 Nto driftsutg eks avskriv'!R9</f>
        <v>-156821</v>
      </c>
      <c r="E9" s="5">
        <f>+'2022 Lønnsgr pensjon tjeneste'!C9</f>
        <v>6388745</v>
      </c>
      <c r="F9" s="59">
        <f t="shared" si="1"/>
        <v>-2.4546448480883179E-2</v>
      </c>
      <c r="G9" s="5">
        <f>'2022 Lønnsand og pensjon landet'!$C$6*'2022 Lønnsand og arbavg landet'!$D$6*'2022 Revekting utgiftsbehov'!D9+'2022 Lønnsand og pensjon landet'!$C$7*'2022 Lønnsand og arbavg landet'!$D$7*'2022 Revekting utgiftsbehov'!E9+'2022 Lønnsand og pensjon landet'!$C$8*'2022 Lønnsand og arbavg landet'!$D$8*'2022 Revekting utgiftsbehov'!F9+'2022 Lønnsand og pensjon landet'!$C$9*'2022 Lønnsand og arbavg landet'!$D$9*'2022 Revekting utgiftsbehov'!G9+'2022 Lønnsand og pensjon landet'!$C$10*'2022 Lønnsand og arbavg landet'!$D$10*'2022 Revekting utgiftsbehov'!H9+'2022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4860.5822492164771</v>
      </c>
      <c r="H9" s="59">
        <f t="shared" si="2"/>
        <v>1.0016007395326396</v>
      </c>
      <c r="I9" s="59">
        <f t="shared" si="3"/>
        <v>-5.751780093467245E-3</v>
      </c>
      <c r="J9" s="5">
        <f t="shared" si="4"/>
        <v>-2.8979139098150632</v>
      </c>
      <c r="K9" s="5">
        <f t="shared" si="5"/>
        <v>-3678119.2717545726</v>
      </c>
    </row>
    <row r="10" spans="1:11" x14ac:dyDescent="0.25">
      <c r="A10" s="43">
        <v>3400</v>
      </c>
      <c r="B10" s="44" t="s">
        <v>392</v>
      </c>
      <c r="C10" s="44">
        <f>+'2022 Nto driftsutg'!W10</f>
        <v>371253</v>
      </c>
      <c r="D10" s="5">
        <f>+'2022 Nto driftsutg eks avskriv'!R10</f>
        <v>68682</v>
      </c>
      <c r="E10" s="5">
        <f>+'2022 Lønnsgr pensjon tjeneste'!C10</f>
        <v>2256997</v>
      </c>
      <c r="F10" s="59">
        <f t="shared" si="1"/>
        <v>3.0430700616793021E-2</v>
      </c>
      <c r="G10" s="5">
        <f>'2022 Lønnsand og pensjon landet'!$C$6*'2022 Lønnsand og arbavg landet'!$D$6*'2022 Revekting utgiftsbehov'!D10+'2022 Lønnsand og pensjon landet'!$C$7*'2022 Lønnsand og arbavg landet'!$D$7*'2022 Revekting utgiftsbehov'!E10+'2022 Lønnsand og pensjon landet'!$C$8*'2022 Lønnsand og arbavg landet'!$D$8*'2022 Revekting utgiftsbehov'!F10+'2022 Lønnsand og pensjon landet'!$C$9*'2022 Lønnsand og arbavg landet'!$D$9*'2022 Revekting utgiftsbehov'!G10+'2022 Lønnsand og pensjon landet'!$C$10*'2022 Lønnsand og arbavg landet'!$D$10*'2022 Revekting utgiftsbehov'!H10+'2022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4961.8216101487451</v>
      </c>
      <c r="H10" s="59">
        <f t="shared" si="2"/>
        <v>1.0224627296359687</v>
      </c>
      <c r="I10" s="59">
        <f t="shared" si="3"/>
        <v>2.1291587948110238E-3</v>
      </c>
      <c r="J10" s="5">
        <f t="shared" si="4"/>
        <v>269.82853291614538</v>
      </c>
      <c r="K10" s="5">
        <f t="shared" si="5"/>
        <v>100174652.33071771</v>
      </c>
    </row>
    <row r="11" spans="1:11" x14ac:dyDescent="0.25">
      <c r="A11" s="43">
        <v>3800</v>
      </c>
      <c r="B11" s="44" t="s">
        <v>393</v>
      </c>
      <c r="C11" s="44">
        <f>+'2022 Nto driftsutg'!W11</f>
        <v>424832</v>
      </c>
      <c r="D11" s="5">
        <f>+'2022 Nto driftsutg eks avskriv'!R11</f>
        <v>-43725</v>
      </c>
      <c r="E11" s="5">
        <f>+'2022 Lønnsgr pensjon tjeneste'!C11</f>
        <v>2488715</v>
      </c>
      <c r="F11" s="59">
        <f t="shared" si="1"/>
        <v>-1.7569307855660452E-2</v>
      </c>
      <c r="G11" s="5">
        <f>'2022 Lønnsand og pensjon landet'!$C$6*'2022 Lønnsand og arbavg landet'!$D$6*'2022 Revekting utgiftsbehov'!D11+'2022 Lønnsand og pensjon landet'!$C$7*'2022 Lønnsand og arbavg landet'!$D$7*'2022 Revekting utgiftsbehov'!E11+'2022 Lønnsand og pensjon landet'!$C$8*'2022 Lønnsand og arbavg landet'!$D$8*'2022 Revekting utgiftsbehov'!F11+'2022 Lønnsand og pensjon landet'!$C$9*'2022 Lønnsand og arbavg landet'!$D$9*'2022 Revekting utgiftsbehov'!G11+'2022 Lønnsand og pensjon landet'!$C$10*'2022 Lønnsand og arbavg landet'!$D$10*'2022 Revekting utgiftsbehov'!H11+'2022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4897.2170043667311</v>
      </c>
      <c r="H11" s="59">
        <f t="shared" si="2"/>
        <v>1.0091499169705909</v>
      </c>
      <c r="I11" s="59">
        <f t="shared" si="3"/>
        <v>-1.3883731525965982E-3</v>
      </c>
      <c r="J11" s="5">
        <f t="shared" si="4"/>
        <v>31.248815898776275</v>
      </c>
      <c r="K11" s="5">
        <f t="shared" si="5"/>
        <v>13275496.955908922</v>
      </c>
    </row>
    <row r="12" spans="1:11" x14ac:dyDescent="0.25">
      <c r="A12" s="43">
        <v>4200</v>
      </c>
      <c r="B12" s="44" t="s">
        <v>394</v>
      </c>
      <c r="C12" s="44">
        <f>+'2022 Nto driftsutg'!W12</f>
        <v>311134</v>
      </c>
      <c r="D12" s="5">
        <f>+'2022 Nto driftsutg eks avskriv'!R12</f>
        <v>9271</v>
      </c>
      <c r="E12" s="5">
        <f>+'2022 Lønnsgr pensjon tjeneste'!C12</f>
        <v>1869347</v>
      </c>
      <c r="F12" s="59">
        <f t="shared" si="1"/>
        <v>4.9594858525463708E-3</v>
      </c>
      <c r="G12" s="5">
        <f>'2022 Lønnsand og pensjon landet'!$C$6*'2022 Lønnsand og arbavg landet'!$D$6*'2022 Revekting utgiftsbehov'!D12+'2022 Lønnsand og pensjon landet'!$C$7*'2022 Lønnsand og arbavg landet'!$D$7*'2022 Revekting utgiftsbehov'!E12+'2022 Lønnsand og pensjon landet'!$C$8*'2022 Lønnsand og arbavg landet'!$D$8*'2022 Revekting utgiftsbehov'!F12+'2022 Lønnsand og pensjon landet'!$C$9*'2022 Lønnsand og arbavg landet'!$D$9*'2022 Revekting utgiftsbehov'!G12+'2022 Lønnsand og pensjon landet'!$C$10*'2022 Lønnsand og arbavg landet'!$D$10*'2022 Revekting utgiftsbehov'!H12+'2022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5149.1757767512136</v>
      </c>
      <c r="H12" s="59">
        <f t="shared" si="2"/>
        <v>1.0610700532449464</v>
      </c>
      <c r="I12" s="59">
        <f t="shared" si="3"/>
        <v>3.0179137865572801E-4</v>
      </c>
      <c r="J12" s="5">
        <f t="shared" si="4"/>
        <v>148.86126690456453</v>
      </c>
      <c r="K12" s="5">
        <f t="shared" si="5"/>
        <v>46315801.417084783</v>
      </c>
    </row>
    <row r="13" spans="1:11" x14ac:dyDescent="0.25">
      <c r="A13" s="43">
        <v>4600</v>
      </c>
      <c r="B13" s="44" t="s">
        <v>395</v>
      </c>
      <c r="C13" s="44">
        <f>+'2022 Nto driftsutg'!W13</f>
        <v>641292</v>
      </c>
      <c r="D13" s="5">
        <f>+'2022 Nto driftsutg eks avskriv'!R13</f>
        <v>49969</v>
      </c>
      <c r="E13" s="5">
        <f>+'2022 Lønnsgr pensjon tjeneste'!C13</f>
        <v>3320457</v>
      </c>
      <c r="F13" s="59">
        <f t="shared" si="1"/>
        <v>1.5048832133649073E-2</v>
      </c>
      <c r="G13" s="5">
        <f>'2022 Lønnsand og pensjon landet'!$C$6*'2022 Lønnsand og arbavg landet'!$D$6*'2022 Revekting utgiftsbehov'!D13+'2022 Lønnsand og pensjon landet'!$C$7*'2022 Lønnsand og arbavg landet'!$D$7*'2022 Revekting utgiftsbehov'!E13+'2022 Lønnsand og pensjon landet'!$C$8*'2022 Lønnsand og arbavg landet'!$D$8*'2022 Revekting utgiftsbehov'!F13+'2022 Lønnsand og pensjon landet'!$C$9*'2022 Lønnsand og arbavg landet'!$D$9*'2022 Revekting utgiftsbehov'!G13+'2022 Lønnsand og pensjon landet'!$C$10*'2022 Lønnsand og arbavg landet'!$D$10*'2022 Revekting utgiftsbehov'!H13+'2022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5132.9054750890855</v>
      </c>
      <c r="H13" s="59">
        <f t="shared" si="2"/>
        <v>1.0577172972701179</v>
      </c>
      <c r="I13" s="59">
        <f t="shared" si="3"/>
        <v>1.8815114688726102E-3</v>
      </c>
      <c r="J13" s="5">
        <f t="shared" si="4"/>
        <v>200.17855768872795</v>
      </c>
      <c r="K13" s="5">
        <f t="shared" si="5"/>
        <v>128372907.61731972</v>
      </c>
    </row>
    <row r="14" spans="1:11" x14ac:dyDescent="0.25">
      <c r="A14" s="43">
        <v>5000</v>
      </c>
      <c r="B14" s="44" t="s">
        <v>390</v>
      </c>
      <c r="C14" s="44">
        <f>+'2022 Nto driftsutg'!W14</f>
        <v>474131</v>
      </c>
      <c r="D14" s="5">
        <f>+'2022 Nto driftsutg eks avskriv'!R14</f>
        <v>-22019</v>
      </c>
      <c r="E14" s="5">
        <f>+'2022 Lønnsgr pensjon tjeneste'!C14</f>
        <v>2621221</v>
      </c>
      <c r="F14" s="59">
        <f t="shared" si="1"/>
        <v>-8.4002836845882122E-3</v>
      </c>
      <c r="G14" s="5">
        <f>'2022 Lønnsand og pensjon landet'!$C$6*'2022 Lønnsand og arbavg landet'!$D$6*'2022 Revekting utgiftsbehov'!D14+'2022 Lønnsand og pensjon landet'!$C$7*'2022 Lønnsand og arbavg landet'!$D$7*'2022 Revekting utgiftsbehov'!E14+'2022 Lønnsand og pensjon landet'!$C$8*'2022 Lønnsand og arbavg landet'!$D$8*'2022 Revekting utgiftsbehov'!F14+'2022 Lønnsand og pensjon landet'!$C$9*'2022 Lønnsand og arbavg landet'!$D$9*'2022 Revekting utgiftsbehov'!G14+'2022 Lønnsand og pensjon landet'!$C$10*'2022 Lønnsand og arbavg landet'!$D$10*'2022 Revekting utgiftsbehov'!H14+'2022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4979.870298771044</v>
      </c>
      <c r="H14" s="59">
        <f t="shared" si="2"/>
        <v>1.0261819506973144</v>
      </c>
      <c r="I14" s="59">
        <f t="shared" si="3"/>
        <v>-7.5334744459549423E-4</v>
      </c>
      <c r="J14" s="5">
        <f t="shared" si="4"/>
        <v>77.436772209780173</v>
      </c>
      <c r="K14" s="5">
        <f t="shared" si="5"/>
        <v>36715174.244595282</v>
      </c>
    </row>
    <row r="15" spans="1:11" x14ac:dyDescent="0.25">
      <c r="A15" s="43">
        <v>5400</v>
      </c>
      <c r="B15" s="44" t="s">
        <v>396</v>
      </c>
      <c r="C15" s="44">
        <f>+'2022 Nto driftsutg'!W15</f>
        <v>241736</v>
      </c>
      <c r="D15" s="5">
        <f>+'2022 Nto driftsutg eks avskriv'!R15</f>
        <v>-67742</v>
      </c>
      <c r="E15" s="5">
        <f>+'2022 Lønnsgr pensjon tjeneste'!C15</f>
        <v>1981686</v>
      </c>
      <c r="F15" s="59">
        <f t="shared" si="1"/>
        <v>-3.4184023099522329E-2</v>
      </c>
      <c r="G15" s="5">
        <f>'2022 Lønnsand og pensjon landet'!$C$6*'2022 Lønnsand og arbavg landet'!$D$6*'2022 Revekting utgiftsbehov'!D15+'2022 Lønnsand og pensjon landet'!$C$7*'2022 Lønnsand og arbavg landet'!$D$7*'2022 Revekting utgiftsbehov'!E15+'2022 Lønnsand og pensjon landet'!$C$8*'2022 Lønnsand og arbavg landet'!$D$8*'2022 Revekting utgiftsbehov'!F15+'2022 Lønnsand og pensjon landet'!$C$9*'2022 Lønnsand og arbavg landet'!$D$9*'2022 Revekting utgiftsbehov'!G15+'2022 Lønnsand og pensjon landet'!$C$10*'2022 Lønnsand og arbavg landet'!$D$10*'2022 Revekting utgiftsbehov'!H15+'2022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5271.9658965955459</v>
      </c>
      <c r="H15" s="59">
        <f t="shared" si="2"/>
        <v>1.0863729220243423</v>
      </c>
      <c r="I15" s="59">
        <f t="shared" si="3"/>
        <v>-1.6547107198683873E-3</v>
      </c>
      <c r="J15" s="5">
        <f t="shared" si="4"/>
        <v>-53.952148498800696</v>
      </c>
      <c r="K15" s="5">
        <f t="shared" si="5"/>
        <v>-13042176.569506085</v>
      </c>
    </row>
    <row r="16" spans="1:11" x14ac:dyDescent="0.25">
      <c r="B16" s="45"/>
      <c r="C16" s="45"/>
      <c r="F16" s="59"/>
      <c r="H16" s="5"/>
    </row>
    <row r="17" spans="2:11" x14ac:dyDescent="0.25">
      <c r="B17" s="44" t="s">
        <v>3</v>
      </c>
      <c r="C17" s="5">
        <f>SUM(C5:C16)</f>
        <v>5425270</v>
      </c>
      <c r="D17" s="5">
        <f>SUM(D5:D16)</f>
        <v>-608659.14792834804</v>
      </c>
      <c r="E17" s="5">
        <f>SUM(E5:E16)</f>
        <v>29076662</v>
      </c>
      <c r="F17" s="59">
        <f>+D17/E17</f>
        <v>-2.0932909971864998E-2</v>
      </c>
      <c r="G17" s="5">
        <f>'2022 Lønnsand og pensjon landet'!$C$6*'2022 Lønnsand og arbavg landet'!$D$6*'2022 Revekting utgiftsbehov'!D17+'2022 Lønnsand og pensjon landet'!$C$7*'2022 Lønnsand og arbavg landet'!$D$7*'2022 Revekting utgiftsbehov'!E17+'2022 Lønnsand og pensjon landet'!$C$8*'2022 Lønnsand og arbavg landet'!$D$8*'2022 Revekting utgiftsbehov'!F17+'2022 Lønnsand og pensjon landet'!$C$9*'2022 Lønnsand og arbavg landet'!$D$9*'2022 Revekting utgiftsbehov'!G17+'2022 Lønnsand og pensjon landet'!$C$10*'2022 Lønnsand og arbavg landet'!$D$10*'2022 Revekting utgiftsbehov'!H17+'2022 Lønnsand og pensjon landet'!$C$13*'2022 Lønnsand og pensjon landet'!$D$13+'2022 Lønnsand og pensjon landet'!$C$14*'2022 Lønnsand og pensjon landet'!$D$14+'2022 Lønnsand og pensjon landet'!$C$15*'2022 Lønnsand og pensjon landet'!$D$15+'2022 Lønnsand og pensjon landet'!$C$16*'2022 Lønnsand og pensjon landet'!$D$16+'2022 Lønnsand og pensjon landet'!$C$17*'2022 Lønnsand og pensjon landet'!$D$17+'2022 Lønnsand og pensjon landet'!$C$18*'2022 Lønnsand og pensjon landet'!$D$18</f>
        <v>4852.8141577496144</v>
      </c>
      <c r="H17" s="59">
        <f>G17/G$17</f>
        <v>1</v>
      </c>
      <c r="I17" s="59">
        <f>SUM(I5:I15)</f>
        <v>-2.395024132683652E-2</v>
      </c>
      <c r="J17" s="5"/>
      <c r="K17" s="5">
        <f>SUM(K5:K16)</f>
        <v>28960.625686587766</v>
      </c>
    </row>
    <row r="18" spans="2:11" x14ac:dyDescent="0.25">
      <c r="C18" s="5"/>
      <c r="I18" s="5"/>
    </row>
  </sheetData>
  <sheetProtection algorithmName="SHA-512" hashValue="+CgpF9zGFlkOipJWQBF++h53wz87FB76HFOAMOrBtDUmW8UQhI9Q0ymFBThoVB4prfBIODMnu/9PehNJcepsTA==" saltValue="64KoroxBV+H66g0XNHhLAA==" spinCount="100000" sheet="1" selectLockedCells="1" selectUnlockedCell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7B3CD-7F41-4BC1-9205-3ED30B33FA8D}">
  <dimension ref="A1:M17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5" x14ac:dyDescent="0.25"/>
  <cols>
    <col min="1" max="1" width="5.5703125" customWidth="1"/>
    <col min="2" max="2" width="17.85546875" bestFit="1" customWidth="1"/>
    <col min="3" max="8" width="12" customWidth="1"/>
    <col min="9" max="10" width="14.5703125" customWidth="1"/>
    <col min="11" max="11" width="14.85546875" customWidth="1"/>
    <col min="12" max="12" width="14.5703125" customWidth="1"/>
    <col min="13" max="13" width="16.140625" customWidth="1"/>
  </cols>
  <sheetData>
    <row r="1" spans="1:13" x14ac:dyDescent="0.25">
      <c r="D1" s="118"/>
      <c r="E1" s="118"/>
      <c r="F1" s="118"/>
      <c r="G1" s="118"/>
      <c r="H1" s="118"/>
    </row>
    <row r="2" spans="1:13" ht="51.75" x14ac:dyDescent="0.25">
      <c r="A2" s="24" t="s">
        <v>2</v>
      </c>
      <c r="B2" s="24" t="s">
        <v>1</v>
      </c>
      <c r="C2" s="24" t="s">
        <v>398</v>
      </c>
      <c r="D2" s="24" t="s">
        <v>174</v>
      </c>
      <c r="E2" s="24" t="s">
        <v>175</v>
      </c>
      <c r="F2" s="24" t="s">
        <v>278</v>
      </c>
      <c r="G2" s="24" t="s">
        <v>279</v>
      </c>
      <c r="H2" s="24" t="s">
        <v>176</v>
      </c>
      <c r="I2" s="24" t="s">
        <v>123</v>
      </c>
      <c r="J2" s="24" t="s">
        <v>124</v>
      </c>
      <c r="K2" s="24" t="s">
        <v>125</v>
      </c>
      <c r="L2" s="24" t="s">
        <v>122</v>
      </c>
      <c r="M2" s="24" t="s">
        <v>126</v>
      </c>
    </row>
    <row r="3" spans="1:13" x14ac:dyDescent="0.25">
      <c r="A3" s="107">
        <v>1</v>
      </c>
      <c r="B3" s="107">
        <f t="shared" ref="B3:M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</row>
    <row r="5" spans="1:13" x14ac:dyDescent="0.25">
      <c r="A5" s="43">
        <v>300</v>
      </c>
      <c r="B5" s="44" t="s">
        <v>0</v>
      </c>
      <c r="C5" s="44">
        <f>+'2022 Nto driftsutg'!W5</f>
        <v>699827</v>
      </c>
      <c r="D5" s="3">
        <f>+'2022 Revekting utgiftsbehov'!D5</f>
        <v>0.71024135999999993</v>
      </c>
      <c r="E5" s="3">
        <f>+'2022 Revekting utgiftsbehov'!E5</f>
        <v>0.27176674000000001</v>
      </c>
      <c r="F5" s="3">
        <f>+'2022 Revekting utgiftsbehov'!F5</f>
        <v>1.7543052799999999</v>
      </c>
      <c r="G5" s="3">
        <f>+'2022 Revekting utgiftsbehov'!G5</f>
        <v>1.1954999999999999E-3</v>
      </c>
      <c r="H5" s="3">
        <f>+'2022 Revekting utgiftsbehov'!H5</f>
        <v>0.87472398000000007</v>
      </c>
      <c r="I5" s="5">
        <f>+'2022 Nto driftsutg landet'!$C$35*(D5-1)*C5</f>
        <v>0</v>
      </c>
      <c r="J5" s="5">
        <f t="shared" ref="J5:J15" si="1">+I5-$I$17*C5/$C$17</f>
        <v>0</v>
      </c>
      <c r="K5" s="5">
        <f t="shared" ref="K5:K15" si="2">J5/C5</f>
        <v>0</v>
      </c>
      <c r="L5" s="5">
        <f t="shared" ref="L5:L15" si="3">+K5</f>
        <v>0</v>
      </c>
      <c r="M5" s="5">
        <f t="shared" ref="M5:M15" si="4">+L5*C5/1000</f>
        <v>0</v>
      </c>
    </row>
    <row r="6" spans="1:13" x14ac:dyDescent="0.25">
      <c r="A6" s="43">
        <v>1100</v>
      </c>
      <c r="B6" s="44" t="s">
        <v>141</v>
      </c>
      <c r="C6" s="44">
        <f>+'2022 Nto driftsutg'!W6</f>
        <v>485797</v>
      </c>
      <c r="D6" s="3">
        <f>+'2022 Revekting utgiftsbehov'!D6</f>
        <v>1.07050008</v>
      </c>
      <c r="E6" s="3">
        <f>+'2022 Revekting utgiftsbehov'!E6</f>
        <v>0.80741668</v>
      </c>
      <c r="F6" s="3">
        <f>+'2022 Revekting utgiftsbehov'!F6</f>
        <v>1.0211484799999999</v>
      </c>
      <c r="G6" s="3">
        <f>+'2022 Revekting utgiftsbehov'!G6</f>
        <v>0.74883710000000003</v>
      </c>
      <c r="H6" s="3">
        <f>+'2022 Revekting utgiftsbehov'!H6</f>
        <v>1.0760788699999999</v>
      </c>
      <c r="I6" s="5">
        <f>+'2022 Nto driftsutg landet'!$C$35*(D6-1)*C6</f>
        <v>0</v>
      </c>
      <c r="J6" s="5">
        <f t="shared" si="1"/>
        <v>0</v>
      </c>
      <c r="K6" s="5">
        <f t="shared" si="2"/>
        <v>0</v>
      </c>
      <c r="L6" s="5">
        <f t="shared" si="3"/>
        <v>0</v>
      </c>
      <c r="M6" s="5">
        <f t="shared" si="4"/>
        <v>0</v>
      </c>
    </row>
    <row r="7" spans="1:13" x14ac:dyDescent="0.25">
      <c r="A7" s="43">
        <v>1500</v>
      </c>
      <c r="B7" s="44" t="s">
        <v>142</v>
      </c>
      <c r="C7" s="44">
        <f>+'2022 Nto driftsutg'!W7</f>
        <v>265848</v>
      </c>
      <c r="D7" s="3">
        <f>+'2022 Revekting utgiftsbehov'!D7</f>
        <v>1.11393319</v>
      </c>
      <c r="E7" s="3">
        <f>+'2022 Revekting utgiftsbehov'!E7</f>
        <v>1.5473002600000001</v>
      </c>
      <c r="F7" s="3">
        <f>+'2022 Revekting utgiftsbehov'!F7</f>
        <v>0.9953996799999999</v>
      </c>
      <c r="G7" s="3">
        <f>+'2022 Revekting utgiftsbehov'!G7</f>
        <v>3.08348662</v>
      </c>
      <c r="H7" s="3">
        <f>+'2022 Revekting utgiftsbehov'!H7</f>
        <v>1.03004516</v>
      </c>
      <c r="I7" s="5">
        <f>+'2022 Nto driftsutg landet'!$C$35*(D7-1)*C7</f>
        <v>0</v>
      </c>
      <c r="J7" s="5">
        <f t="shared" si="1"/>
        <v>0</v>
      </c>
      <c r="K7" s="5">
        <f t="shared" si="2"/>
        <v>0</v>
      </c>
      <c r="L7" s="5">
        <f t="shared" si="3"/>
        <v>0</v>
      </c>
      <c r="M7" s="5">
        <f t="shared" si="4"/>
        <v>0</v>
      </c>
    </row>
    <row r="8" spans="1:13" x14ac:dyDescent="0.25">
      <c r="A8" s="43">
        <v>1800</v>
      </c>
      <c r="B8" s="44" t="s">
        <v>143</v>
      </c>
      <c r="C8" s="44">
        <f>+'2022 Nto driftsutg'!W8</f>
        <v>240190</v>
      </c>
      <c r="D8" s="3">
        <f>+'2022 Revekting utgiftsbehov'!D8</f>
        <v>1.0739446699999999</v>
      </c>
      <c r="E8" s="3">
        <f>+'2022 Revekting utgiftsbehov'!E8</f>
        <v>1.75356388</v>
      </c>
      <c r="F8" s="3">
        <f>+'2022 Revekting utgiftsbehov'!F8</f>
        <v>1.0204600800000001</v>
      </c>
      <c r="G8" s="3">
        <f>+'2022 Revekting utgiftsbehov'!G8</f>
        <v>5.3669618200000002</v>
      </c>
      <c r="H8" s="3">
        <f>+'2022 Revekting utgiftsbehov'!H8</f>
        <v>0.98230778000000007</v>
      </c>
      <c r="I8" s="5">
        <f>+'2022 Nto driftsutg landet'!$C$35*(D8-1)*C8</f>
        <v>0</v>
      </c>
      <c r="J8" s="5">
        <f t="shared" si="1"/>
        <v>0</v>
      </c>
      <c r="K8" s="5">
        <f t="shared" si="2"/>
        <v>0</v>
      </c>
      <c r="L8" s="5">
        <f t="shared" si="3"/>
        <v>0</v>
      </c>
      <c r="M8" s="5">
        <f t="shared" si="4"/>
        <v>0</v>
      </c>
    </row>
    <row r="9" spans="1:13" x14ac:dyDescent="0.25">
      <c r="A9" s="43">
        <v>3000</v>
      </c>
      <c r="B9" s="44" t="s">
        <v>391</v>
      </c>
      <c r="C9" s="44">
        <f>+'2022 Nto driftsutg'!W9</f>
        <v>1269230</v>
      </c>
      <c r="D9" s="3">
        <f>+'2022 Revekting utgiftsbehov'!D9</f>
        <v>1.0186378599999999</v>
      </c>
      <c r="E9" s="3">
        <f>+'2022 Revekting utgiftsbehov'!E9</f>
        <v>0.64148788000000012</v>
      </c>
      <c r="F9" s="3">
        <f>+'2022 Revekting utgiftsbehov'!F9</f>
        <v>0.65952591999999999</v>
      </c>
      <c r="G9" s="3">
        <f>+'2022 Revekting utgiftsbehov'!G9</f>
        <v>6.9758440000000005E-2</v>
      </c>
      <c r="H9" s="3">
        <f>+'2022 Revekting utgiftsbehov'!H9</f>
        <v>1.0247303400000001</v>
      </c>
      <c r="I9" s="5">
        <f>+'2022 Nto driftsutg landet'!$C$35*(D9-1)*C9</f>
        <v>0</v>
      </c>
      <c r="J9" s="5">
        <f t="shared" si="1"/>
        <v>0</v>
      </c>
      <c r="K9" s="5">
        <f t="shared" si="2"/>
        <v>0</v>
      </c>
      <c r="L9" s="5">
        <f t="shared" si="3"/>
        <v>0</v>
      </c>
      <c r="M9" s="5">
        <f t="shared" si="4"/>
        <v>0</v>
      </c>
    </row>
    <row r="10" spans="1:13" x14ac:dyDescent="0.25">
      <c r="A10" s="43">
        <v>3400</v>
      </c>
      <c r="B10" s="44" t="s">
        <v>392</v>
      </c>
      <c r="C10" s="44">
        <f>+'2022 Nto driftsutg'!W10</f>
        <v>371253</v>
      </c>
      <c r="D10" s="3">
        <f>+'2022 Revekting utgiftsbehov'!D10</f>
        <v>1.0114143099999999</v>
      </c>
      <c r="E10" s="3">
        <f>+'2022 Revekting utgiftsbehov'!E10</f>
        <v>1.5407690200000002</v>
      </c>
      <c r="F10" s="3">
        <f>+'2022 Revekting utgiftsbehov'!F10</f>
        <v>1.0059225599999999</v>
      </c>
      <c r="G10" s="3">
        <f>+'2022 Revekting utgiftsbehov'!G10</f>
        <v>3.7465999999999999E-2</v>
      </c>
      <c r="H10" s="3">
        <f>+'2022 Revekting utgiftsbehov'!H10</f>
        <v>0.9667207000000001</v>
      </c>
      <c r="I10" s="5">
        <f>+'2022 Nto driftsutg landet'!$C$35*(D10-1)*C10</f>
        <v>0</v>
      </c>
      <c r="J10" s="5">
        <f t="shared" si="1"/>
        <v>0</v>
      </c>
      <c r="K10" s="5">
        <f t="shared" si="2"/>
        <v>0</v>
      </c>
      <c r="L10" s="5">
        <f t="shared" si="3"/>
        <v>0</v>
      </c>
      <c r="M10" s="5">
        <f t="shared" si="4"/>
        <v>0</v>
      </c>
    </row>
    <row r="11" spans="1:13" x14ac:dyDescent="0.25">
      <c r="A11" s="43">
        <v>3800</v>
      </c>
      <c r="B11" s="44" t="s">
        <v>393</v>
      </c>
      <c r="C11" s="44">
        <f>+'2022 Nto driftsutg'!W11</f>
        <v>424832</v>
      </c>
      <c r="D11" s="3">
        <f>+'2022 Revekting utgiftsbehov'!D11</f>
        <v>1.01806916</v>
      </c>
      <c r="E11" s="3">
        <f>+'2022 Revekting utgiftsbehov'!E11</f>
        <v>0.95163352000000012</v>
      </c>
      <c r="F11" s="3">
        <f>+'2022 Revekting utgiftsbehov'!F11</f>
        <v>0.72960991999999991</v>
      </c>
      <c r="G11" s="3">
        <f>+'2022 Revekting utgiftsbehov'!G11</f>
        <v>0.13406012</v>
      </c>
      <c r="H11" s="3">
        <f>+'2022 Revekting utgiftsbehov'!H11</f>
        <v>0.99232936000000005</v>
      </c>
      <c r="I11" s="5">
        <f>+'2022 Nto driftsutg landet'!$C$35*(D11-1)*C11</f>
        <v>0</v>
      </c>
      <c r="J11" s="5">
        <f t="shared" si="1"/>
        <v>0</v>
      </c>
      <c r="K11" s="5">
        <f t="shared" si="2"/>
        <v>0</v>
      </c>
      <c r="L11" s="5">
        <f t="shared" si="3"/>
        <v>0</v>
      </c>
      <c r="M11" s="5">
        <f t="shared" si="4"/>
        <v>0</v>
      </c>
    </row>
    <row r="12" spans="1:13" x14ac:dyDescent="0.25">
      <c r="A12" s="43">
        <v>4200</v>
      </c>
      <c r="B12" s="44" t="s">
        <v>394</v>
      </c>
      <c r="C12" s="44">
        <f>+'2022 Nto driftsutg'!W12</f>
        <v>311134</v>
      </c>
      <c r="D12" s="3">
        <f>+'2022 Revekting utgiftsbehov'!D12</f>
        <v>1.0686202599999999</v>
      </c>
      <c r="E12" s="3">
        <f>+'2022 Revekting utgiftsbehov'!E12</f>
        <v>1.15154242</v>
      </c>
      <c r="F12" s="3">
        <f>+'2022 Revekting utgiftsbehov'!F12</f>
        <v>0.82527287999999999</v>
      </c>
      <c r="G12" s="3">
        <f>+'2022 Revekting utgiftsbehov'!G12</f>
        <v>0.22924375999999999</v>
      </c>
      <c r="H12" s="3">
        <f>+'2022 Revekting utgiftsbehov'!H12</f>
        <v>1.0503528199999999</v>
      </c>
      <c r="I12" s="5">
        <f>+'2022 Nto driftsutg landet'!$C$35*(D12-1)*C12</f>
        <v>0</v>
      </c>
      <c r="J12" s="5">
        <f t="shared" si="1"/>
        <v>0</v>
      </c>
      <c r="K12" s="5">
        <f t="shared" si="2"/>
        <v>0</v>
      </c>
      <c r="L12" s="5">
        <f t="shared" si="3"/>
        <v>0</v>
      </c>
      <c r="M12" s="5">
        <f t="shared" si="4"/>
        <v>0</v>
      </c>
    </row>
    <row r="13" spans="1:13" x14ac:dyDescent="0.25">
      <c r="A13" s="43">
        <v>4600</v>
      </c>
      <c r="B13" s="44" t="s">
        <v>395</v>
      </c>
      <c r="C13" s="44">
        <f>+'2022 Nto driftsutg'!W13</f>
        <v>641292</v>
      </c>
      <c r="D13" s="3">
        <f>+'2022 Revekting utgiftsbehov'!D13</f>
        <v>1.0600025</v>
      </c>
      <c r="E13" s="3">
        <f>+'2022 Revekting utgiftsbehov'!E13</f>
        <v>1.1855225199999999</v>
      </c>
      <c r="F13" s="3">
        <f>+'2022 Revekting utgiftsbehov'!F13</f>
        <v>1.0005352000000001</v>
      </c>
      <c r="G13" s="3">
        <f>+'2022 Revekting utgiftsbehov'!G13</f>
        <v>2.1551446599999999</v>
      </c>
      <c r="H13" s="3">
        <f>+'2022 Revekting utgiftsbehov'!H13</f>
        <v>1.0314929100000001</v>
      </c>
      <c r="I13" s="5">
        <f>+'2022 Nto driftsutg landet'!$C$35*(D13-1)*C13</f>
        <v>0</v>
      </c>
      <c r="J13" s="5">
        <f t="shared" si="1"/>
        <v>0</v>
      </c>
      <c r="K13" s="5">
        <f t="shared" si="2"/>
        <v>0</v>
      </c>
      <c r="L13" s="5">
        <f t="shared" si="3"/>
        <v>0</v>
      </c>
      <c r="M13" s="5">
        <f t="shared" si="4"/>
        <v>0</v>
      </c>
    </row>
    <row r="14" spans="1:13" x14ac:dyDescent="0.25">
      <c r="A14" s="43">
        <v>5000</v>
      </c>
      <c r="B14" s="44" t="s">
        <v>390</v>
      </c>
      <c r="C14" s="44">
        <f>+'2022 Nto driftsutg'!W14</f>
        <v>474131</v>
      </c>
      <c r="D14" s="3">
        <f>+'2022 Revekting utgiftsbehov'!D14</f>
        <v>1.02035371</v>
      </c>
      <c r="E14" s="3">
        <f>+'2022 Revekting utgiftsbehov'!E14</f>
        <v>1.2804020200000001</v>
      </c>
      <c r="F14" s="3">
        <f>+'2022 Revekting utgiftsbehov'!F14</f>
        <v>1.0615868000000002</v>
      </c>
      <c r="G14" s="3">
        <f>+'2022 Revekting utgiftsbehov'!G14</f>
        <v>1.2282993799999999</v>
      </c>
      <c r="H14" s="3">
        <f>+'2022 Revekting utgiftsbehov'!H14</f>
        <v>1.0043769899999999</v>
      </c>
      <c r="I14" s="5">
        <f>+'2022 Nto driftsutg landet'!$C$35*(D14-1)*C14</f>
        <v>0</v>
      </c>
      <c r="J14" s="5">
        <f t="shared" si="1"/>
        <v>0</v>
      </c>
      <c r="K14" s="5">
        <f t="shared" si="2"/>
        <v>0</v>
      </c>
      <c r="L14" s="5">
        <f t="shared" si="3"/>
        <v>0</v>
      </c>
      <c r="M14" s="5">
        <f t="shared" si="4"/>
        <v>0</v>
      </c>
    </row>
    <row r="15" spans="1:13" x14ac:dyDescent="0.25">
      <c r="A15" s="43">
        <v>5400</v>
      </c>
      <c r="B15" s="44" t="s">
        <v>396</v>
      </c>
      <c r="C15" s="44">
        <f>+'2022 Nto driftsutg'!W15</f>
        <v>241736</v>
      </c>
      <c r="D15" s="3">
        <f>+'2022 Revekting utgiftsbehov'!D15</f>
        <v>1.0642349100000001</v>
      </c>
      <c r="E15" s="3">
        <f>+'2022 Revekting utgiftsbehov'!E15</f>
        <v>2.0654747200000001</v>
      </c>
      <c r="F15" s="3">
        <f>+'2022 Revekting utgiftsbehov'!F15</f>
        <v>1.1215987199999999</v>
      </c>
      <c r="G15" s="3">
        <f>+'2022 Revekting utgiftsbehov'!G15</f>
        <v>3.1805990999999998</v>
      </c>
      <c r="H15" s="3">
        <f>+'2022 Revekting utgiftsbehov'!H15</f>
        <v>0.97130740000000015</v>
      </c>
      <c r="I15" s="5">
        <f>+'2022 Nto driftsutg landet'!$C$35*(D15-1)*C15</f>
        <v>0</v>
      </c>
      <c r="J15" s="5">
        <f t="shared" si="1"/>
        <v>0</v>
      </c>
      <c r="K15" s="5">
        <f t="shared" si="2"/>
        <v>0</v>
      </c>
      <c r="L15" s="5">
        <f t="shared" si="3"/>
        <v>0</v>
      </c>
      <c r="M15" s="5">
        <f t="shared" si="4"/>
        <v>0</v>
      </c>
    </row>
    <row r="16" spans="1:13" x14ac:dyDescent="0.25">
      <c r="B16" s="45"/>
      <c r="C16" s="45"/>
      <c r="D16" s="4"/>
      <c r="E16" s="4"/>
      <c r="F16" s="4"/>
      <c r="G16" s="4"/>
      <c r="H16" s="4"/>
    </row>
    <row r="17" spans="2:13" x14ac:dyDescent="0.25">
      <c r="B17" s="44" t="s">
        <v>3</v>
      </c>
      <c r="C17" s="5">
        <f>SUM(C5:C16)</f>
        <v>5425270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5">
        <f>SUM(I5:I15)</f>
        <v>0</v>
      </c>
      <c r="J17" s="5">
        <f>SUM(J5:J15)</f>
        <v>0</v>
      </c>
      <c r="K17" s="5">
        <f>SUM(K5:K15)</f>
        <v>0</v>
      </c>
      <c r="L17" s="5">
        <f>SUM(L5:L15)</f>
        <v>0</v>
      </c>
      <c r="M17" s="5">
        <f>SUM(M5:M15)</f>
        <v>0</v>
      </c>
    </row>
  </sheetData>
  <sheetProtection algorithmName="SHA-512" hashValue="O8Yqe5n2zq8VzEJ93JDaQe4uA9GeRcnWmcQ+xyuGpKGJq1ZNEJi/eqSokcu/xMRAy5xTKxanV18GjLWz8X0dNw==" saltValue="N/aEPRijChNZ/LJGD/7cSQ==" spinCount="100000" sheet="1" objects="1" scenarios="1" selectLockedCells="1" selectUnlockedCells="1"/>
  <mergeCells count="1">
    <mergeCell ref="D1:H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BA68C-5A08-40D7-8F44-F933EC8002BB}">
  <dimension ref="A1:AM21"/>
  <sheetViews>
    <sheetView workbookViewId="0">
      <selection activeCell="G30" sqref="G30"/>
    </sheetView>
  </sheetViews>
  <sheetFormatPr baseColWidth="10" defaultRowHeight="15" x14ac:dyDescent="0.25"/>
  <cols>
    <col min="1" max="1" width="9.85546875" customWidth="1"/>
    <col min="2" max="2" width="18.5703125" customWidth="1"/>
    <col min="3" max="3" width="13.140625" customWidth="1"/>
    <col min="6" max="7" width="14.85546875" customWidth="1"/>
    <col min="8" max="8" width="11.5703125" customWidth="1"/>
    <col min="9" max="9" width="4.5703125" customWidth="1"/>
    <col min="25" max="25" width="4.42578125" customWidth="1"/>
  </cols>
  <sheetData>
    <row r="1" spans="1:39" ht="15" customHeight="1" x14ac:dyDescent="0.25">
      <c r="D1" s="119" t="s">
        <v>82</v>
      </c>
      <c r="E1" s="118"/>
      <c r="F1" s="118"/>
      <c r="G1" s="118"/>
      <c r="H1" s="118"/>
      <c r="J1" s="120" t="s">
        <v>249</v>
      </c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Z1" s="121" t="s">
        <v>99</v>
      </c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spans="1:39" ht="77.25" x14ac:dyDescent="0.25">
      <c r="A2" s="24" t="s">
        <v>2</v>
      </c>
      <c r="B2" s="24" t="s">
        <v>1</v>
      </c>
      <c r="C2" s="24" t="s">
        <v>9</v>
      </c>
      <c r="D2" s="24" t="s">
        <v>174</v>
      </c>
      <c r="E2" s="24" t="s">
        <v>175</v>
      </c>
      <c r="F2" s="24" t="s">
        <v>278</v>
      </c>
      <c r="G2" s="24" t="s">
        <v>279</v>
      </c>
      <c r="H2" s="24" t="s">
        <v>240</v>
      </c>
      <c r="I2" s="24"/>
      <c r="J2" s="24" t="s">
        <v>241</v>
      </c>
      <c r="K2" s="24" t="s">
        <v>242</v>
      </c>
      <c r="L2" s="24" t="s">
        <v>298</v>
      </c>
      <c r="M2" s="24" t="s">
        <v>299</v>
      </c>
      <c r="N2" s="24" t="s">
        <v>243</v>
      </c>
      <c r="O2" s="13" t="s">
        <v>77</v>
      </c>
      <c r="P2" s="24" t="s">
        <v>78</v>
      </c>
      <c r="Q2" s="24" t="s">
        <v>244</v>
      </c>
      <c r="R2" s="24" t="s">
        <v>245</v>
      </c>
      <c r="S2" s="24" t="s">
        <v>79</v>
      </c>
      <c r="T2" s="24" t="s">
        <v>246</v>
      </c>
      <c r="U2" s="24" t="s">
        <v>80</v>
      </c>
      <c r="V2" s="24" t="s">
        <v>247</v>
      </c>
      <c r="W2" s="24" t="s">
        <v>248</v>
      </c>
      <c r="X2" s="24" t="s">
        <v>81</v>
      </c>
      <c r="Z2" s="24" t="s">
        <v>241</v>
      </c>
      <c r="AA2" s="24" t="s">
        <v>242</v>
      </c>
      <c r="AB2" s="24" t="s">
        <v>298</v>
      </c>
      <c r="AC2" s="24" t="s">
        <v>299</v>
      </c>
      <c r="AD2" s="24" t="s">
        <v>243</v>
      </c>
      <c r="AE2" s="13" t="s">
        <v>77</v>
      </c>
      <c r="AF2" s="24" t="s">
        <v>78</v>
      </c>
      <c r="AG2" s="24" t="s">
        <v>244</v>
      </c>
      <c r="AH2" s="24" t="s">
        <v>245</v>
      </c>
      <c r="AI2" s="24" t="s">
        <v>79</v>
      </c>
      <c r="AJ2" s="24" t="s">
        <v>246</v>
      </c>
      <c r="AK2" s="24" t="s">
        <v>80</v>
      </c>
      <c r="AL2" s="24" t="s">
        <v>247</v>
      </c>
      <c r="AM2" s="24" t="s">
        <v>248</v>
      </c>
    </row>
    <row r="3" spans="1:39" x14ac:dyDescent="0.25">
      <c r="A3" s="107">
        <v>1</v>
      </c>
      <c r="B3" s="107">
        <f t="shared" ref="B3:J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07">
        <f t="shared" si="0"/>
        <v>10</v>
      </c>
      <c r="K3" s="107">
        <f t="shared" ref="K3:X3" si="1">J3+1</f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  <c r="S3" s="107">
        <f t="shared" si="1"/>
        <v>19</v>
      </c>
      <c r="T3" s="107">
        <f t="shared" si="1"/>
        <v>20</v>
      </c>
      <c r="U3" s="107">
        <f t="shared" si="1"/>
        <v>21</v>
      </c>
      <c r="V3" s="107">
        <f t="shared" si="1"/>
        <v>22</v>
      </c>
      <c r="W3" s="107">
        <f t="shared" si="1"/>
        <v>23</v>
      </c>
      <c r="X3" s="107">
        <f t="shared" si="1"/>
        <v>24</v>
      </c>
      <c r="Y3" s="102">
        <f>+X3+1</f>
        <v>25</v>
      </c>
      <c r="Z3" s="102">
        <f>+Y3+1</f>
        <v>26</v>
      </c>
      <c r="AA3" s="107">
        <f t="shared" ref="AA3:AM3" si="2">Z3+1</f>
        <v>27</v>
      </c>
      <c r="AB3" s="107">
        <f t="shared" si="2"/>
        <v>28</v>
      </c>
      <c r="AC3" s="107">
        <f t="shared" si="2"/>
        <v>29</v>
      </c>
      <c r="AD3" s="107">
        <f t="shared" si="2"/>
        <v>30</v>
      </c>
      <c r="AE3" s="107">
        <f t="shared" si="2"/>
        <v>31</v>
      </c>
      <c r="AF3" s="107">
        <f t="shared" si="2"/>
        <v>32</v>
      </c>
      <c r="AG3" s="107">
        <f t="shared" si="2"/>
        <v>33</v>
      </c>
      <c r="AH3" s="107">
        <f t="shared" si="2"/>
        <v>34</v>
      </c>
      <c r="AI3" s="107">
        <f t="shared" si="2"/>
        <v>35</v>
      </c>
      <c r="AJ3" s="107">
        <f t="shared" si="2"/>
        <v>36</v>
      </c>
      <c r="AK3" s="107">
        <f t="shared" si="2"/>
        <v>37</v>
      </c>
      <c r="AL3" s="107">
        <f t="shared" si="2"/>
        <v>38</v>
      </c>
      <c r="AM3" s="107">
        <f t="shared" si="2"/>
        <v>39</v>
      </c>
    </row>
    <row r="5" spans="1:39" x14ac:dyDescent="0.25">
      <c r="A5" s="43">
        <v>300</v>
      </c>
      <c r="B5" s="44" t="s">
        <v>0</v>
      </c>
      <c r="C5" s="1">
        <v>-54603.045512960001</v>
      </c>
      <c r="D5" s="3">
        <v>0.71024135999999993</v>
      </c>
      <c r="E5" s="3">
        <v>0.27176674000000001</v>
      </c>
      <c r="F5" s="3">
        <v>1.7543052799999999</v>
      </c>
      <c r="G5" s="3">
        <v>1.1954999999999999E-3</v>
      </c>
      <c r="H5" s="3">
        <v>0.87472398000000007</v>
      </c>
      <c r="I5" s="3"/>
      <c r="J5" s="46">
        <f>IF('2022 Lønnsgr arbavg tjeneste'!D5=0,0,'2022 Arbavg tjeneste'!D5/'2022 Lønnsgr arbavg tjeneste'!D5)</f>
        <v>0.14282758972019127</v>
      </c>
      <c r="K5" s="46">
        <f>IF('2022 Lønnsgr arbavg tjeneste'!E5=0,0,'2022 Arbavg tjeneste'!E5/'2022 Lønnsgr arbavg tjeneste'!E5)</f>
        <v>0</v>
      </c>
      <c r="L5" s="46">
        <f>IF('2022 Lønnsgr arbavg tjeneste'!F5=0,0,'2022 Arbavg tjeneste'!F5/'2022 Lønnsgr arbavg tjeneste'!F5)</f>
        <v>0.14022180342128154</v>
      </c>
      <c r="M5" s="46">
        <f>IF('2022 Lønnsgr arbavg tjeneste'!G5=0,0,'2022 Arbavg tjeneste'!G5/'2022 Lønnsgr arbavg tjeneste'!G5)</f>
        <v>0</v>
      </c>
      <c r="N5" s="46">
        <f>IF('2022 Lønnsgr arbavg tjeneste'!H5=0,0,'2022 Arbavg tjeneste'!H5/'2022 Lønnsgr arbavg tjeneste'!H5)</f>
        <v>0.13682912607206199</v>
      </c>
      <c r="O5" s="46">
        <f>IF('2022 Lønnsgr arbavg tjeneste'!I5=0,0,'2022 Arbavg tjeneste'!I5/'2022 Lønnsgr arbavg tjeneste'!I5)</f>
        <v>0.17468847093685386</v>
      </c>
      <c r="P5" s="46">
        <f>IF('2022 Lønnsgr arbavg tjeneste'!J5=0,0,'2022 Arbavg tjeneste'!J5/'2022 Lønnsgr arbavg tjeneste'!J5)</f>
        <v>0</v>
      </c>
      <c r="Q5" s="46">
        <f>IF('2022 Lønnsgr arbavg tjeneste'!K5=0,0,'2022 Arbavg tjeneste'!K5/'2022 Lønnsgr arbavg tjeneste'!K5)</f>
        <v>0.17714910578856397</v>
      </c>
      <c r="R5" s="46">
        <f>IF('2022 Lønnsgr arbavg tjeneste'!L5=0,0,'2022 Arbavg tjeneste'!L5/'2022 Lønnsgr arbavg tjeneste'!L5)</f>
        <v>0</v>
      </c>
      <c r="S5" s="46">
        <f>IF('2022 Lønnsgr arbavg tjeneste'!M5=0,0,'2022 Arbavg tjeneste'!M5/'2022 Lønnsgr arbavg tjeneste'!M5)</f>
        <v>0.13728963684676704</v>
      </c>
      <c r="T5" s="46">
        <f>IF('2022 Lønnsgr arbavg tjeneste'!N5=0,0,'2022 Arbavg tjeneste'!N5/'2022 Lønnsgr arbavg tjeneste'!N5)</f>
        <v>0.13552168815943727</v>
      </c>
      <c r="U5" s="46">
        <f>IF('2022 Lønnsgr arbavg tjeneste'!O5=0,0,'2022 Arbavg tjeneste'!O5/'2022 Lønnsgr arbavg tjeneste'!O5)</f>
        <v>0</v>
      </c>
      <c r="V5" s="46">
        <f>IF('2022 Lønnsgr arbavg tjeneste'!P5=0,0,'2022 Arbavg tjeneste'!P5/'2022 Lønnsgr arbavg tjeneste'!P5)</f>
        <v>0</v>
      </c>
      <c r="W5" s="46">
        <f>IF('2022 Lønnsgr arbavg tjeneste'!Q5=0,0,'2022 Arbavg tjeneste'!Q5/'2022 Lønnsgr arbavg tjeneste'!Q5)</f>
        <v>0</v>
      </c>
      <c r="X5" s="46">
        <f>IF('2022 Lønnsgr arbavg tjeneste'!R5=0,0,'2022 Arbavg tjeneste'!R5/'2022 Lønnsgr arbavg tjeneste'!R5)</f>
        <v>8.0553331429931666E-2</v>
      </c>
      <c r="Z5" s="46">
        <f>IF('2022 Lønnsgr pensjon tjeneste'!D5=0,0,'2022 Pensjon tjeneste'!D5/'2022 Lønnsgr pensjon tjeneste'!D5)</f>
        <v>0.12358104923342937</v>
      </c>
      <c r="AA5" s="46">
        <f>IF('2022 Lønnsgr pensjon tjeneste'!E5=0,0,'2022 Pensjon tjeneste'!E5/'2022 Lønnsgr pensjon tjeneste'!E5)</f>
        <v>0</v>
      </c>
      <c r="AB5" s="46">
        <f>IF('2022 Lønnsgr pensjon tjeneste'!F5=0,0,'2022 Pensjon tjeneste'!F5/'2022 Lønnsgr pensjon tjeneste'!F5)</f>
        <v>0.2518488271856994</v>
      </c>
      <c r="AC5" s="46">
        <f>IF('2022 Lønnsgr pensjon tjeneste'!G5=0,0,'2022 Pensjon tjeneste'!G5/'2022 Lønnsgr pensjon tjeneste'!G5)</f>
        <v>0</v>
      </c>
      <c r="AD5" s="46">
        <f>IF('2022 Lønnsgr pensjon tjeneste'!H5=0,0,'2022 Pensjon tjeneste'!H5/'2022 Lønnsgr pensjon tjeneste'!H5)</f>
        <v>0.38063012067389534</v>
      </c>
      <c r="AE5" s="46">
        <f>IF('2022 Lønnsgr pensjon tjeneste'!I5=0,0,'2022 Pensjon tjeneste'!I5/'2022 Lønnsgr pensjon tjeneste'!I5)</f>
        <v>0.54144154892369578</v>
      </c>
      <c r="AF5" s="46">
        <f>IF('2022 Lønnsgr pensjon tjeneste'!J5=0,0,'2022 Pensjon tjeneste'!J5/'2022 Lønnsgr pensjon tjeneste'!J5)</f>
        <v>0</v>
      </c>
      <c r="AG5" s="46">
        <f>IF('2022 Lønnsgr pensjon tjeneste'!K5=0,0,'2022 Pensjon tjeneste'!K5/'2022 Lønnsgr pensjon tjeneste'!K5)</f>
        <v>0.5571240250466879</v>
      </c>
      <c r="AH5" s="46">
        <f>IF('2022 Lønnsgr pensjon tjeneste'!L5=0,0,'2022 Pensjon tjeneste'!L5/'2022 Lønnsgr pensjon tjeneste'!L5)</f>
        <v>0</v>
      </c>
      <c r="AI5" s="46">
        <f>IF('2022 Lønnsgr pensjon tjeneste'!M5=0,0,'2022 Pensjon tjeneste'!M5/'2022 Lønnsgr pensjon tjeneste'!M5)</f>
        <v>0.32823529411764707</v>
      </c>
      <c r="AJ5" s="46">
        <f>IF('2022 Lønnsgr pensjon tjeneste'!N5=0,0,'2022 Pensjon tjeneste'!N5/'2022 Lønnsgr pensjon tjeneste'!N5)</f>
        <v>0.33073322932917315</v>
      </c>
      <c r="AK5" s="46">
        <f>IF('2022 Lønnsgr pensjon tjeneste'!O5=0,0,'2022 Pensjon tjeneste'!O5/'2022 Lønnsgr pensjon tjeneste'!O5)</f>
        <v>0</v>
      </c>
      <c r="AL5" s="46">
        <f>IF('2022 Lønnsgr pensjon tjeneste'!P5=0,0,'2022 Pensjon tjeneste'!P5/'2022 Lønnsgr pensjon tjeneste'!P5)</f>
        <v>0</v>
      </c>
      <c r="AM5" s="46">
        <f>IF('2022 Lønnsgr pensjon tjeneste'!Q5=0,0,'2022 Pensjon tjeneste'!Q5/'2022 Lønnsgr pensjon tjeneste'!Q5)</f>
        <v>0</v>
      </c>
    </row>
    <row r="6" spans="1:39" x14ac:dyDescent="0.25">
      <c r="A6" s="43">
        <v>1100</v>
      </c>
      <c r="B6" s="44" t="s">
        <v>141</v>
      </c>
      <c r="C6" s="1">
        <v>-52452.263250110002</v>
      </c>
      <c r="D6" s="3">
        <v>1.07050008</v>
      </c>
      <c r="E6" s="3">
        <v>0.80741668</v>
      </c>
      <c r="F6" s="3">
        <v>1.0211484799999999</v>
      </c>
      <c r="G6" s="3">
        <v>0.74883710000000003</v>
      </c>
      <c r="H6" s="3">
        <v>1.0760788699999999</v>
      </c>
      <c r="I6" s="3"/>
      <c r="J6" s="46">
        <f>IF('2022 Lønnsgr arbavg tjeneste'!D6=0,0,'2022 Arbavg tjeneste'!D6/'2022 Lønnsgr arbavg tjeneste'!D6)</f>
        <v>0.13992454677801114</v>
      </c>
      <c r="K6" s="46">
        <f>IF('2022 Lønnsgr arbavg tjeneste'!E6=0,0,'2022 Arbavg tjeneste'!E6/'2022 Lønnsgr arbavg tjeneste'!E6)</f>
        <v>0.14095695547755405</v>
      </c>
      <c r="L6" s="46">
        <f>IF('2022 Lønnsgr arbavg tjeneste'!F6=0,0,'2022 Arbavg tjeneste'!F6/'2022 Lønnsgr arbavg tjeneste'!F6)</f>
        <v>0.14074681986048421</v>
      </c>
      <c r="M6" s="46">
        <f>IF('2022 Lønnsgr arbavg tjeneste'!G6=0,0,'2022 Arbavg tjeneste'!G6/'2022 Lønnsgr arbavg tjeneste'!G6)</f>
        <v>0.14184397163120568</v>
      </c>
      <c r="N6" s="46">
        <f>IF('2022 Lønnsgr arbavg tjeneste'!H6=0,0,'2022 Arbavg tjeneste'!H6/'2022 Lønnsgr arbavg tjeneste'!H6)</f>
        <v>0.14033233027633779</v>
      </c>
      <c r="O6" s="46">
        <f>IF('2022 Lønnsgr arbavg tjeneste'!I6=0,0,'2022 Arbavg tjeneste'!I6/'2022 Lønnsgr arbavg tjeneste'!I6)</f>
        <v>0.13903286894209482</v>
      </c>
      <c r="P6" s="46">
        <f>IF('2022 Lønnsgr arbavg tjeneste'!J6=0,0,'2022 Arbavg tjeneste'!J6/'2022 Lønnsgr arbavg tjeneste'!J6)</f>
        <v>0</v>
      </c>
      <c r="Q6" s="46">
        <f>IF('2022 Lønnsgr arbavg tjeneste'!K6=0,0,'2022 Arbavg tjeneste'!K6/'2022 Lønnsgr arbavg tjeneste'!K6)</f>
        <v>0.14100334141987458</v>
      </c>
      <c r="R6" s="46">
        <f>IF('2022 Lønnsgr arbavg tjeneste'!L6=0,0,'2022 Arbavg tjeneste'!L6/'2022 Lønnsgr arbavg tjeneste'!L6)</f>
        <v>0.14111025556411103</v>
      </c>
      <c r="S6" s="46">
        <f>IF('2022 Lønnsgr arbavg tjeneste'!M6=0,0,'2022 Arbavg tjeneste'!M6/'2022 Lønnsgr arbavg tjeneste'!M6)</f>
        <v>0.14145304821357418</v>
      </c>
      <c r="T6" s="46">
        <f>IF('2022 Lønnsgr arbavg tjeneste'!N6=0,0,'2022 Arbavg tjeneste'!N6/'2022 Lønnsgr arbavg tjeneste'!N6)</f>
        <v>0.14210594650740069</v>
      </c>
      <c r="U6" s="46">
        <f>IF('2022 Lønnsgr arbavg tjeneste'!O6=0,0,'2022 Arbavg tjeneste'!O6/'2022 Lønnsgr arbavg tjeneste'!O6)</f>
        <v>0</v>
      </c>
      <c r="V6" s="46">
        <f>IF('2022 Lønnsgr arbavg tjeneste'!P6=0,0,'2022 Arbavg tjeneste'!P6/'2022 Lønnsgr arbavg tjeneste'!P6)</f>
        <v>8.7657942238267145E-2</v>
      </c>
      <c r="W6" s="46">
        <f>IF('2022 Lønnsgr arbavg tjeneste'!Q6=0,0,'2022 Arbavg tjeneste'!Q6/'2022 Lønnsgr arbavg tjeneste'!Q6)</f>
        <v>0</v>
      </c>
      <c r="X6" s="46">
        <f>IF('2022 Lønnsgr arbavg tjeneste'!R6=0,0,'2022 Arbavg tjeneste'!R6/'2022 Lønnsgr arbavg tjeneste'!R6)</f>
        <v>0.14098001642485627</v>
      </c>
      <c r="Z6" s="46">
        <f>IF('2022 Lønnsgr pensjon tjeneste'!D6=0,0,'2022 Pensjon tjeneste'!D6/'2022 Lønnsgr pensjon tjeneste'!D6)</f>
        <v>0.10221168655472236</v>
      </c>
      <c r="AA6" s="46">
        <f>IF('2022 Lønnsgr pensjon tjeneste'!E6=0,0,'2022 Pensjon tjeneste'!E6/'2022 Lønnsgr pensjon tjeneste'!E6)</f>
        <v>0.15971192194864695</v>
      </c>
      <c r="AB6" s="46">
        <f>IF('2022 Lønnsgr pensjon tjeneste'!F6=0,0,'2022 Pensjon tjeneste'!F6/'2022 Lønnsgr pensjon tjeneste'!F6)</f>
        <v>0.16269083969465647</v>
      </c>
      <c r="AC6" s="46">
        <f>IF('2022 Lønnsgr pensjon tjeneste'!G6=0,0,'2022 Pensjon tjeneste'!G6/'2022 Lønnsgr pensjon tjeneste'!G6)</f>
        <v>0.19491525423728814</v>
      </c>
      <c r="AD6" s="46">
        <f>IF('2022 Lønnsgr pensjon tjeneste'!H6=0,0,'2022 Pensjon tjeneste'!H6/'2022 Lønnsgr pensjon tjeneste'!H6)</f>
        <v>0.19033644036565306</v>
      </c>
      <c r="AE6" s="46">
        <f>IF('2022 Lønnsgr pensjon tjeneste'!I6=0,0,'2022 Pensjon tjeneste'!I6/'2022 Lønnsgr pensjon tjeneste'!I6)</f>
        <v>0.15773654821028796</v>
      </c>
      <c r="AF6" s="46">
        <f>IF('2022 Lønnsgr pensjon tjeneste'!J6=0,0,'2022 Pensjon tjeneste'!J6/'2022 Lønnsgr pensjon tjeneste'!J6)</f>
        <v>0</v>
      </c>
      <c r="AG6" s="46">
        <f>IF('2022 Lønnsgr pensjon tjeneste'!K6=0,0,'2022 Pensjon tjeneste'!K6/'2022 Lønnsgr pensjon tjeneste'!K6)</f>
        <v>0.15704828316709329</v>
      </c>
      <c r="AH6" s="46">
        <f>IF('2022 Lønnsgr pensjon tjeneste'!L6=0,0,'2022 Pensjon tjeneste'!L6/'2022 Lønnsgr pensjon tjeneste'!L6)</f>
        <v>0.16499006855897994</v>
      </c>
      <c r="AI6" s="46">
        <f>IF('2022 Lønnsgr pensjon tjeneste'!M6=0,0,'2022 Pensjon tjeneste'!M6/'2022 Lønnsgr pensjon tjeneste'!M6)</f>
        <v>0.16928094424600093</v>
      </c>
      <c r="AJ6" s="46">
        <f>IF('2022 Lønnsgr pensjon tjeneste'!N6=0,0,'2022 Pensjon tjeneste'!N6/'2022 Lønnsgr pensjon tjeneste'!N6)</f>
        <v>0.16529238217716924</v>
      </c>
      <c r="AK6" s="46">
        <f>IF('2022 Lønnsgr pensjon tjeneste'!O6=0,0,'2022 Pensjon tjeneste'!O6/'2022 Lønnsgr pensjon tjeneste'!O6)</f>
        <v>0</v>
      </c>
      <c r="AL6" s="46">
        <f>IF('2022 Lønnsgr pensjon tjeneste'!P6=0,0,'2022 Pensjon tjeneste'!P6/'2022 Lønnsgr pensjon tjeneste'!P6)</f>
        <v>9.4726441892058783E-2</v>
      </c>
      <c r="AM6" s="46">
        <f>IF('2022 Lønnsgr pensjon tjeneste'!Q6=0,0,'2022 Pensjon tjeneste'!Q6/'2022 Lønnsgr pensjon tjeneste'!Q6)</f>
        <v>0</v>
      </c>
    </row>
    <row r="7" spans="1:39" x14ac:dyDescent="0.25">
      <c r="A7" s="43">
        <v>1500</v>
      </c>
      <c r="B7" s="44" t="s">
        <v>142</v>
      </c>
      <c r="C7" s="1">
        <v>64691.95380933</v>
      </c>
      <c r="D7" s="3">
        <v>1.11393319</v>
      </c>
      <c r="E7" s="3">
        <v>1.5473002600000001</v>
      </c>
      <c r="F7" s="3">
        <v>0.9953996799999999</v>
      </c>
      <c r="G7" s="3">
        <v>3.08348662</v>
      </c>
      <c r="H7" s="3">
        <v>1.03004516</v>
      </c>
      <c r="I7" s="3"/>
      <c r="J7" s="46">
        <f>IF('2022 Lønnsgr arbavg tjeneste'!D7=0,0,'2022 Arbavg tjeneste'!D7/'2022 Lønnsgr arbavg tjeneste'!D7)</f>
        <v>0.13438017596552662</v>
      </c>
      <c r="K7" s="46">
        <f>IF('2022 Lønnsgr arbavg tjeneste'!E7=0,0,'2022 Arbavg tjeneste'!E7/'2022 Lønnsgr arbavg tjeneste'!E7)</f>
        <v>0.31510869362044153</v>
      </c>
      <c r="L7" s="46">
        <f>IF('2022 Lønnsgr arbavg tjeneste'!F7=0,0,'2022 Arbavg tjeneste'!F7/'2022 Lønnsgr arbavg tjeneste'!F7)</f>
        <v>0.1660942866063066</v>
      </c>
      <c r="M7" s="46">
        <f>IF('2022 Lønnsgr arbavg tjeneste'!G7=0,0,'2022 Arbavg tjeneste'!G7/'2022 Lønnsgr arbavg tjeneste'!G7)</f>
        <v>0.13776554449855319</v>
      </c>
      <c r="N7" s="46">
        <f>IF('2022 Lønnsgr arbavg tjeneste'!H7=0,0,'2022 Arbavg tjeneste'!H7/'2022 Lønnsgr arbavg tjeneste'!H7)</f>
        <v>0.12691147572799832</v>
      </c>
      <c r="O7" s="46">
        <f>IF('2022 Lønnsgr arbavg tjeneste'!I7=0,0,'2022 Arbavg tjeneste'!I7/'2022 Lønnsgr arbavg tjeneste'!I7)</f>
        <v>0.14165957136254165</v>
      </c>
      <c r="P7" s="46">
        <f>IF('2022 Lønnsgr arbavg tjeneste'!J7=0,0,'2022 Arbavg tjeneste'!J7/'2022 Lønnsgr arbavg tjeneste'!J7)</f>
        <v>0</v>
      </c>
      <c r="Q7" s="46">
        <f>IF('2022 Lønnsgr arbavg tjeneste'!K7=0,0,'2022 Arbavg tjeneste'!K7/'2022 Lønnsgr arbavg tjeneste'!K7)</f>
        <v>0.14426630919079758</v>
      </c>
      <c r="R7" s="46">
        <f>IF('2022 Lønnsgr arbavg tjeneste'!L7=0,0,'2022 Arbavg tjeneste'!L7/'2022 Lønnsgr arbavg tjeneste'!L7)</f>
        <v>0.13736388901544488</v>
      </c>
      <c r="S7" s="46">
        <f>IF('2022 Lønnsgr arbavg tjeneste'!M7=0,0,'2022 Arbavg tjeneste'!M7/'2022 Lønnsgr arbavg tjeneste'!M7)</f>
        <v>0.13739734680985471</v>
      </c>
      <c r="T7" s="46">
        <f>IF('2022 Lønnsgr arbavg tjeneste'!N7=0,0,'2022 Arbavg tjeneste'!N7/'2022 Lønnsgr arbavg tjeneste'!N7)</f>
        <v>0.13686283872508057</v>
      </c>
      <c r="U7" s="46">
        <f>IF('2022 Lønnsgr arbavg tjeneste'!O7=0,0,'2022 Arbavg tjeneste'!O7/'2022 Lønnsgr arbavg tjeneste'!O7)</f>
        <v>0</v>
      </c>
      <c r="V7" s="46">
        <f>IF('2022 Lønnsgr arbavg tjeneste'!P7=0,0,'2022 Arbavg tjeneste'!P7/'2022 Lønnsgr arbavg tjeneste'!P7)</f>
        <v>0</v>
      </c>
      <c r="W7" s="46">
        <f>IF('2022 Lønnsgr arbavg tjeneste'!Q7=0,0,'2022 Arbavg tjeneste'!Q7/'2022 Lønnsgr arbavg tjeneste'!Q7)</f>
        <v>0</v>
      </c>
      <c r="X7" s="46">
        <f>IF('2022 Lønnsgr arbavg tjeneste'!R7=0,0,'2022 Arbavg tjeneste'!R7/'2022 Lønnsgr arbavg tjeneste'!R7)</f>
        <v>0.45465156997782186</v>
      </c>
      <c r="Z7" s="46">
        <f>IF('2022 Lønnsgr pensjon tjeneste'!D7=0,0,'2022 Pensjon tjeneste'!D7/'2022 Lønnsgr pensjon tjeneste'!D7)</f>
        <v>9.9002897757090383E-2</v>
      </c>
      <c r="AA7" s="46">
        <f>IF('2022 Lønnsgr pensjon tjeneste'!E7=0,0,'2022 Pensjon tjeneste'!E7/'2022 Lønnsgr pensjon tjeneste'!E7)</f>
        <v>0.48752954261087167</v>
      </c>
      <c r="AB7" s="46">
        <f>IF('2022 Lønnsgr pensjon tjeneste'!F7=0,0,'2022 Pensjon tjeneste'!F7/'2022 Lønnsgr pensjon tjeneste'!F7)</f>
        <v>0.25821657718999608</v>
      </c>
      <c r="AC7" s="46">
        <f>IF('2022 Lønnsgr pensjon tjeneste'!G7=0,0,'2022 Pensjon tjeneste'!G7/'2022 Lønnsgr pensjon tjeneste'!G7)</f>
        <v>0.19640293844465084</v>
      </c>
      <c r="AD7" s="46">
        <f>IF('2022 Lønnsgr pensjon tjeneste'!H7=0,0,'2022 Pensjon tjeneste'!H7/'2022 Lønnsgr pensjon tjeneste'!H7)</f>
        <v>0.20891378518149201</v>
      </c>
      <c r="AE7" s="46">
        <f>IF('2022 Lønnsgr pensjon tjeneste'!I7=0,0,'2022 Pensjon tjeneste'!I7/'2022 Lønnsgr pensjon tjeneste'!I7)</f>
        <v>0.1937702194885377</v>
      </c>
      <c r="AF7" s="46">
        <f>IF('2022 Lønnsgr pensjon tjeneste'!J7=0,0,'2022 Pensjon tjeneste'!J7/'2022 Lønnsgr pensjon tjeneste'!J7)</f>
        <v>0</v>
      </c>
      <c r="AG7" s="46">
        <f>IF('2022 Lønnsgr pensjon tjeneste'!K7=0,0,'2022 Pensjon tjeneste'!K7/'2022 Lønnsgr pensjon tjeneste'!K7)</f>
        <v>0.19268234076374255</v>
      </c>
      <c r="AH7" s="46">
        <f>IF('2022 Lønnsgr pensjon tjeneste'!L7=0,0,'2022 Pensjon tjeneste'!L7/'2022 Lønnsgr pensjon tjeneste'!L7)</f>
        <v>0.19106794009116562</v>
      </c>
      <c r="AI7" s="46">
        <f>IF('2022 Lønnsgr pensjon tjeneste'!M7=0,0,'2022 Pensjon tjeneste'!M7/'2022 Lønnsgr pensjon tjeneste'!M7)</f>
        <v>0.19688492363526389</v>
      </c>
      <c r="AJ7" s="46">
        <f>IF('2022 Lønnsgr pensjon tjeneste'!N7=0,0,'2022 Pensjon tjeneste'!N7/'2022 Lønnsgr pensjon tjeneste'!N7)</f>
        <v>0.20645207748253763</v>
      </c>
      <c r="AK7" s="46">
        <f>IF('2022 Lønnsgr pensjon tjeneste'!O7=0,0,'2022 Pensjon tjeneste'!O7/'2022 Lønnsgr pensjon tjeneste'!O7)</f>
        <v>0</v>
      </c>
      <c r="AL7" s="46">
        <f>IF('2022 Lønnsgr pensjon tjeneste'!P7=0,0,'2022 Pensjon tjeneste'!P7/'2022 Lønnsgr pensjon tjeneste'!P7)</f>
        <v>0</v>
      </c>
      <c r="AM7" s="46">
        <f>IF('2022 Lønnsgr pensjon tjeneste'!Q7=0,0,'2022 Pensjon tjeneste'!Q7/'2022 Lønnsgr pensjon tjeneste'!Q7)</f>
        <v>0</v>
      </c>
    </row>
    <row r="8" spans="1:39" x14ac:dyDescent="0.25">
      <c r="A8" s="43">
        <v>1800</v>
      </c>
      <c r="B8" s="44" t="s">
        <v>143</v>
      </c>
      <c r="C8" s="1">
        <v>92968.804136060004</v>
      </c>
      <c r="D8" s="3">
        <v>1.0739446699999999</v>
      </c>
      <c r="E8" s="3">
        <v>1.75356388</v>
      </c>
      <c r="F8" s="3">
        <v>1.0204600800000001</v>
      </c>
      <c r="G8" s="3">
        <v>5.3669618200000002</v>
      </c>
      <c r="H8" s="3">
        <v>0.98230778000000007</v>
      </c>
      <c r="I8" s="3"/>
      <c r="J8" s="46">
        <f>IF('2022 Lønnsgr arbavg tjeneste'!D8=0,0,'2022 Arbavg tjeneste'!D8/'2022 Lønnsgr arbavg tjeneste'!D8)</f>
        <v>5.6553022298349721E-2</v>
      </c>
      <c r="K8" s="46">
        <f>IF('2022 Lønnsgr arbavg tjeneste'!E8=0,0,'2022 Arbavg tjeneste'!E8/'2022 Lønnsgr arbavg tjeneste'!E8)</f>
        <v>9.3800153513362641E-2</v>
      </c>
      <c r="L8" s="46">
        <f>IF('2022 Lønnsgr arbavg tjeneste'!F8=0,0,'2022 Arbavg tjeneste'!F8/'2022 Lønnsgr arbavg tjeneste'!F8)</f>
        <v>7.5361512791991103E-2</v>
      </c>
      <c r="M8" s="46">
        <f>IF('2022 Lønnsgr arbavg tjeneste'!G8=0,0,'2022 Arbavg tjeneste'!G8/'2022 Lønnsgr arbavg tjeneste'!G8)</f>
        <v>7.0766724366154166E-2</v>
      </c>
      <c r="N8" s="46">
        <f>IF('2022 Lønnsgr arbavg tjeneste'!H8=0,0,'2022 Arbavg tjeneste'!H8/'2022 Lønnsgr arbavg tjeneste'!H8)</f>
        <v>5.3029178587696985E-2</v>
      </c>
      <c r="O8" s="46">
        <f>IF('2022 Lønnsgr arbavg tjeneste'!I8=0,0,'2022 Arbavg tjeneste'!I8/'2022 Lønnsgr arbavg tjeneste'!I8)</f>
        <v>7.1433980188205168E-2</v>
      </c>
      <c r="P8" s="46">
        <f>IF('2022 Lønnsgr arbavg tjeneste'!J8=0,0,'2022 Arbavg tjeneste'!J8/'2022 Lønnsgr arbavg tjeneste'!J8)</f>
        <v>0</v>
      </c>
      <c r="Q8" s="46">
        <f>IF('2022 Lønnsgr arbavg tjeneste'!K8=0,0,'2022 Arbavg tjeneste'!K8/'2022 Lønnsgr arbavg tjeneste'!K8)</f>
        <v>7.4446877160636096E-2</v>
      </c>
      <c r="R8" s="46">
        <f>IF('2022 Lønnsgr arbavg tjeneste'!L8=0,0,'2022 Arbavg tjeneste'!L8/'2022 Lønnsgr arbavg tjeneste'!L8)</f>
        <v>7.1209602954755313E-2</v>
      </c>
      <c r="S8" s="46">
        <f>IF('2022 Lønnsgr arbavg tjeneste'!M8=0,0,'2022 Arbavg tjeneste'!M8/'2022 Lønnsgr arbavg tjeneste'!M8)</f>
        <v>6.902835483635833E-2</v>
      </c>
      <c r="T8" s="46">
        <f>IF('2022 Lønnsgr arbavg tjeneste'!N8=0,0,'2022 Arbavg tjeneste'!N8/'2022 Lønnsgr arbavg tjeneste'!N8)</f>
        <v>5.8853445596586895E-2</v>
      </c>
      <c r="U8" s="46">
        <f>IF('2022 Lønnsgr arbavg tjeneste'!O8=0,0,'2022 Arbavg tjeneste'!O8/'2022 Lønnsgr arbavg tjeneste'!O8)</f>
        <v>0</v>
      </c>
      <c r="V8" s="46">
        <f>IF('2022 Lønnsgr arbavg tjeneste'!P8=0,0,'2022 Arbavg tjeneste'!P8/'2022 Lønnsgr arbavg tjeneste'!P8)</f>
        <v>0</v>
      </c>
      <c r="W8" s="46">
        <f>IF('2022 Lønnsgr arbavg tjeneste'!Q8=0,0,'2022 Arbavg tjeneste'!Q8/'2022 Lønnsgr arbavg tjeneste'!Q8)</f>
        <v>0</v>
      </c>
      <c r="X8" s="46">
        <f>IF('2022 Lønnsgr arbavg tjeneste'!R8=0,0,'2022 Arbavg tjeneste'!R8/'2022 Lønnsgr arbavg tjeneste'!R8)</f>
        <v>-7.726224783861671E-2</v>
      </c>
      <c r="Z8" s="46">
        <f>IF('2022 Lønnsgr pensjon tjeneste'!D8=0,0,'2022 Pensjon tjeneste'!D8/'2022 Lønnsgr pensjon tjeneste'!D8)</f>
        <v>0.11576819843566262</v>
      </c>
      <c r="AA8" s="46">
        <f>IF('2022 Lønnsgr pensjon tjeneste'!E8=0,0,'2022 Pensjon tjeneste'!E8/'2022 Lønnsgr pensjon tjeneste'!E8)</f>
        <v>0.36991277333014699</v>
      </c>
      <c r="AB8" s="46">
        <f>IF('2022 Lønnsgr pensjon tjeneste'!F8=0,0,'2022 Pensjon tjeneste'!F8/'2022 Lønnsgr pensjon tjeneste'!F8)</f>
        <v>0.24014254512012875</v>
      </c>
      <c r="AC8" s="46">
        <f>IF('2022 Lønnsgr pensjon tjeneste'!G8=0,0,'2022 Pensjon tjeneste'!G8/'2022 Lønnsgr pensjon tjeneste'!G8)</f>
        <v>0.23039338511651214</v>
      </c>
      <c r="AD8" s="46">
        <f>IF('2022 Lønnsgr pensjon tjeneste'!H8=0,0,'2022 Pensjon tjeneste'!H8/'2022 Lønnsgr pensjon tjeneste'!H8)</f>
        <v>0.23477255204317657</v>
      </c>
      <c r="AE8" s="46">
        <f>IF('2022 Lønnsgr pensjon tjeneste'!I8=0,0,'2022 Pensjon tjeneste'!I8/'2022 Lønnsgr pensjon tjeneste'!I8)</f>
        <v>0.22802182706573057</v>
      </c>
      <c r="AF8" s="46">
        <f>IF('2022 Lønnsgr pensjon tjeneste'!J8=0,0,'2022 Pensjon tjeneste'!J8/'2022 Lønnsgr pensjon tjeneste'!J8)</f>
        <v>0</v>
      </c>
      <c r="AG8" s="46">
        <f>IF('2022 Lønnsgr pensjon tjeneste'!K8=0,0,'2022 Pensjon tjeneste'!K8/'2022 Lønnsgr pensjon tjeneste'!K8)</f>
        <v>0.22880425932612589</v>
      </c>
      <c r="AH8" s="46">
        <f>IF('2022 Lønnsgr pensjon tjeneste'!L8=0,0,'2022 Pensjon tjeneste'!L8/'2022 Lønnsgr pensjon tjeneste'!L8)</f>
        <v>0.23031831504328268</v>
      </c>
      <c r="AI8" s="46">
        <f>IF('2022 Lønnsgr pensjon tjeneste'!M8=0,0,'2022 Pensjon tjeneste'!M8/'2022 Lønnsgr pensjon tjeneste'!M8)</f>
        <v>0.22316333808844507</v>
      </c>
      <c r="AJ8" s="46">
        <f>IF('2022 Lønnsgr pensjon tjeneste'!N8=0,0,'2022 Pensjon tjeneste'!N8/'2022 Lønnsgr pensjon tjeneste'!N8)</f>
        <v>0.22441707603957656</v>
      </c>
      <c r="AK8" s="46">
        <f>IF('2022 Lønnsgr pensjon tjeneste'!O8=0,0,'2022 Pensjon tjeneste'!O8/'2022 Lønnsgr pensjon tjeneste'!O8)</f>
        <v>0</v>
      </c>
      <c r="AL8" s="46">
        <f>IF('2022 Lønnsgr pensjon tjeneste'!P8=0,0,'2022 Pensjon tjeneste'!P8/'2022 Lønnsgr pensjon tjeneste'!P8)</f>
        <v>0</v>
      </c>
      <c r="AM8" s="46">
        <f>IF('2022 Lønnsgr pensjon tjeneste'!Q8=0,0,'2022 Pensjon tjeneste'!Q8/'2022 Lønnsgr pensjon tjeneste'!Q8)</f>
        <v>0</v>
      </c>
    </row>
    <row r="9" spans="1:39" x14ac:dyDescent="0.25">
      <c r="A9" s="43">
        <v>3000</v>
      </c>
      <c r="B9" s="44" t="s">
        <v>391</v>
      </c>
      <c r="C9" s="1">
        <v>-140588.37528499999</v>
      </c>
      <c r="D9" s="3">
        <v>1.0186378599999999</v>
      </c>
      <c r="E9" s="3">
        <v>0.64148788000000012</v>
      </c>
      <c r="F9" s="3">
        <v>0.65952591999999999</v>
      </c>
      <c r="G9" s="3">
        <v>6.9758440000000005E-2</v>
      </c>
      <c r="H9" s="3">
        <v>1.0247303400000001</v>
      </c>
      <c r="I9" s="3"/>
      <c r="J9" s="46">
        <f>IF('2022 Lønnsgr arbavg tjeneste'!D9=0,0,'2022 Arbavg tjeneste'!D9/'2022 Lønnsgr arbavg tjeneste'!D9)</f>
        <v>0.13997606981618207</v>
      </c>
      <c r="K9" s="46">
        <f>IF('2022 Lønnsgr arbavg tjeneste'!E9=0,0,'2022 Arbavg tjeneste'!E9/'2022 Lønnsgr arbavg tjeneste'!E9)</f>
        <v>0.2676853790315038</v>
      </c>
      <c r="L9" s="46">
        <f>IF('2022 Lønnsgr arbavg tjeneste'!F9=0,0,'2022 Arbavg tjeneste'!F9/'2022 Lønnsgr arbavg tjeneste'!F9)</f>
        <v>0.14169411863446568</v>
      </c>
      <c r="M9" s="46">
        <f>IF('2022 Lønnsgr arbavg tjeneste'!G9=0,0,'2022 Arbavg tjeneste'!G9/'2022 Lønnsgr arbavg tjeneste'!G9)</f>
        <v>0</v>
      </c>
      <c r="N9" s="46">
        <f>IF('2022 Lønnsgr arbavg tjeneste'!H9=0,0,'2022 Arbavg tjeneste'!H9/'2022 Lønnsgr arbavg tjeneste'!H9)</f>
        <v>0.14038742576412425</v>
      </c>
      <c r="O9" s="46">
        <f>IF('2022 Lønnsgr arbavg tjeneste'!I9=0,0,'2022 Arbavg tjeneste'!I9/'2022 Lønnsgr arbavg tjeneste'!I9)</f>
        <v>0.13857227056674348</v>
      </c>
      <c r="P9" s="46">
        <f>IF('2022 Lønnsgr arbavg tjeneste'!J9=0,0,'2022 Arbavg tjeneste'!J9/'2022 Lønnsgr arbavg tjeneste'!J9)</f>
        <v>0</v>
      </c>
      <c r="Q9" s="46">
        <f>IF('2022 Lønnsgr arbavg tjeneste'!K9=0,0,'2022 Arbavg tjeneste'!K9/'2022 Lønnsgr arbavg tjeneste'!K9)</f>
        <v>0.13762306705584954</v>
      </c>
      <c r="R9" s="46">
        <f>IF('2022 Lønnsgr arbavg tjeneste'!L9=0,0,'2022 Arbavg tjeneste'!L9/'2022 Lønnsgr arbavg tjeneste'!L9)</f>
        <v>0.14160960769688488</v>
      </c>
      <c r="S9" s="46">
        <f>IF('2022 Lønnsgr arbavg tjeneste'!M9=0,0,'2022 Arbavg tjeneste'!M9/'2022 Lønnsgr arbavg tjeneste'!M9)</f>
        <v>0.13587015329125338</v>
      </c>
      <c r="T9" s="46">
        <f>IF('2022 Lønnsgr arbavg tjeneste'!N9=0,0,'2022 Arbavg tjeneste'!N9/'2022 Lønnsgr arbavg tjeneste'!N9)</f>
        <v>0.14172013553456853</v>
      </c>
      <c r="U9" s="46">
        <f>IF('2022 Lønnsgr arbavg tjeneste'!O9=0,0,'2022 Arbavg tjeneste'!O9/'2022 Lønnsgr arbavg tjeneste'!O9)</f>
        <v>0.14179843219091956</v>
      </c>
      <c r="V9" s="46">
        <f>IF('2022 Lønnsgr arbavg tjeneste'!P9=0,0,'2022 Arbavg tjeneste'!P9/'2022 Lønnsgr arbavg tjeneste'!P9)</f>
        <v>0.14047619047619048</v>
      </c>
      <c r="W9" s="46">
        <f>IF('2022 Lønnsgr arbavg tjeneste'!Q9=0,0,'2022 Arbavg tjeneste'!Q9/'2022 Lønnsgr arbavg tjeneste'!Q9)</f>
        <v>0</v>
      </c>
      <c r="X9" s="46">
        <f>IF('2022 Lønnsgr arbavg tjeneste'!R9=0,0,'2022 Arbavg tjeneste'!R9/'2022 Lønnsgr arbavg tjeneste'!R9)</f>
        <v>9.5049767380220002E-2</v>
      </c>
      <c r="Z9" s="46">
        <f>IF('2022 Lønnsgr pensjon tjeneste'!D9=0,0,'2022 Pensjon tjeneste'!D9/'2022 Lønnsgr pensjon tjeneste'!D9)</f>
        <v>9.6992334981547593E-2</v>
      </c>
      <c r="AA9" s="46">
        <f>IF('2022 Lønnsgr pensjon tjeneste'!E9=0,0,'2022 Pensjon tjeneste'!E9/'2022 Lønnsgr pensjon tjeneste'!E9)</f>
        <v>0.24166115805834956</v>
      </c>
      <c r="AB9" s="46">
        <f>IF('2022 Lønnsgr pensjon tjeneste'!F9=0,0,'2022 Pensjon tjeneste'!F9/'2022 Lønnsgr pensjon tjeneste'!F9)</f>
        <v>0.1722789324806297</v>
      </c>
      <c r="AC9" s="46">
        <f>IF('2022 Lønnsgr pensjon tjeneste'!G9=0,0,'2022 Pensjon tjeneste'!G9/'2022 Lønnsgr pensjon tjeneste'!G9)</f>
        <v>0</v>
      </c>
      <c r="AD9" s="46">
        <f>IF('2022 Lønnsgr pensjon tjeneste'!H9=0,0,'2022 Pensjon tjeneste'!H9/'2022 Lønnsgr pensjon tjeneste'!H9)</f>
        <v>0.12198548720616033</v>
      </c>
      <c r="AE9" s="46">
        <f>IF('2022 Lønnsgr pensjon tjeneste'!I9=0,0,'2022 Pensjon tjeneste'!I9/'2022 Lønnsgr pensjon tjeneste'!I9)</f>
        <v>0.46315204357942047</v>
      </c>
      <c r="AF9" s="46">
        <f>IF('2022 Lønnsgr pensjon tjeneste'!J9=0,0,'2022 Pensjon tjeneste'!J9/'2022 Lønnsgr pensjon tjeneste'!J9)</f>
        <v>0</v>
      </c>
      <c r="AG9" s="46">
        <f>IF('2022 Lønnsgr pensjon tjeneste'!K9=0,0,'2022 Pensjon tjeneste'!K9/'2022 Lønnsgr pensjon tjeneste'!K9)</f>
        <v>0.66292311847317253</v>
      </c>
      <c r="AH9" s="46">
        <f>IF('2022 Lønnsgr pensjon tjeneste'!L9=0,0,'2022 Pensjon tjeneste'!L9/'2022 Lønnsgr pensjon tjeneste'!L9)</f>
        <v>0.11565001121998654</v>
      </c>
      <c r="AI9" s="46">
        <f>IF('2022 Lønnsgr pensjon tjeneste'!M9=0,0,'2022 Pensjon tjeneste'!M9/'2022 Lønnsgr pensjon tjeneste'!M9)</f>
        <v>0.11425930391447633</v>
      </c>
      <c r="AJ9" s="46">
        <f>IF('2022 Lønnsgr pensjon tjeneste'!N9=0,0,'2022 Pensjon tjeneste'!N9/'2022 Lønnsgr pensjon tjeneste'!N9)</f>
        <v>0.11363563377115514</v>
      </c>
      <c r="AK9" s="46">
        <f>IF('2022 Lønnsgr pensjon tjeneste'!O9=0,0,'2022 Pensjon tjeneste'!O9/'2022 Lønnsgr pensjon tjeneste'!O9)</f>
        <v>0.11974236069502696</v>
      </c>
      <c r="AL9" s="46">
        <f>IF('2022 Lønnsgr pensjon tjeneste'!P9=0,0,'2022 Pensjon tjeneste'!P9/'2022 Lønnsgr pensjon tjeneste'!P9)</f>
        <v>0.1076923076923077</v>
      </c>
      <c r="AM9" s="46">
        <f>IF('2022 Lønnsgr pensjon tjeneste'!Q9=0,0,'2022 Pensjon tjeneste'!Q9/'2022 Lønnsgr pensjon tjeneste'!Q9)</f>
        <v>0</v>
      </c>
    </row>
    <row r="10" spans="1:39" x14ac:dyDescent="0.25">
      <c r="A10" s="43">
        <v>3400</v>
      </c>
      <c r="B10" s="44" t="s">
        <v>392</v>
      </c>
      <c r="C10" s="1">
        <v>66759.002716529998</v>
      </c>
      <c r="D10" s="3">
        <v>1.0114143099999999</v>
      </c>
      <c r="E10" s="3">
        <v>1.5407690200000002</v>
      </c>
      <c r="F10" s="3">
        <v>1.0059225599999999</v>
      </c>
      <c r="G10" s="3">
        <v>3.7465999999999999E-2</v>
      </c>
      <c r="H10" s="3">
        <v>0.9667207000000001</v>
      </c>
      <c r="I10" s="3"/>
      <c r="J10" s="46">
        <f>IF('2022 Lønnsgr arbavg tjeneste'!D10=0,0,'2022 Arbavg tjeneste'!D10/'2022 Lønnsgr arbavg tjeneste'!D10)</f>
        <v>0.12447179974634873</v>
      </c>
      <c r="K10" s="46">
        <f>IF('2022 Lønnsgr arbavg tjeneste'!E10=0,0,'2022 Arbavg tjeneste'!E10/'2022 Lønnsgr arbavg tjeneste'!E10)</f>
        <v>0.12083731546862386</v>
      </c>
      <c r="L10" s="46">
        <f>IF('2022 Lønnsgr arbavg tjeneste'!F10=0,0,'2022 Arbavg tjeneste'!F10/'2022 Lønnsgr arbavg tjeneste'!F10)</f>
        <v>0.1409974282153936</v>
      </c>
      <c r="M10" s="46">
        <f>IF('2022 Lønnsgr arbavg tjeneste'!G10=0,0,'2022 Arbavg tjeneste'!G10/'2022 Lønnsgr arbavg tjeneste'!G10)</f>
        <v>0.13568086678158089</v>
      </c>
      <c r="N10" s="46">
        <f>IF('2022 Lønnsgr arbavg tjeneste'!H10=0,0,'2022 Arbavg tjeneste'!H10/'2022 Lønnsgr arbavg tjeneste'!H10)</f>
        <v>0.11982809186481974</v>
      </c>
      <c r="O10" s="46">
        <f>IF('2022 Lønnsgr arbavg tjeneste'!I10=0,0,'2022 Arbavg tjeneste'!I10/'2022 Lønnsgr arbavg tjeneste'!I10)</f>
        <v>0.14082794844113944</v>
      </c>
      <c r="P10" s="46">
        <f>IF('2022 Lønnsgr arbavg tjeneste'!J10=0,0,'2022 Arbavg tjeneste'!J10/'2022 Lønnsgr arbavg tjeneste'!J10)</f>
        <v>0</v>
      </c>
      <c r="Q10" s="46">
        <f>IF('2022 Lønnsgr arbavg tjeneste'!K10=0,0,'2022 Arbavg tjeneste'!K10/'2022 Lønnsgr arbavg tjeneste'!K10)</f>
        <v>0.14079347831431338</v>
      </c>
      <c r="R10" s="46">
        <f>IF('2022 Lønnsgr arbavg tjeneste'!L10=0,0,'2022 Arbavg tjeneste'!L10/'2022 Lønnsgr arbavg tjeneste'!L10)</f>
        <v>0.1404397839657712</v>
      </c>
      <c r="S10" s="46">
        <f>IF('2022 Lønnsgr arbavg tjeneste'!M10=0,0,'2022 Arbavg tjeneste'!M10/'2022 Lønnsgr arbavg tjeneste'!M10)</f>
        <v>0.14075491133838569</v>
      </c>
      <c r="T10" s="46">
        <f>IF('2022 Lønnsgr arbavg tjeneste'!N10=0,0,'2022 Arbavg tjeneste'!N10/'2022 Lønnsgr arbavg tjeneste'!N10)</f>
        <v>0.14170029141448107</v>
      </c>
      <c r="U10" s="46">
        <f>IF('2022 Lønnsgr arbavg tjeneste'!O10=0,0,'2022 Arbavg tjeneste'!O10/'2022 Lønnsgr arbavg tjeneste'!O10)</f>
        <v>0</v>
      </c>
      <c r="V10" s="46">
        <f>IF('2022 Lønnsgr arbavg tjeneste'!P10=0,0,'2022 Arbavg tjeneste'!P10/'2022 Lønnsgr arbavg tjeneste'!P10)</f>
        <v>0</v>
      </c>
      <c r="W10" s="46">
        <f>IF('2022 Lønnsgr arbavg tjeneste'!Q10=0,0,'2022 Arbavg tjeneste'!Q10/'2022 Lønnsgr arbavg tjeneste'!Q10)</f>
        <v>0</v>
      </c>
      <c r="X10" s="46">
        <f>IF('2022 Lønnsgr arbavg tjeneste'!R10=0,0,'2022 Arbavg tjeneste'!R10/'2022 Lønnsgr arbavg tjeneste'!R10)</f>
        <v>0.14101262874161827</v>
      </c>
      <c r="Z10" s="46">
        <f>IF('2022 Lønnsgr pensjon tjeneste'!D10=0,0,'2022 Pensjon tjeneste'!D10/'2022 Lønnsgr pensjon tjeneste'!D10)</f>
        <v>0.10896167821776431</v>
      </c>
      <c r="AA10" s="46">
        <f>IF('2022 Lønnsgr pensjon tjeneste'!E10=0,0,'2022 Pensjon tjeneste'!E10/'2022 Lønnsgr pensjon tjeneste'!E10)</f>
        <v>0.24796489074676639</v>
      </c>
      <c r="AB10" s="46">
        <f>IF('2022 Lønnsgr pensjon tjeneste'!F10=0,0,'2022 Pensjon tjeneste'!F10/'2022 Lønnsgr pensjon tjeneste'!F10)</f>
        <v>0.24601916088536505</v>
      </c>
      <c r="AC10" s="46">
        <f>IF('2022 Lønnsgr pensjon tjeneste'!G10=0,0,'2022 Pensjon tjeneste'!G10/'2022 Lønnsgr pensjon tjeneste'!G10)</f>
        <v>8.3222192584689256E-2</v>
      </c>
      <c r="AD10" s="46">
        <f>IF('2022 Lønnsgr pensjon tjeneste'!H10=0,0,'2022 Pensjon tjeneste'!H10/'2022 Lønnsgr pensjon tjeneste'!H10)</f>
        <v>0.23659341195834874</v>
      </c>
      <c r="AE10" s="46">
        <f>IF('2022 Lønnsgr pensjon tjeneste'!I10=0,0,'2022 Pensjon tjeneste'!I10/'2022 Lønnsgr pensjon tjeneste'!I10)</f>
        <v>0.21211132732678686</v>
      </c>
      <c r="AF10" s="46">
        <f>IF('2022 Lønnsgr pensjon tjeneste'!J10=0,0,'2022 Pensjon tjeneste'!J10/'2022 Lønnsgr pensjon tjeneste'!J10)</f>
        <v>0</v>
      </c>
      <c r="AG10" s="46">
        <f>IF('2022 Lønnsgr pensjon tjeneste'!K10=0,0,'2022 Pensjon tjeneste'!K10/'2022 Lønnsgr pensjon tjeneste'!K10)</f>
        <v>0.21509012372969452</v>
      </c>
      <c r="AH10" s="46">
        <f>IF('2022 Lønnsgr pensjon tjeneste'!L10=0,0,'2022 Pensjon tjeneste'!L10/'2022 Lønnsgr pensjon tjeneste'!L10)</f>
        <v>0.26931980056980059</v>
      </c>
      <c r="AI10" s="46">
        <f>IF('2022 Lønnsgr pensjon tjeneste'!M10=0,0,'2022 Pensjon tjeneste'!M10/'2022 Lønnsgr pensjon tjeneste'!M10)</f>
        <v>0.22040138284021013</v>
      </c>
      <c r="AJ10" s="46">
        <f>IF('2022 Lønnsgr pensjon tjeneste'!N10=0,0,'2022 Pensjon tjeneste'!N10/'2022 Lønnsgr pensjon tjeneste'!N10)</f>
        <v>0.11084134839854329</v>
      </c>
      <c r="AK10" s="46">
        <f>IF('2022 Lønnsgr pensjon tjeneste'!O10=0,0,'2022 Pensjon tjeneste'!O10/'2022 Lønnsgr pensjon tjeneste'!O10)</f>
        <v>0</v>
      </c>
      <c r="AL10" s="46">
        <f>IF('2022 Lønnsgr pensjon tjeneste'!P10=0,0,'2022 Pensjon tjeneste'!P10/'2022 Lønnsgr pensjon tjeneste'!P10)</f>
        <v>0</v>
      </c>
      <c r="AM10" s="46">
        <f>IF('2022 Lønnsgr pensjon tjeneste'!Q10=0,0,'2022 Pensjon tjeneste'!Q10/'2022 Lønnsgr pensjon tjeneste'!Q10)</f>
        <v>0</v>
      </c>
    </row>
    <row r="11" spans="1:39" x14ac:dyDescent="0.25">
      <c r="A11" s="43">
        <v>3800</v>
      </c>
      <c r="B11" s="44" t="s">
        <v>393</v>
      </c>
      <c r="C11" s="1">
        <v>29974.51339195</v>
      </c>
      <c r="D11" s="3">
        <v>1.01806916</v>
      </c>
      <c r="E11" s="3">
        <v>0.95163352000000012</v>
      </c>
      <c r="F11" s="3">
        <v>0.72960991999999991</v>
      </c>
      <c r="G11" s="3">
        <v>0.13406012</v>
      </c>
      <c r="H11" s="3">
        <v>0.99232936000000005</v>
      </c>
      <c r="I11" s="3"/>
      <c r="J11" s="46">
        <f>IF('2022 Lønnsgr arbavg tjeneste'!D11=0,0,'2022 Arbavg tjeneste'!D11/'2022 Lønnsgr arbavg tjeneste'!D11)</f>
        <v>0.13907801567017219</v>
      </c>
      <c r="K11" s="46">
        <f>IF('2022 Lønnsgr arbavg tjeneste'!E11=0,0,'2022 Arbavg tjeneste'!E11/'2022 Lønnsgr arbavg tjeneste'!E11)</f>
        <v>0.14190362425033559</v>
      </c>
      <c r="L11" s="46">
        <f>IF('2022 Lønnsgr arbavg tjeneste'!F11=0,0,'2022 Arbavg tjeneste'!F11/'2022 Lønnsgr arbavg tjeneste'!F11)</f>
        <v>0.14522229358452865</v>
      </c>
      <c r="M11" s="46">
        <f>IF('2022 Lønnsgr arbavg tjeneste'!G11=0,0,'2022 Arbavg tjeneste'!G11/'2022 Lønnsgr arbavg tjeneste'!G11)</f>
        <v>0</v>
      </c>
      <c r="N11" s="46">
        <f>IF('2022 Lønnsgr arbavg tjeneste'!H11=0,0,'2022 Arbavg tjeneste'!H11/'2022 Lønnsgr arbavg tjeneste'!H11)</f>
        <v>0.13867511118862824</v>
      </c>
      <c r="O11" s="46">
        <f>IF('2022 Lønnsgr arbavg tjeneste'!I11=0,0,'2022 Arbavg tjeneste'!I11/'2022 Lønnsgr arbavg tjeneste'!I11)</f>
        <v>0.1399873225008631</v>
      </c>
      <c r="P11" s="46">
        <f>IF('2022 Lønnsgr arbavg tjeneste'!J11=0,0,'2022 Arbavg tjeneste'!J11/'2022 Lønnsgr arbavg tjeneste'!J11)</f>
        <v>0</v>
      </c>
      <c r="Q11" s="46">
        <f>IF('2022 Lønnsgr arbavg tjeneste'!K11=0,0,'2022 Arbavg tjeneste'!K11/'2022 Lønnsgr arbavg tjeneste'!K11)</f>
        <v>0.14058036663492737</v>
      </c>
      <c r="R11" s="46">
        <f>IF('2022 Lønnsgr arbavg tjeneste'!L11=0,0,'2022 Arbavg tjeneste'!L11/'2022 Lønnsgr arbavg tjeneste'!L11)</f>
        <v>0.1375025283171521</v>
      </c>
      <c r="S11" s="46">
        <f>IF('2022 Lønnsgr arbavg tjeneste'!M11=0,0,'2022 Arbavg tjeneste'!M11/'2022 Lønnsgr arbavg tjeneste'!M11)</f>
        <v>0.14200993748998236</v>
      </c>
      <c r="T11" s="46">
        <f>IF('2022 Lønnsgr arbavg tjeneste'!N11=0,0,'2022 Arbavg tjeneste'!N11/'2022 Lønnsgr arbavg tjeneste'!N11)</f>
        <v>0.14187111547268563</v>
      </c>
      <c r="U11" s="46">
        <f>IF('2022 Lønnsgr arbavg tjeneste'!O11=0,0,'2022 Arbavg tjeneste'!O11/'2022 Lønnsgr arbavg tjeneste'!O11)</f>
        <v>0.10664229128580134</v>
      </c>
      <c r="V11" s="46">
        <f>IF('2022 Lønnsgr arbavg tjeneste'!P11=0,0,'2022 Arbavg tjeneste'!P11/'2022 Lønnsgr arbavg tjeneste'!P11)</f>
        <v>0.15947712418300652</v>
      </c>
      <c r="W11" s="46">
        <f>IF('2022 Lønnsgr arbavg tjeneste'!Q11=0,0,'2022 Arbavg tjeneste'!Q11/'2022 Lønnsgr arbavg tjeneste'!Q11)</f>
        <v>0</v>
      </c>
      <c r="X11" s="46">
        <f>IF('2022 Lønnsgr arbavg tjeneste'!R11=0,0,'2022 Arbavg tjeneste'!R11/'2022 Lønnsgr arbavg tjeneste'!R11)</f>
        <v>0.15987825856821489</v>
      </c>
      <c r="Z11" s="46">
        <f>IF('2022 Lønnsgr pensjon tjeneste'!D11=0,0,'2022 Pensjon tjeneste'!D11/'2022 Lønnsgr pensjon tjeneste'!D11)</f>
        <v>0.11001030050086119</v>
      </c>
      <c r="AA11" s="46">
        <f>IF('2022 Lønnsgr pensjon tjeneste'!E11=0,0,'2022 Pensjon tjeneste'!E11/'2022 Lønnsgr pensjon tjeneste'!E11)</f>
        <v>0.21645144860233095</v>
      </c>
      <c r="AB11" s="46">
        <f>IF('2022 Lønnsgr pensjon tjeneste'!F11=0,0,'2022 Pensjon tjeneste'!F11/'2022 Lønnsgr pensjon tjeneste'!F11)</f>
        <v>0.22085729221118661</v>
      </c>
      <c r="AC11" s="46">
        <f>IF('2022 Lønnsgr pensjon tjeneste'!G11=0,0,'2022 Pensjon tjeneste'!G11/'2022 Lønnsgr pensjon tjeneste'!G11)</f>
        <v>0</v>
      </c>
      <c r="AD11" s="46">
        <f>IF('2022 Lønnsgr pensjon tjeneste'!H11=0,0,'2022 Pensjon tjeneste'!H11/'2022 Lønnsgr pensjon tjeneste'!H11)</f>
        <v>0.23403081848571064</v>
      </c>
      <c r="AE11" s="46">
        <f>IF('2022 Lønnsgr pensjon tjeneste'!I11=0,0,'2022 Pensjon tjeneste'!I11/'2022 Lønnsgr pensjon tjeneste'!I11)</f>
        <v>0.21256686785641982</v>
      </c>
      <c r="AF11" s="46">
        <f>IF('2022 Lønnsgr pensjon tjeneste'!J11=0,0,'2022 Pensjon tjeneste'!J11/'2022 Lønnsgr pensjon tjeneste'!J11)</f>
        <v>0</v>
      </c>
      <c r="AG11" s="46">
        <f>IF('2022 Lønnsgr pensjon tjeneste'!K11=0,0,'2022 Pensjon tjeneste'!K11/'2022 Lønnsgr pensjon tjeneste'!K11)</f>
        <v>0.20730142077478544</v>
      </c>
      <c r="AH11" s="46">
        <f>IF('2022 Lønnsgr pensjon tjeneste'!L11=0,0,'2022 Pensjon tjeneste'!L11/'2022 Lønnsgr pensjon tjeneste'!L11)</f>
        <v>0.21837168468718232</v>
      </c>
      <c r="AI11" s="46">
        <f>IF('2022 Lønnsgr pensjon tjeneste'!M11=0,0,'2022 Pensjon tjeneste'!M11/'2022 Lønnsgr pensjon tjeneste'!M11)</f>
        <v>0.21706900755913192</v>
      </c>
      <c r="AJ11" s="46">
        <f>IF('2022 Lønnsgr pensjon tjeneste'!N11=0,0,'2022 Pensjon tjeneste'!N11/'2022 Lønnsgr pensjon tjeneste'!N11)</f>
        <v>0.23585058214747737</v>
      </c>
      <c r="AK11" s="46">
        <f>IF('2022 Lønnsgr pensjon tjeneste'!O11=0,0,'2022 Pensjon tjeneste'!O11/'2022 Lønnsgr pensjon tjeneste'!O11)</f>
        <v>0.1556338028169014</v>
      </c>
      <c r="AL11" s="46">
        <f>IF('2022 Lønnsgr pensjon tjeneste'!P11=0,0,'2022 Pensjon tjeneste'!P11/'2022 Lønnsgr pensjon tjeneste'!P11)</f>
        <v>0.18055555555555555</v>
      </c>
      <c r="AM11" s="46">
        <f>IF('2022 Lønnsgr pensjon tjeneste'!Q11=0,0,'2022 Pensjon tjeneste'!Q11/'2022 Lønnsgr pensjon tjeneste'!Q11)</f>
        <v>0</v>
      </c>
    </row>
    <row r="12" spans="1:39" x14ac:dyDescent="0.25">
      <c r="A12" s="43">
        <v>4200</v>
      </c>
      <c r="B12" s="44" t="s">
        <v>394</v>
      </c>
      <c r="C12" s="1">
        <v>24368.777747870001</v>
      </c>
      <c r="D12" s="3">
        <v>1.0686202599999999</v>
      </c>
      <c r="E12" s="3">
        <v>1.15154242</v>
      </c>
      <c r="F12" s="3">
        <v>0.82527287999999999</v>
      </c>
      <c r="G12" s="3">
        <v>0.22924375999999999</v>
      </c>
      <c r="H12" s="3">
        <v>1.0503528199999999</v>
      </c>
      <c r="I12" s="3"/>
      <c r="J12" s="46">
        <f>IF('2022 Lønnsgr arbavg tjeneste'!D12=0,0,'2022 Arbavg tjeneste'!D12/'2022 Lønnsgr arbavg tjeneste'!D12)</f>
        <v>0.13994012877627116</v>
      </c>
      <c r="K12" s="46">
        <f>IF('2022 Lønnsgr arbavg tjeneste'!E12=0,0,'2022 Arbavg tjeneste'!E12/'2022 Lønnsgr arbavg tjeneste'!E12)</f>
        <v>0.20079529038972335</v>
      </c>
      <c r="L12" s="46">
        <f>IF('2022 Lønnsgr arbavg tjeneste'!F12=0,0,'2022 Arbavg tjeneste'!F12/'2022 Lønnsgr arbavg tjeneste'!F12)</f>
        <v>0.13391877058177826</v>
      </c>
      <c r="M12" s="46">
        <f>IF('2022 Lønnsgr arbavg tjeneste'!G12=0,0,'2022 Arbavg tjeneste'!G12/'2022 Lønnsgr arbavg tjeneste'!G12)</f>
        <v>7.1874999999999994E-2</v>
      </c>
      <c r="N12" s="46">
        <f>IF('2022 Lønnsgr arbavg tjeneste'!H12=0,0,'2022 Arbavg tjeneste'!H12/'2022 Lønnsgr arbavg tjeneste'!H12)</f>
        <v>0.12893484973786637</v>
      </c>
      <c r="O12" s="46">
        <f>IF('2022 Lønnsgr arbavg tjeneste'!I12=0,0,'2022 Arbavg tjeneste'!I12/'2022 Lønnsgr arbavg tjeneste'!I12)</f>
        <v>0.11128320549649065</v>
      </c>
      <c r="P12" s="46">
        <f>IF('2022 Lønnsgr arbavg tjeneste'!J12=0,0,'2022 Arbavg tjeneste'!J12/'2022 Lønnsgr arbavg tjeneste'!J12)</f>
        <v>0</v>
      </c>
      <c r="Q12" s="46">
        <f>IF('2022 Lønnsgr arbavg tjeneste'!K12=0,0,'2022 Arbavg tjeneste'!K12/'2022 Lønnsgr arbavg tjeneste'!K12)</f>
        <v>0.10224604283539447</v>
      </c>
      <c r="R12" s="46">
        <f>IF('2022 Lønnsgr arbavg tjeneste'!L12=0,0,'2022 Arbavg tjeneste'!L12/'2022 Lønnsgr arbavg tjeneste'!L12)</f>
        <v>0.13511986946152882</v>
      </c>
      <c r="S12" s="46">
        <f>IF('2022 Lønnsgr arbavg tjeneste'!M12=0,0,'2022 Arbavg tjeneste'!M12/'2022 Lønnsgr arbavg tjeneste'!M12)</f>
        <v>9.8952270081490101E-2</v>
      </c>
      <c r="T12" s="46">
        <f>IF('2022 Lønnsgr arbavg tjeneste'!N12=0,0,'2022 Arbavg tjeneste'!N12/'2022 Lønnsgr arbavg tjeneste'!N12)</f>
        <v>0.12595442794444778</v>
      </c>
      <c r="U12" s="46">
        <f>IF('2022 Lønnsgr arbavg tjeneste'!O12=0,0,'2022 Arbavg tjeneste'!O12/'2022 Lønnsgr arbavg tjeneste'!O12)</f>
        <v>0</v>
      </c>
      <c r="V12" s="46">
        <f>IF('2022 Lønnsgr arbavg tjeneste'!P12=0,0,'2022 Arbavg tjeneste'!P12/'2022 Lønnsgr arbavg tjeneste'!P12)</f>
        <v>0.15670650730411687</v>
      </c>
      <c r="W12" s="46">
        <f>IF('2022 Lønnsgr arbavg tjeneste'!Q12=0,0,'2022 Arbavg tjeneste'!Q12/'2022 Lønnsgr arbavg tjeneste'!Q12)</f>
        <v>0</v>
      </c>
      <c r="X12" s="46">
        <f>IF('2022 Lønnsgr arbavg tjeneste'!R12=0,0,'2022 Arbavg tjeneste'!R12/'2022 Lønnsgr arbavg tjeneste'!R12)</f>
        <v>-9.262032085561497</v>
      </c>
      <c r="Z12" s="46">
        <f>IF('2022 Lønnsgr pensjon tjeneste'!D12=0,0,'2022 Pensjon tjeneste'!D12/'2022 Lønnsgr pensjon tjeneste'!D12)</f>
        <v>7.0782090927257513E-2</v>
      </c>
      <c r="AA12" s="46">
        <f>IF('2022 Lønnsgr pensjon tjeneste'!E12=0,0,'2022 Pensjon tjeneste'!E12/'2022 Lønnsgr pensjon tjeneste'!E12)</f>
        <v>0.27450359313444062</v>
      </c>
      <c r="AB12" s="46">
        <f>IF('2022 Lønnsgr pensjon tjeneste'!F12=0,0,'2022 Pensjon tjeneste'!F12/'2022 Lønnsgr pensjon tjeneste'!F12)</f>
        <v>0.17776341305753071</v>
      </c>
      <c r="AC12" s="46">
        <f>IF('2022 Lønnsgr pensjon tjeneste'!G12=0,0,'2022 Pensjon tjeneste'!G12/'2022 Lønnsgr pensjon tjeneste'!G12)</f>
        <v>0.17863720073664824</v>
      </c>
      <c r="AD12" s="46">
        <f>IF('2022 Lønnsgr pensjon tjeneste'!H12=0,0,'2022 Pensjon tjeneste'!H12/'2022 Lønnsgr pensjon tjeneste'!H12)</f>
        <v>0.19530775299953748</v>
      </c>
      <c r="AE12" s="46">
        <f>IF('2022 Lønnsgr pensjon tjeneste'!I12=0,0,'2022 Pensjon tjeneste'!I12/'2022 Lønnsgr pensjon tjeneste'!I12)</f>
        <v>0.46905657914772358</v>
      </c>
      <c r="AF12" s="46">
        <f>IF('2022 Lønnsgr pensjon tjeneste'!J12=0,0,'2022 Pensjon tjeneste'!J12/'2022 Lønnsgr pensjon tjeneste'!J12)</f>
        <v>0</v>
      </c>
      <c r="AG12" s="46">
        <f>IF('2022 Lønnsgr pensjon tjeneste'!K12=0,0,'2022 Pensjon tjeneste'!K12/'2022 Lønnsgr pensjon tjeneste'!K12)</f>
        <v>0.63376490630323679</v>
      </c>
      <c r="AH12" s="46">
        <f>IF('2022 Lønnsgr pensjon tjeneste'!L12=0,0,'2022 Pensjon tjeneste'!L12/'2022 Lønnsgr pensjon tjeneste'!L12)</f>
        <v>0.17905610394991933</v>
      </c>
      <c r="AI12" s="46">
        <f>IF('2022 Lønnsgr pensjon tjeneste'!M12=0,0,'2022 Pensjon tjeneste'!M12/'2022 Lønnsgr pensjon tjeneste'!M12)</f>
        <v>0.17832647462277093</v>
      </c>
      <c r="AJ12" s="46">
        <f>IF('2022 Lønnsgr pensjon tjeneste'!N12=0,0,'2022 Pensjon tjeneste'!N12/'2022 Lønnsgr pensjon tjeneste'!N12)</f>
        <v>0.17981273939565895</v>
      </c>
      <c r="AK12" s="46">
        <f>IF('2022 Lønnsgr pensjon tjeneste'!O12=0,0,'2022 Pensjon tjeneste'!O12/'2022 Lønnsgr pensjon tjeneste'!O12)</f>
        <v>0</v>
      </c>
      <c r="AL12" s="46">
        <f>IF('2022 Lønnsgr pensjon tjeneste'!P12=0,0,'2022 Pensjon tjeneste'!P12/'2022 Lønnsgr pensjon tjeneste'!P12)</f>
        <v>6.5063649222065062E-2</v>
      </c>
      <c r="AM12" s="46">
        <f>IF('2022 Lønnsgr pensjon tjeneste'!Q12=0,0,'2022 Pensjon tjeneste'!Q12/'2022 Lønnsgr pensjon tjeneste'!Q12)</f>
        <v>0</v>
      </c>
    </row>
    <row r="13" spans="1:39" x14ac:dyDescent="0.25">
      <c r="A13" s="43">
        <v>4600</v>
      </c>
      <c r="B13" s="44" t="s">
        <v>395</v>
      </c>
      <c r="C13" s="1">
        <v>-101926.1441014</v>
      </c>
      <c r="D13" s="3">
        <v>1.0600025</v>
      </c>
      <c r="E13" s="3">
        <v>1.1855225199999999</v>
      </c>
      <c r="F13" s="3">
        <v>1.0005352000000001</v>
      </c>
      <c r="G13" s="3">
        <v>2.1551446599999999</v>
      </c>
      <c r="H13" s="3">
        <v>1.0314929100000001</v>
      </c>
      <c r="I13" s="3"/>
      <c r="J13" s="46">
        <f>IF('2022 Lønnsgr arbavg tjeneste'!D13=0,0,'2022 Arbavg tjeneste'!D13/'2022 Lønnsgr arbavg tjeneste'!D13)</f>
        <v>0.13547527877845636</v>
      </c>
      <c r="K13" s="46">
        <f>IF('2022 Lønnsgr arbavg tjeneste'!E13=0,0,'2022 Arbavg tjeneste'!E13/'2022 Lønnsgr arbavg tjeneste'!E13)</f>
        <v>0.42710824222151578</v>
      </c>
      <c r="L13" s="46">
        <f>IF('2022 Lønnsgr arbavg tjeneste'!F13=0,0,'2022 Arbavg tjeneste'!F13/'2022 Lønnsgr arbavg tjeneste'!F13)</f>
        <v>0.14083962339636732</v>
      </c>
      <c r="M13" s="46">
        <f>IF('2022 Lønnsgr arbavg tjeneste'!G13=0,0,'2022 Arbavg tjeneste'!G13/'2022 Lønnsgr arbavg tjeneste'!G13)</f>
        <v>0</v>
      </c>
      <c r="N13" s="46">
        <f>IF('2022 Lønnsgr arbavg tjeneste'!H13=0,0,'2022 Arbavg tjeneste'!H13/'2022 Lønnsgr arbavg tjeneste'!H13)</f>
        <v>0.13332883158238915</v>
      </c>
      <c r="O13" s="46">
        <f>IF('2022 Lønnsgr arbavg tjeneste'!I13=0,0,'2022 Arbavg tjeneste'!I13/'2022 Lønnsgr arbavg tjeneste'!I13)</f>
        <v>0.10401501932481871</v>
      </c>
      <c r="P13" s="46">
        <f>IF('2022 Lønnsgr arbavg tjeneste'!J13=0,0,'2022 Arbavg tjeneste'!J13/'2022 Lønnsgr arbavg tjeneste'!J13)</f>
        <v>0</v>
      </c>
      <c r="Q13" s="46">
        <f>IF('2022 Lønnsgr arbavg tjeneste'!K13=0,0,'2022 Arbavg tjeneste'!K13/'2022 Lønnsgr arbavg tjeneste'!K13)</f>
        <v>9.3694719695307793E-2</v>
      </c>
      <c r="R13" s="46">
        <f>IF('2022 Lønnsgr arbavg tjeneste'!L13=0,0,'2022 Arbavg tjeneste'!L13/'2022 Lønnsgr arbavg tjeneste'!L13)</f>
        <v>0.13411581162470068</v>
      </c>
      <c r="S13" s="46">
        <f>IF('2022 Lønnsgr arbavg tjeneste'!M13=0,0,'2022 Arbavg tjeneste'!M13/'2022 Lønnsgr arbavg tjeneste'!M13)</f>
        <v>0.1339577125017738</v>
      </c>
      <c r="T13" s="46">
        <f>IF('2022 Lønnsgr arbavg tjeneste'!N13=0,0,'2022 Arbavg tjeneste'!N13/'2022 Lønnsgr arbavg tjeneste'!N13)</f>
        <v>0.12988502880514752</v>
      </c>
      <c r="U13" s="46">
        <f>IF('2022 Lønnsgr arbavg tjeneste'!O13=0,0,'2022 Arbavg tjeneste'!O13/'2022 Lønnsgr arbavg tjeneste'!O13)</f>
        <v>0</v>
      </c>
      <c r="V13" s="46">
        <f>IF('2022 Lønnsgr arbavg tjeneste'!P13=0,0,'2022 Arbavg tjeneste'!P13/'2022 Lønnsgr arbavg tjeneste'!P13)</f>
        <v>0.14076246334310852</v>
      </c>
      <c r="W13" s="46">
        <f>IF('2022 Lønnsgr arbavg tjeneste'!Q13=0,0,'2022 Arbavg tjeneste'!Q13/'2022 Lønnsgr arbavg tjeneste'!Q13)</f>
        <v>0</v>
      </c>
      <c r="X13" s="46">
        <f>IF('2022 Lønnsgr arbavg tjeneste'!R13=0,0,'2022 Arbavg tjeneste'!R13/'2022 Lønnsgr arbavg tjeneste'!R13)</f>
        <v>0.14987573637702503</v>
      </c>
      <c r="Z13" s="46">
        <f>IF('2022 Lønnsgr pensjon tjeneste'!D13=0,0,'2022 Pensjon tjeneste'!D13/'2022 Lønnsgr pensjon tjeneste'!D13)</f>
        <v>4.2195528286738386E-2</v>
      </c>
      <c r="AA13" s="46">
        <f>IF('2022 Lønnsgr pensjon tjeneste'!E13=0,0,'2022 Pensjon tjeneste'!E13/'2022 Lønnsgr pensjon tjeneste'!E13)</f>
        <v>0.47124496685240169</v>
      </c>
      <c r="AB13" s="46">
        <f>IF('2022 Lønnsgr pensjon tjeneste'!F13=0,0,'2022 Pensjon tjeneste'!F13/'2022 Lønnsgr pensjon tjeneste'!F13)</f>
        <v>0.10237864220399283</v>
      </c>
      <c r="AC13" s="46">
        <f>IF('2022 Lønnsgr pensjon tjeneste'!G13=0,0,'2022 Pensjon tjeneste'!G13/'2022 Lønnsgr pensjon tjeneste'!G13)</f>
        <v>0</v>
      </c>
      <c r="AD13" s="46">
        <f>IF('2022 Lønnsgr pensjon tjeneste'!H13=0,0,'2022 Pensjon tjeneste'!H13/'2022 Lønnsgr pensjon tjeneste'!H13)</f>
        <v>0.11797964867946868</v>
      </c>
      <c r="AE13" s="46">
        <f>IF('2022 Lønnsgr pensjon tjeneste'!I13=0,0,'2022 Pensjon tjeneste'!I13/'2022 Lønnsgr pensjon tjeneste'!I13)</f>
        <v>0.41072369267519404</v>
      </c>
      <c r="AF13" s="46">
        <f>IF('2022 Lønnsgr pensjon tjeneste'!J13=0,0,'2022 Pensjon tjeneste'!J13/'2022 Lønnsgr pensjon tjeneste'!J13)</f>
        <v>0</v>
      </c>
      <c r="AG13" s="46">
        <f>IF('2022 Lønnsgr pensjon tjeneste'!K13=0,0,'2022 Pensjon tjeneste'!K13/'2022 Lønnsgr pensjon tjeneste'!K13)</f>
        <v>0.56105255871734439</v>
      </c>
      <c r="AH13" s="46">
        <f>IF('2022 Lønnsgr pensjon tjeneste'!L13=0,0,'2022 Pensjon tjeneste'!L13/'2022 Lønnsgr pensjon tjeneste'!L13)</f>
        <v>0.10737459571305169</v>
      </c>
      <c r="AI13" s="46">
        <f>IF('2022 Lønnsgr pensjon tjeneste'!M13=0,0,'2022 Pensjon tjeneste'!M13/'2022 Lønnsgr pensjon tjeneste'!M13)</f>
        <v>0.11184301350951582</v>
      </c>
      <c r="AJ13" s="46">
        <f>IF('2022 Lønnsgr pensjon tjeneste'!N13=0,0,'2022 Pensjon tjeneste'!N13/'2022 Lønnsgr pensjon tjeneste'!N13)</f>
        <v>0.11269286269286269</v>
      </c>
      <c r="AK13" s="46">
        <f>IF('2022 Lønnsgr pensjon tjeneste'!O13=0,0,'2022 Pensjon tjeneste'!O13/'2022 Lønnsgr pensjon tjeneste'!O13)</f>
        <v>0</v>
      </c>
      <c r="AL13" s="46">
        <f>IF('2022 Lønnsgr pensjon tjeneste'!P13=0,0,'2022 Pensjon tjeneste'!P13/'2022 Lønnsgr pensjon tjeneste'!P13)</f>
        <v>0.1168122270742358</v>
      </c>
      <c r="AM13" s="46">
        <f>IF('2022 Lønnsgr pensjon tjeneste'!Q13=0,0,'2022 Pensjon tjeneste'!Q13/'2022 Lønnsgr pensjon tjeneste'!Q13)</f>
        <v>0</v>
      </c>
    </row>
    <row r="14" spans="1:39" x14ac:dyDescent="0.25">
      <c r="A14" s="43">
        <v>5000</v>
      </c>
      <c r="B14" s="44" t="s">
        <v>390</v>
      </c>
      <c r="C14" s="1">
        <v>11658.04532899</v>
      </c>
      <c r="D14" s="3">
        <v>1.02035371</v>
      </c>
      <c r="E14" s="3">
        <v>1.2804020200000001</v>
      </c>
      <c r="F14" s="3">
        <v>1.0615868000000002</v>
      </c>
      <c r="G14" s="3">
        <v>1.2282993799999999</v>
      </c>
      <c r="H14" s="3">
        <v>1.0043769899999999</v>
      </c>
      <c r="I14" s="3"/>
      <c r="J14" s="46">
        <f>IF('2022 Lønnsgr arbavg tjeneste'!D14=0,0,'2022 Arbavg tjeneste'!D14/'2022 Lønnsgr arbavg tjeneste'!D14)</f>
        <v>0.12812878709205261</v>
      </c>
      <c r="K14" s="46">
        <f>IF('2022 Lønnsgr arbavg tjeneste'!E14=0,0,'2022 Arbavg tjeneste'!E14/'2022 Lønnsgr arbavg tjeneste'!E14)</f>
        <v>0.29025552187093978</v>
      </c>
      <c r="L14" s="46">
        <f>IF('2022 Lønnsgr arbavg tjeneste'!F14=0,0,'2022 Arbavg tjeneste'!F14/'2022 Lønnsgr arbavg tjeneste'!F14)</f>
        <v>0.14369951058435049</v>
      </c>
      <c r="M14" s="46">
        <f>IF('2022 Lønnsgr arbavg tjeneste'!G14=0,0,'2022 Arbavg tjeneste'!G14/'2022 Lønnsgr arbavg tjeneste'!G14)</f>
        <v>0.11941340782122906</v>
      </c>
      <c r="N14" s="46">
        <f>IF('2022 Lønnsgr arbavg tjeneste'!H14=0,0,'2022 Arbavg tjeneste'!H14/'2022 Lønnsgr arbavg tjeneste'!H14)</f>
        <v>0.12556505669485146</v>
      </c>
      <c r="O14" s="46">
        <f>IF('2022 Lønnsgr arbavg tjeneste'!I14=0,0,'2022 Arbavg tjeneste'!I14/'2022 Lønnsgr arbavg tjeneste'!I14)</f>
        <v>9.0884366724717891E-2</v>
      </c>
      <c r="P14" s="46">
        <f>IF('2022 Lønnsgr arbavg tjeneste'!J14=0,0,'2022 Arbavg tjeneste'!J14/'2022 Lønnsgr arbavg tjeneste'!J14)</f>
        <v>0</v>
      </c>
      <c r="Q14" s="46">
        <f>IF('2022 Lønnsgr arbavg tjeneste'!K14=0,0,'2022 Arbavg tjeneste'!K14/'2022 Lønnsgr arbavg tjeneste'!K14)</f>
        <v>6.9134901476449781E-2</v>
      </c>
      <c r="R14" s="46">
        <f>IF('2022 Lønnsgr arbavg tjeneste'!L14=0,0,'2022 Arbavg tjeneste'!L14/'2022 Lønnsgr arbavg tjeneste'!L14)</f>
        <v>0.13800101471334347</v>
      </c>
      <c r="S14" s="46">
        <f>IF('2022 Lønnsgr arbavg tjeneste'!M14=0,0,'2022 Arbavg tjeneste'!M14/'2022 Lønnsgr arbavg tjeneste'!M14)</f>
        <v>0.12330395572863291</v>
      </c>
      <c r="T14" s="46">
        <f>IF('2022 Lønnsgr arbavg tjeneste'!N14=0,0,'2022 Arbavg tjeneste'!N14/'2022 Lønnsgr arbavg tjeneste'!N14)</f>
        <v>0.14327877649584117</v>
      </c>
      <c r="U14" s="46">
        <f>IF('2022 Lønnsgr arbavg tjeneste'!O14=0,0,'2022 Arbavg tjeneste'!O14/'2022 Lønnsgr arbavg tjeneste'!O14)</f>
        <v>0</v>
      </c>
      <c r="V14" s="46">
        <f>IF('2022 Lønnsgr arbavg tjeneste'!P14=0,0,'2022 Arbavg tjeneste'!P14/'2022 Lønnsgr arbavg tjeneste'!P14)</f>
        <v>0</v>
      </c>
      <c r="W14" s="46">
        <f>IF('2022 Lønnsgr arbavg tjeneste'!Q14=0,0,'2022 Arbavg tjeneste'!Q14/'2022 Lønnsgr arbavg tjeneste'!Q14)</f>
        <v>0</v>
      </c>
      <c r="X14" s="46">
        <f>IF('2022 Lønnsgr arbavg tjeneste'!R14=0,0,'2022 Arbavg tjeneste'!R14/'2022 Lønnsgr arbavg tjeneste'!R14)</f>
        <v>-0.31579765086072958</v>
      </c>
      <c r="Z14" s="46">
        <f>IF('2022 Lønnsgr pensjon tjeneste'!D14=0,0,'2022 Pensjon tjeneste'!D14/'2022 Lønnsgr pensjon tjeneste'!D14)</f>
        <v>9.1580446880081115E-2</v>
      </c>
      <c r="AA14" s="46">
        <f>IF('2022 Lønnsgr pensjon tjeneste'!E14=0,0,'2022 Pensjon tjeneste'!E14/'2022 Lønnsgr pensjon tjeneste'!E14)</f>
        <v>0.29355742296918769</v>
      </c>
      <c r="AB14" s="46">
        <f>IF('2022 Lønnsgr pensjon tjeneste'!F14=0,0,'2022 Pensjon tjeneste'!F14/'2022 Lønnsgr pensjon tjeneste'!F14)</f>
        <v>0.14148212963586188</v>
      </c>
      <c r="AC14" s="46">
        <f>IF('2022 Lønnsgr pensjon tjeneste'!G14=0,0,'2022 Pensjon tjeneste'!G14/'2022 Lønnsgr pensjon tjeneste'!G14)</f>
        <v>0.11483067341377969</v>
      </c>
      <c r="AD14" s="46">
        <f>IF('2022 Lønnsgr pensjon tjeneste'!H14=0,0,'2022 Pensjon tjeneste'!H14/'2022 Lønnsgr pensjon tjeneste'!H14)</f>
        <v>0.13953171732391745</v>
      </c>
      <c r="AE14" s="46">
        <f>IF('2022 Lønnsgr pensjon tjeneste'!I14=0,0,'2022 Pensjon tjeneste'!I14/'2022 Lønnsgr pensjon tjeneste'!I14)</f>
        <v>0.52701983956401044</v>
      </c>
      <c r="AF14" s="46">
        <f>IF('2022 Lønnsgr pensjon tjeneste'!J14=0,0,'2022 Pensjon tjeneste'!J14/'2022 Lønnsgr pensjon tjeneste'!J14)</f>
        <v>0</v>
      </c>
      <c r="AG14" s="46">
        <f>IF('2022 Lønnsgr pensjon tjeneste'!K14=0,0,'2022 Pensjon tjeneste'!K14/'2022 Lønnsgr pensjon tjeneste'!K14)</f>
        <v>0.83716118219615177</v>
      </c>
      <c r="AH14" s="46">
        <f>IF('2022 Lønnsgr pensjon tjeneste'!L14=0,0,'2022 Pensjon tjeneste'!L14/'2022 Lønnsgr pensjon tjeneste'!L14)</f>
        <v>0.12908153523009355</v>
      </c>
      <c r="AI14" s="46">
        <f>IF('2022 Lønnsgr pensjon tjeneste'!M14=0,0,'2022 Pensjon tjeneste'!M14/'2022 Lønnsgr pensjon tjeneste'!M14)</f>
        <v>0.1134185303514377</v>
      </c>
      <c r="AJ14" s="46">
        <f>IF('2022 Lønnsgr pensjon tjeneste'!N14=0,0,'2022 Pensjon tjeneste'!N14/'2022 Lønnsgr pensjon tjeneste'!N14)</f>
        <v>0.12230865746549562</v>
      </c>
      <c r="AK14" s="46">
        <f>IF('2022 Lønnsgr pensjon tjeneste'!O14=0,0,'2022 Pensjon tjeneste'!O14/'2022 Lønnsgr pensjon tjeneste'!O14)</f>
        <v>0</v>
      </c>
      <c r="AL14" s="46">
        <f>IF('2022 Lønnsgr pensjon tjeneste'!P14=0,0,'2022 Pensjon tjeneste'!P14/'2022 Lønnsgr pensjon tjeneste'!P14)</f>
        <v>0</v>
      </c>
      <c r="AM14" s="46">
        <f>IF('2022 Lønnsgr pensjon tjeneste'!Q14=0,0,'2022 Pensjon tjeneste'!Q14/'2022 Lønnsgr pensjon tjeneste'!Q14)</f>
        <v>0</v>
      </c>
    </row>
    <row r="15" spans="1:39" x14ac:dyDescent="0.25">
      <c r="A15" s="43">
        <v>5400</v>
      </c>
      <c r="B15" s="44" t="s">
        <v>396</v>
      </c>
      <c r="C15" s="1">
        <v>59148.731018749997</v>
      </c>
      <c r="D15" s="3">
        <v>1.0642349100000001</v>
      </c>
      <c r="E15" s="3">
        <v>2.0654747200000001</v>
      </c>
      <c r="F15" s="3">
        <v>1.1215987199999999</v>
      </c>
      <c r="G15" s="3">
        <v>3.1805990999999998</v>
      </c>
      <c r="H15" s="3">
        <v>0.97130740000000015</v>
      </c>
      <c r="I15" s="3"/>
      <c r="J15" s="46">
        <f>IF('2022 Lønnsgr arbavg tjeneste'!D15=0,0,'2022 Arbavg tjeneste'!D15/'2022 Lønnsgr arbavg tjeneste'!D15)</f>
        <v>3.9730046909424541E-2</v>
      </c>
      <c r="K15" s="46">
        <f>IF('2022 Lønnsgr arbavg tjeneste'!E15=0,0,'2022 Arbavg tjeneste'!E15/'2022 Lønnsgr arbavg tjeneste'!E15)</f>
        <v>4.0600137726919755E-2</v>
      </c>
      <c r="L15" s="46">
        <f>IF('2022 Lønnsgr arbavg tjeneste'!F15=0,0,'2022 Arbavg tjeneste'!F15/'2022 Lønnsgr arbavg tjeneste'!F15)</f>
        <v>6.13703012529992E-2</v>
      </c>
      <c r="M15" s="46">
        <f>IF('2022 Lønnsgr arbavg tjeneste'!G15=0,0,'2022 Arbavg tjeneste'!G15/'2022 Lønnsgr arbavg tjeneste'!G15)</f>
        <v>2.5688756515264335E-2</v>
      </c>
      <c r="N15" s="46">
        <f>IF('2022 Lønnsgr arbavg tjeneste'!H15=0,0,'2022 Arbavg tjeneste'!H15/'2022 Lønnsgr arbavg tjeneste'!H15)</f>
        <v>3.6037500877656531E-2</v>
      </c>
      <c r="O15" s="46">
        <f>IF('2022 Lønnsgr arbavg tjeneste'!I15=0,0,'2022 Arbavg tjeneste'!I15/'2022 Lønnsgr arbavg tjeneste'!I15)</f>
        <v>5.2994693518780535E-2</v>
      </c>
      <c r="P15" s="46">
        <f>IF('2022 Lønnsgr arbavg tjeneste'!J15=0,0,'2022 Arbavg tjeneste'!J15/'2022 Lønnsgr arbavg tjeneste'!J15)</f>
        <v>0</v>
      </c>
      <c r="Q15" s="46">
        <f>IF('2022 Lønnsgr arbavg tjeneste'!K15=0,0,'2022 Arbavg tjeneste'!K15/'2022 Lønnsgr arbavg tjeneste'!K15)</f>
        <v>5.2777863561965351E-2</v>
      </c>
      <c r="R15" s="46">
        <f>IF('2022 Lønnsgr arbavg tjeneste'!L15=0,0,'2022 Arbavg tjeneste'!L15/'2022 Lønnsgr arbavg tjeneste'!L15)</f>
        <v>5.2147360907324421E-2</v>
      </c>
      <c r="S15" s="46">
        <f>IF('2022 Lønnsgr arbavg tjeneste'!M15=0,0,'2022 Arbavg tjeneste'!M15/'2022 Lønnsgr arbavg tjeneste'!M15)</f>
        <v>5.0435636274389496E-2</v>
      </c>
      <c r="T15" s="46">
        <f>IF('2022 Lønnsgr arbavg tjeneste'!N15=0,0,'2022 Arbavg tjeneste'!N15/'2022 Lønnsgr arbavg tjeneste'!N15)</f>
        <v>3.3131526871607989E-2</v>
      </c>
      <c r="U15" s="46">
        <f>IF('2022 Lønnsgr arbavg tjeneste'!O15=0,0,'2022 Arbavg tjeneste'!O15/'2022 Lønnsgr arbavg tjeneste'!O15)</f>
        <v>0</v>
      </c>
      <c r="V15" s="46">
        <f>IF('2022 Lønnsgr arbavg tjeneste'!P15=0,0,'2022 Arbavg tjeneste'!P15/'2022 Lønnsgr arbavg tjeneste'!P15)</f>
        <v>7.7991270112975006E-2</v>
      </c>
      <c r="W15" s="46">
        <f>IF('2022 Lønnsgr arbavg tjeneste'!Q15=0,0,'2022 Arbavg tjeneste'!Q15/'2022 Lønnsgr arbavg tjeneste'!Q15)</f>
        <v>0</v>
      </c>
      <c r="X15" s="46">
        <f>IF('2022 Lønnsgr arbavg tjeneste'!R15=0,0,'2022 Arbavg tjeneste'!R15/'2022 Lønnsgr arbavg tjeneste'!R15)</f>
        <v>3.2286531556204735E-2</v>
      </c>
      <c r="Z15" s="46">
        <f>IF('2022 Lønnsgr pensjon tjeneste'!D15=0,0,'2022 Pensjon tjeneste'!D15/'2022 Lønnsgr pensjon tjeneste'!D15)</f>
        <v>0.1180442701244527</v>
      </c>
      <c r="AA15" s="46">
        <f>IF('2022 Lønnsgr pensjon tjeneste'!E15=0,0,'2022 Pensjon tjeneste'!E15/'2022 Lønnsgr pensjon tjeneste'!E15)</f>
        <v>0.2870990250249873</v>
      </c>
      <c r="AB15" s="46">
        <f>IF('2022 Lønnsgr pensjon tjeneste'!F15=0,0,'2022 Pensjon tjeneste'!F15/'2022 Lønnsgr pensjon tjeneste'!F15)</f>
        <v>0.22114789855780187</v>
      </c>
      <c r="AC15" s="46">
        <f>IF('2022 Lønnsgr pensjon tjeneste'!G15=0,0,'2022 Pensjon tjeneste'!G15/'2022 Lønnsgr pensjon tjeneste'!G15)</f>
        <v>0.2110009017132552</v>
      </c>
      <c r="AD15" s="46">
        <f>IF('2022 Lønnsgr pensjon tjeneste'!H15=0,0,'2022 Pensjon tjeneste'!H15/'2022 Lønnsgr pensjon tjeneste'!H15)</f>
        <v>0.2314255680292695</v>
      </c>
      <c r="AE15" s="46">
        <f>IF('2022 Lønnsgr pensjon tjeneste'!I15=0,0,'2022 Pensjon tjeneste'!I15/'2022 Lønnsgr pensjon tjeneste'!I15)</f>
        <v>0.21837681159420289</v>
      </c>
      <c r="AF15" s="46">
        <f>IF('2022 Lønnsgr pensjon tjeneste'!J15=0,0,'2022 Pensjon tjeneste'!J15/'2022 Lønnsgr pensjon tjeneste'!J15)</f>
        <v>0</v>
      </c>
      <c r="AG15" s="46">
        <f>IF('2022 Lønnsgr pensjon tjeneste'!K15=0,0,'2022 Pensjon tjeneste'!K15/'2022 Lønnsgr pensjon tjeneste'!K15)</f>
        <v>0.21138450356467181</v>
      </c>
      <c r="AH15" s="46">
        <f>IF('2022 Lønnsgr pensjon tjeneste'!L15=0,0,'2022 Pensjon tjeneste'!L15/'2022 Lønnsgr pensjon tjeneste'!L15)</f>
        <v>0.22282028901173503</v>
      </c>
      <c r="AI15" s="46">
        <f>IF('2022 Lønnsgr pensjon tjeneste'!M15=0,0,'2022 Pensjon tjeneste'!M15/'2022 Lønnsgr pensjon tjeneste'!M15)</f>
        <v>0.22161702978213071</v>
      </c>
      <c r="AJ15" s="46">
        <f>IF('2022 Lønnsgr pensjon tjeneste'!N15=0,0,'2022 Pensjon tjeneste'!N15/'2022 Lønnsgr pensjon tjeneste'!N15)</f>
        <v>0.22560272788396887</v>
      </c>
      <c r="AK15" s="46">
        <f>IF('2022 Lønnsgr pensjon tjeneste'!O15=0,0,'2022 Pensjon tjeneste'!O15/'2022 Lønnsgr pensjon tjeneste'!O15)</f>
        <v>0</v>
      </c>
      <c r="AL15" s="46">
        <f>IF('2022 Lønnsgr pensjon tjeneste'!P15=0,0,'2022 Pensjon tjeneste'!P15/'2022 Lønnsgr pensjon tjeneste'!P15)</f>
        <v>0.238499046003816</v>
      </c>
      <c r="AM15" s="46">
        <f>IF('2022 Lønnsgr pensjon tjeneste'!Q15=0,0,'2022 Pensjon tjeneste'!Q15/'2022 Lønnsgr pensjon tjeneste'!Q15)</f>
        <v>0</v>
      </c>
    </row>
    <row r="16" spans="1:39" x14ac:dyDescent="0.25">
      <c r="C16" s="4"/>
      <c r="D16" s="4"/>
      <c r="E16" s="4"/>
      <c r="F16" s="4"/>
      <c r="G16" s="4"/>
      <c r="H16" s="4"/>
      <c r="I16" s="4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</row>
    <row r="17" spans="2:39" x14ac:dyDescent="0.25">
      <c r="B17" s="1" t="s">
        <v>3</v>
      </c>
      <c r="C17" s="1">
        <f>SUM(C5:C15)</f>
        <v>1.0011717677116394E-8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/>
      <c r="J17" s="46">
        <f>IF('2022 Lønnsgr arbavg tjeneste'!D17=0,0,'2022 Arbavg tjeneste'!D17/'2022 Lønnsgr arbavg tjeneste'!D17)</f>
        <v>0.12626374654216765</v>
      </c>
      <c r="K17" s="46">
        <f>IF('2022 Lønnsgr arbavg tjeneste'!E17=0,0,'2022 Arbavg tjeneste'!E17/'2022 Lønnsgr arbavg tjeneste'!E17)</f>
        <v>0.19908815116982434</v>
      </c>
      <c r="L17" s="46">
        <f>IF('2022 Lønnsgr arbavg tjeneste'!F17=0,0,'2022 Arbavg tjeneste'!F17/'2022 Lønnsgr arbavg tjeneste'!F17)</f>
        <v>0.13102675882546369</v>
      </c>
      <c r="M17" s="46">
        <f>IF('2022 Lønnsgr arbavg tjeneste'!G17=0,0,'2022 Arbavg tjeneste'!G17/'2022 Lønnsgr arbavg tjeneste'!G17)</f>
        <v>0.10992898577114169</v>
      </c>
      <c r="N17" s="46">
        <f>IF('2022 Lønnsgr arbavg tjeneste'!H17=0,0,'2022 Arbavg tjeneste'!H17/'2022 Lønnsgr arbavg tjeneste'!H17)</f>
        <v>0.11588746540269655</v>
      </c>
      <c r="O17" s="46">
        <f>IF('2022 Lønnsgr arbavg tjeneste'!I17=0,0,'2022 Arbavg tjeneste'!I17/'2022 Lønnsgr arbavg tjeneste'!I17)</f>
        <v>0.11500380182839852</v>
      </c>
      <c r="P17" s="46">
        <f>IF('2022 Lønnsgr arbavg tjeneste'!J17=0,0,'2022 Arbavg tjeneste'!J17/'2022 Lønnsgr arbavg tjeneste'!J17)</f>
        <v>0</v>
      </c>
      <c r="Q17" s="46">
        <f>IF('2022 Lønnsgr arbavg tjeneste'!K17=0,0,'2022 Arbavg tjeneste'!K17/'2022 Lønnsgr arbavg tjeneste'!K17)</f>
        <v>0.11208774074129961</v>
      </c>
      <c r="R17" s="46">
        <f>IF('2022 Lønnsgr arbavg tjeneste'!L17=0,0,'2022 Arbavg tjeneste'!L17/'2022 Lønnsgr arbavg tjeneste'!L17)</f>
        <v>0.12627635884177554</v>
      </c>
      <c r="S17" s="46">
        <f>IF('2022 Lønnsgr arbavg tjeneste'!M17=0,0,'2022 Arbavg tjeneste'!M17/'2022 Lønnsgr arbavg tjeneste'!M17)</f>
        <v>0.11968051508791948</v>
      </c>
      <c r="T17" s="46">
        <f>IF('2022 Lønnsgr arbavg tjeneste'!N17=0,0,'2022 Arbavg tjeneste'!N17/'2022 Lønnsgr arbavg tjeneste'!N17)</f>
        <v>0.11604736581814949</v>
      </c>
      <c r="U17" s="46">
        <f>IF('2022 Lønnsgr arbavg tjeneste'!O17=0,0,'2022 Arbavg tjeneste'!O17/'2022 Lønnsgr arbavg tjeneste'!O17)</f>
        <v>0.14034503088872369</v>
      </c>
      <c r="V17" s="46">
        <f>IF('2022 Lønnsgr arbavg tjeneste'!P17=0,0,'2022 Arbavg tjeneste'!P17/'2022 Lønnsgr arbavg tjeneste'!P17)</f>
        <v>8.5062890489771018E-2</v>
      </c>
      <c r="W17" s="46">
        <f>IF('2022 Lønnsgr arbavg tjeneste'!Q17=0,0,'2022 Arbavg tjeneste'!Q17/'2022 Lønnsgr arbavg tjeneste'!Q17)</f>
        <v>0</v>
      </c>
      <c r="X17" s="46">
        <f>IF('2022 Lønnsgr arbavg tjeneste'!R17=0,0,'2022 Arbavg tjeneste'!R17/'2022 Lønnsgr arbavg tjeneste'!R17)</f>
        <v>1.8216128377319309E-2</v>
      </c>
      <c r="Z17" s="46">
        <f>IF('2022 Lønnsgr pensjon tjeneste'!D17=0,0,'2022 Pensjon tjeneste'!D17/'2022 Lønnsgr pensjon tjeneste'!D17)</f>
        <v>9.5976604241459387E-2</v>
      </c>
      <c r="AA17" s="46">
        <f>IF('2022 Lønnsgr pensjon tjeneste'!E17=0,0,'2022 Pensjon tjeneste'!E17/'2022 Lønnsgr pensjon tjeneste'!E17)</f>
        <v>0.27795112073488876</v>
      </c>
      <c r="AB17" s="46">
        <f>IF('2022 Lønnsgr pensjon tjeneste'!F17=0,0,'2022 Pensjon tjeneste'!F17/'2022 Lønnsgr pensjon tjeneste'!F17)</f>
        <v>0.18485900551633686</v>
      </c>
      <c r="AC17" s="46">
        <f>IF('2022 Lønnsgr pensjon tjeneste'!G17=0,0,'2022 Pensjon tjeneste'!G17/'2022 Lønnsgr pensjon tjeneste'!G17)</f>
        <v>0.17307985719080896</v>
      </c>
      <c r="AD17" s="46">
        <f>IF('2022 Lønnsgr pensjon tjeneste'!H17=0,0,'2022 Pensjon tjeneste'!H17/'2022 Lønnsgr pensjon tjeneste'!H17)</f>
        <v>0.19201333414194519</v>
      </c>
      <c r="AE17" s="46">
        <f>IF('2022 Lønnsgr pensjon tjeneste'!I17=0,0,'2022 Pensjon tjeneste'!I17/'2022 Lønnsgr pensjon tjeneste'!I17)</f>
        <v>0.34042147408286411</v>
      </c>
      <c r="AF17" s="46">
        <f>IF('2022 Lønnsgr pensjon tjeneste'!J17=0,0,'2022 Pensjon tjeneste'!J17/'2022 Lønnsgr pensjon tjeneste'!J17)</f>
        <v>0</v>
      </c>
      <c r="AG17" s="46">
        <f>IF('2022 Lønnsgr pensjon tjeneste'!K17=0,0,'2022 Pensjon tjeneste'!K17/'2022 Lønnsgr pensjon tjeneste'!K17)</f>
        <v>0.44417671432885353</v>
      </c>
      <c r="AH17" s="46">
        <f>IF('2022 Lønnsgr pensjon tjeneste'!L17=0,0,'2022 Pensjon tjeneste'!L17/'2022 Lønnsgr pensjon tjeneste'!L17)</f>
        <v>0.1741065138568603</v>
      </c>
      <c r="AI17" s="46">
        <f>IF('2022 Lønnsgr pensjon tjeneste'!M17=0,0,'2022 Pensjon tjeneste'!M17/'2022 Lønnsgr pensjon tjeneste'!M17)</f>
        <v>0.16631495898327964</v>
      </c>
      <c r="AJ17" s="46">
        <f>IF('2022 Lønnsgr pensjon tjeneste'!N17=0,0,'2022 Pensjon tjeneste'!N17/'2022 Lønnsgr pensjon tjeneste'!N17)</f>
        <v>0.16109114605175717</v>
      </c>
      <c r="AK17" s="46">
        <f>IF('2022 Lønnsgr pensjon tjeneste'!O17=0,0,'2022 Pensjon tjeneste'!O17/'2022 Lønnsgr pensjon tjeneste'!O17)</f>
        <v>0.12123128215445636</v>
      </c>
      <c r="AL17" s="46">
        <f>IF('2022 Lønnsgr pensjon tjeneste'!P17=0,0,'2022 Pensjon tjeneste'!P17/'2022 Lønnsgr pensjon tjeneste'!P17)</f>
        <v>0.20409297524762302</v>
      </c>
      <c r="AM17" s="46">
        <f>IF('2022 Lønnsgr pensjon tjeneste'!Q17=0,0,'2022 Pensjon tjeneste'!Q17/'2022 Lønnsgr pensjon tjeneste'!Q17)</f>
        <v>0</v>
      </c>
    </row>
    <row r="18" spans="2:39" x14ac:dyDescent="0.25"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2:39" x14ac:dyDescent="0.25"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2:39" x14ac:dyDescent="0.25"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2:39" x14ac:dyDescent="0.25"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</sheetData>
  <sheetProtection algorithmName="SHA-512" hashValue="IBoyF4SLvivnGTeG9HnUlfeG0l/d+NMOlTkDKUjTj92FdV+JlkPAYxbbkPklnUiPasD79WLPrKZ3Qx/AQc1uvQ==" saltValue="I431PdMEQdYJcJMRtpIsow==" spinCount="100000" sheet="1" selectLockedCells="1" selectUnlockedCells="1"/>
  <mergeCells count="3">
    <mergeCell ref="D1:H1"/>
    <mergeCell ref="J1:X1"/>
    <mergeCell ref="Z1:AM1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A625C-0058-429D-91CC-5FF4C82E0AED}">
  <sheetPr>
    <tabColor rgb="FF92D050"/>
  </sheetPr>
  <dimension ref="A1:Y17"/>
  <sheetViews>
    <sheetView workbookViewId="0">
      <pane xSplit="2" ySplit="3" topLeftCell="G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5" x14ac:dyDescent="0.25"/>
  <cols>
    <col min="1" max="1" width="9.85546875" customWidth="1"/>
    <col min="2" max="3" width="18.5703125" customWidth="1"/>
    <col min="4" max="8" width="13.140625" customWidth="1"/>
    <col min="9" max="9" width="14.5703125" customWidth="1"/>
    <col min="10" max="18" width="13.140625" customWidth="1"/>
    <col min="19" max="19" width="7.140625" customWidth="1"/>
    <col min="20" max="21" width="13.140625" customWidth="1"/>
    <col min="24" max="24" width="14" customWidth="1"/>
    <col min="25" max="25" width="14.140625" customWidth="1"/>
  </cols>
  <sheetData>
    <row r="1" spans="1:25" x14ac:dyDescent="0.25">
      <c r="D1" s="5"/>
      <c r="E1" s="5"/>
      <c r="F1" s="5"/>
      <c r="G1" s="5"/>
      <c r="H1" s="5"/>
      <c r="J1" s="5"/>
      <c r="K1" s="5"/>
      <c r="L1" s="5"/>
      <c r="M1" s="5"/>
    </row>
    <row r="2" spans="1:25" ht="104.25" customHeight="1" x14ac:dyDescent="0.25">
      <c r="A2" s="24" t="s">
        <v>2</v>
      </c>
      <c r="B2" s="24" t="s">
        <v>1</v>
      </c>
      <c r="C2" s="24" t="s">
        <v>108</v>
      </c>
      <c r="D2" s="24" t="s">
        <v>250</v>
      </c>
      <c r="E2" s="24" t="s">
        <v>251</v>
      </c>
      <c r="F2" s="24" t="s">
        <v>307</v>
      </c>
      <c r="G2" s="24" t="s">
        <v>308</v>
      </c>
      <c r="H2" s="24" t="s">
        <v>252</v>
      </c>
      <c r="I2" s="13" t="s">
        <v>253</v>
      </c>
      <c r="J2" s="24" t="s">
        <v>254</v>
      </c>
      <c r="K2" s="24" t="s">
        <v>255</v>
      </c>
      <c r="L2" s="24" t="s">
        <v>256</v>
      </c>
      <c r="M2" s="24" t="s">
        <v>257</v>
      </c>
      <c r="N2" s="24" t="s">
        <v>258</v>
      </c>
      <c r="O2" s="24" t="s">
        <v>259</v>
      </c>
      <c r="P2" s="24" t="s">
        <v>260</v>
      </c>
      <c r="Q2" s="24" t="s">
        <v>261</v>
      </c>
      <c r="R2" s="24" t="s">
        <v>107</v>
      </c>
      <c r="S2" s="24"/>
      <c r="T2" s="24" t="s">
        <v>400</v>
      </c>
      <c r="U2" s="24" t="s">
        <v>399</v>
      </c>
      <c r="V2" s="24"/>
      <c r="W2" s="24"/>
      <c r="X2" s="24"/>
      <c r="Y2" s="24"/>
    </row>
    <row r="3" spans="1:25" x14ac:dyDescent="0.25">
      <c r="A3" s="107">
        <v>1</v>
      </c>
      <c r="B3" s="107">
        <f t="shared" ref="B3:H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>H3+1</f>
        <v>9</v>
      </c>
      <c r="J3" s="107">
        <f t="shared" ref="J3:Y3" si="1">+I3+1</f>
        <v>10</v>
      </c>
      <c r="K3" s="107">
        <f t="shared" si="1"/>
        <v>11</v>
      </c>
      <c r="L3" s="107">
        <f t="shared" si="1"/>
        <v>12</v>
      </c>
      <c r="M3" s="107">
        <f t="shared" si="1"/>
        <v>13</v>
      </c>
      <c r="N3" s="107">
        <f t="shared" si="1"/>
        <v>14</v>
      </c>
      <c r="O3" s="107">
        <f t="shared" si="1"/>
        <v>15</v>
      </c>
      <c r="P3" s="107">
        <f t="shared" si="1"/>
        <v>16</v>
      </c>
      <c r="Q3" s="107">
        <f t="shared" si="1"/>
        <v>17</v>
      </c>
      <c r="R3" s="107">
        <f t="shared" si="1"/>
        <v>18</v>
      </c>
      <c r="S3" s="107">
        <f t="shared" si="1"/>
        <v>19</v>
      </c>
      <c r="T3" s="107">
        <f t="shared" si="1"/>
        <v>20</v>
      </c>
      <c r="U3" s="107">
        <f t="shared" si="1"/>
        <v>21</v>
      </c>
      <c r="V3" s="107">
        <f t="shared" si="1"/>
        <v>22</v>
      </c>
      <c r="W3" s="107">
        <f t="shared" si="1"/>
        <v>23</v>
      </c>
      <c r="X3" s="107">
        <f t="shared" si="1"/>
        <v>24</v>
      </c>
      <c r="Y3" s="107">
        <f t="shared" si="1"/>
        <v>25</v>
      </c>
    </row>
    <row r="4" spans="1:25" x14ac:dyDescent="0.25">
      <c r="C4" s="5"/>
      <c r="I4" s="21"/>
    </row>
    <row r="5" spans="1:25" x14ac:dyDescent="0.25">
      <c r="A5" s="43">
        <v>300</v>
      </c>
      <c r="B5" s="44" t="s">
        <v>0</v>
      </c>
      <c r="C5" s="1">
        <f t="shared" ref="C5:C15" si="2">SUM(D5:I5)+R5</f>
        <v>8237501.8520716522</v>
      </c>
      <c r="D5" s="1">
        <v>4352772</v>
      </c>
      <c r="E5" s="1">
        <v>0</v>
      </c>
      <c r="F5" s="114">
        <f>3102753+129450+27576+361839</f>
        <v>3621618</v>
      </c>
      <c r="G5" s="114">
        <f>24877+3855</f>
        <v>28732</v>
      </c>
      <c r="H5" s="1">
        <v>262702</v>
      </c>
      <c r="I5" s="11">
        <f t="shared" ref="I5:I15" si="3">SUM(J5:Q5)</f>
        <v>377633</v>
      </c>
      <c r="J5" s="1"/>
      <c r="K5" s="1">
        <v>134958</v>
      </c>
      <c r="L5" s="1">
        <v>0</v>
      </c>
      <c r="M5" s="1">
        <v>47813</v>
      </c>
      <c r="N5" s="1">
        <v>194862</v>
      </c>
      <c r="O5" s="1">
        <v>0</v>
      </c>
      <c r="P5" s="1">
        <v>0</v>
      </c>
      <c r="Q5" s="1"/>
      <c r="R5" s="112">
        <v>-405955.14792834799</v>
      </c>
      <c r="S5" s="1"/>
      <c r="T5" s="1">
        <f>+'2022 Nto driftsutg'!V5</f>
        <v>699827</v>
      </c>
      <c r="U5" s="1">
        <f>+'2022 Nto driftsutg'!W5</f>
        <v>699827</v>
      </c>
      <c r="W5" s="5"/>
      <c r="X5" s="1"/>
      <c r="Y5" s="1"/>
    </row>
    <row r="6" spans="1:25" x14ac:dyDescent="0.25">
      <c r="A6" s="43">
        <v>1100</v>
      </c>
      <c r="B6" s="44" t="s">
        <v>141</v>
      </c>
      <c r="C6" s="1">
        <f t="shared" si="2"/>
        <v>8661240</v>
      </c>
      <c r="D6" s="1">
        <v>4124509</v>
      </c>
      <c r="E6" s="1">
        <v>1174026</v>
      </c>
      <c r="F6" s="1">
        <v>1174650</v>
      </c>
      <c r="G6" s="1">
        <v>473299</v>
      </c>
      <c r="H6" s="1">
        <v>445393</v>
      </c>
      <c r="I6" s="11">
        <f t="shared" si="3"/>
        <v>1290125</v>
      </c>
      <c r="J6" s="1"/>
      <c r="K6" s="1">
        <v>354089</v>
      </c>
      <c r="L6" s="1">
        <v>153805</v>
      </c>
      <c r="M6" s="1">
        <v>196146</v>
      </c>
      <c r="N6" s="1">
        <v>381334</v>
      </c>
      <c r="O6" s="1">
        <v>0</v>
      </c>
      <c r="P6" s="1">
        <v>204751</v>
      </c>
      <c r="Q6" s="1"/>
      <c r="R6" s="1">
        <v>-20762</v>
      </c>
      <c r="S6" s="1"/>
      <c r="T6" s="1">
        <f>+'2022 Nto driftsutg'!V6</f>
        <v>485797</v>
      </c>
      <c r="U6" s="1">
        <f>+'2022 Nto driftsutg'!W6</f>
        <v>485797</v>
      </c>
      <c r="X6" s="1"/>
      <c r="Y6" s="1"/>
    </row>
    <row r="7" spans="1:25" x14ac:dyDescent="0.25">
      <c r="A7" s="43">
        <v>1500</v>
      </c>
      <c r="B7" s="44" t="s">
        <v>142</v>
      </c>
      <c r="C7" s="1">
        <f t="shared" si="2"/>
        <v>6662702</v>
      </c>
      <c r="D7" s="1">
        <v>2223795</v>
      </c>
      <c r="E7" s="1">
        <v>1232910</v>
      </c>
      <c r="F7" s="1">
        <v>870337</v>
      </c>
      <c r="G7" s="1">
        <v>1240107</v>
      </c>
      <c r="H7" s="1">
        <v>202803</v>
      </c>
      <c r="I7" s="11">
        <f t="shared" si="3"/>
        <v>880288</v>
      </c>
      <c r="J7" s="1"/>
      <c r="K7" s="1">
        <v>275021</v>
      </c>
      <c r="L7" s="1">
        <v>203315</v>
      </c>
      <c r="M7" s="1">
        <v>141035</v>
      </c>
      <c r="N7" s="1">
        <v>251289</v>
      </c>
      <c r="O7" s="1">
        <v>1137</v>
      </c>
      <c r="P7" s="1">
        <v>8491</v>
      </c>
      <c r="Q7" s="1"/>
      <c r="R7" s="1">
        <v>12462</v>
      </c>
      <c r="S7" s="1"/>
      <c r="T7" s="1">
        <f>+'2022 Nto driftsutg'!V7</f>
        <v>265848</v>
      </c>
      <c r="U7" s="1">
        <f>+'2022 Nto driftsutg'!W7</f>
        <v>265848</v>
      </c>
      <c r="X7" s="1"/>
      <c r="Y7" s="1"/>
    </row>
    <row r="8" spans="1:25" x14ac:dyDescent="0.25">
      <c r="A8" s="43">
        <v>1800</v>
      </c>
      <c r="B8" s="44" t="s">
        <v>143</v>
      </c>
      <c r="C8" s="1">
        <f t="shared" si="2"/>
        <v>6868750</v>
      </c>
      <c r="D8" s="1">
        <v>2421381</v>
      </c>
      <c r="E8" s="1">
        <v>1025300</v>
      </c>
      <c r="F8" s="1">
        <v>660090</v>
      </c>
      <c r="G8" s="1">
        <v>1364405</v>
      </c>
      <c r="H8" s="1">
        <v>316795</v>
      </c>
      <c r="I8" s="11">
        <f t="shared" si="3"/>
        <v>1112798</v>
      </c>
      <c r="J8" s="1"/>
      <c r="K8" s="1">
        <v>341336</v>
      </c>
      <c r="L8" s="1">
        <v>149161</v>
      </c>
      <c r="M8" s="1">
        <v>274606</v>
      </c>
      <c r="N8" s="1">
        <v>347315</v>
      </c>
      <c r="O8" s="1">
        <v>14</v>
      </c>
      <c r="P8" s="1">
        <v>366</v>
      </c>
      <c r="Q8" s="1"/>
      <c r="R8" s="1">
        <v>-32019</v>
      </c>
      <c r="S8" s="1"/>
      <c r="T8" s="1">
        <f>+'2022 Nto driftsutg'!V8</f>
        <v>240190</v>
      </c>
      <c r="U8" s="1">
        <f>+'2022 Nto driftsutg'!W8</f>
        <v>240190</v>
      </c>
      <c r="X8" s="1"/>
      <c r="Y8" s="1"/>
    </row>
    <row r="9" spans="1:25" x14ac:dyDescent="0.25">
      <c r="A9" s="43">
        <v>3000</v>
      </c>
      <c r="B9" s="44" t="s">
        <v>391</v>
      </c>
      <c r="C9" s="1">
        <f t="shared" si="2"/>
        <v>18678651</v>
      </c>
      <c r="D9" s="1">
        <v>9923869</v>
      </c>
      <c r="E9" s="1">
        <v>1998902</v>
      </c>
      <c r="F9" s="1">
        <v>3528421</v>
      </c>
      <c r="G9" s="1">
        <v>51365</v>
      </c>
      <c r="H9" s="1">
        <v>600331</v>
      </c>
      <c r="I9" s="11">
        <f t="shared" si="3"/>
        <v>2732584</v>
      </c>
      <c r="J9" s="1"/>
      <c r="K9" s="1">
        <v>1211793</v>
      </c>
      <c r="L9" s="1">
        <v>435780</v>
      </c>
      <c r="M9" s="1">
        <v>224161</v>
      </c>
      <c r="N9" s="1">
        <v>786428</v>
      </c>
      <c r="O9" s="1">
        <v>71464</v>
      </c>
      <c r="P9" s="1">
        <v>2958</v>
      </c>
      <c r="Q9" s="1"/>
      <c r="R9" s="1">
        <v>-156821</v>
      </c>
      <c r="S9" s="1"/>
      <c r="T9" s="1">
        <f>+'2022 Nto driftsutg'!V9</f>
        <v>1269230</v>
      </c>
      <c r="U9" s="1">
        <f>+'2022 Nto driftsutg'!W9</f>
        <v>1269230</v>
      </c>
      <c r="X9" s="1"/>
      <c r="Y9" s="1"/>
    </row>
    <row r="10" spans="1:25" x14ac:dyDescent="0.25">
      <c r="A10" s="43">
        <v>3400</v>
      </c>
      <c r="B10" s="44" t="s">
        <v>392</v>
      </c>
      <c r="C10" s="1">
        <f t="shared" si="2"/>
        <v>7214836</v>
      </c>
      <c r="D10" s="1">
        <v>3265202</v>
      </c>
      <c r="E10" s="1">
        <v>1243821</v>
      </c>
      <c r="F10" s="1">
        <v>1152596</v>
      </c>
      <c r="G10" s="1">
        <v>15238</v>
      </c>
      <c r="H10" s="1">
        <v>284899</v>
      </c>
      <c r="I10" s="11">
        <f t="shared" si="3"/>
        <v>1184398</v>
      </c>
      <c r="J10" s="1"/>
      <c r="K10" s="1">
        <v>417784</v>
      </c>
      <c r="L10" s="1">
        <v>220822</v>
      </c>
      <c r="M10" s="1">
        <v>254021</v>
      </c>
      <c r="N10" s="1">
        <v>291767</v>
      </c>
      <c r="O10" s="1">
        <v>0</v>
      </c>
      <c r="P10" s="1">
        <v>4</v>
      </c>
      <c r="Q10" s="1"/>
      <c r="R10" s="1">
        <v>68682</v>
      </c>
      <c r="S10" s="1"/>
      <c r="T10" s="1">
        <f>+'2022 Nto driftsutg'!V10</f>
        <v>371253</v>
      </c>
      <c r="U10" s="1">
        <f>+'2022 Nto driftsutg'!W10</f>
        <v>371253</v>
      </c>
      <c r="X10" s="1"/>
      <c r="Y10" s="1"/>
    </row>
    <row r="11" spans="1:25" x14ac:dyDescent="0.25">
      <c r="A11" s="43">
        <v>3800</v>
      </c>
      <c r="B11" s="44" t="s">
        <v>393</v>
      </c>
      <c r="C11" s="1">
        <f t="shared" si="2"/>
        <v>7130865</v>
      </c>
      <c r="D11" s="1">
        <v>3546548</v>
      </c>
      <c r="E11" s="1">
        <v>993148</v>
      </c>
      <c r="F11" s="1">
        <v>891343</v>
      </c>
      <c r="G11" s="1">
        <v>41405</v>
      </c>
      <c r="H11" s="1">
        <v>295365</v>
      </c>
      <c r="I11" s="11">
        <f t="shared" si="3"/>
        <v>1406781</v>
      </c>
      <c r="J11" s="1"/>
      <c r="K11" s="1">
        <v>427337</v>
      </c>
      <c r="L11" s="1">
        <v>378447</v>
      </c>
      <c r="M11" s="1">
        <v>188679</v>
      </c>
      <c r="N11" s="1">
        <v>395976</v>
      </c>
      <c r="O11" s="1">
        <v>5536</v>
      </c>
      <c r="P11" s="1">
        <v>10806</v>
      </c>
      <c r="Q11" s="1"/>
      <c r="R11" s="1">
        <v>-43725</v>
      </c>
      <c r="S11" s="1"/>
      <c r="T11" s="1">
        <f>+'2022 Nto driftsutg'!V11</f>
        <v>424832</v>
      </c>
      <c r="U11" s="1">
        <f>+'2022 Nto driftsutg'!W11</f>
        <v>424832</v>
      </c>
      <c r="X11" s="1"/>
      <c r="Y11" s="1"/>
    </row>
    <row r="12" spans="1:25" x14ac:dyDescent="0.25">
      <c r="A12" s="43">
        <v>4200</v>
      </c>
      <c r="B12" s="44" t="s">
        <v>394</v>
      </c>
      <c r="C12" s="1">
        <f t="shared" si="2"/>
        <v>5728553</v>
      </c>
      <c r="D12" s="1">
        <v>2815074</v>
      </c>
      <c r="E12" s="1">
        <v>1035979</v>
      </c>
      <c r="F12" s="1">
        <v>583144</v>
      </c>
      <c r="G12" s="1">
        <v>60857</v>
      </c>
      <c r="H12" s="1">
        <v>214724</v>
      </c>
      <c r="I12" s="11">
        <f t="shared" si="3"/>
        <v>1009504</v>
      </c>
      <c r="J12" s="1"/>
      <c r="K12" s="1">
        <v>373484</v>
      </c>
      <c r="L12" s="1">
        <v>299935</v>
      </c>
      <c r="M12" s="1">
        <v>109396</v>
      </c>
      <c r="N12" s="1">
        <v>225577</v>
      </c>
      <c r="O12" s="1">
        <v>0</v>
      </c>
      <c r="P12" s="1">
        <v>1112</v>
      </c>
      <c r="Q12" s="1"/>
      <c r="R12" s="1">
        <v>9271</v>
      </c>
      <c r="S12" s="1"/>
      <c r="T12" s="1">
        <f>+'2022 Nto driftsutg'!V12</f>
        <v>311134</v>
      </c>
      <c r="U12" s="1">
        <f>+'2022 Nto driftsutg'!W12</f>
        <v>311134</v>
      </c>
      <c r="X12" s="1"/>
      <c r="Y12" s="1"/>
    </row>
    <row r="13" spans="1:25" x14ac:dyDescent="0.25">
      <c r="A13" s="43">
        <v>4600</v>
      </c>
      <c r="B13" s="44" t="s">
        <v>395</v>
      </c>
      <c r="C13" s="1">
        <f t="shared" si="2"/>
        <v>15367123</v>
      </c>
      <c r="D13" s="1">
        <v>4896467</v>
      </c>
      <c r="E13" s="1">
        <v>2184274</v>
      </c>
      <c r="F13" s="1">
        <v>3282737</v>
      </c>
      <c r="G13" s="1">
        <v>1500911</v>
      </c>
      <c r="H13" s="1">
        <v>488277</v>
      </c>
      <c r="I13" s="11">
        <f t="shared" si="3"/>
        <v>2964488</v>
      </c>
      <c r="J13" s="1"/>
      <c r="K13" s="1">
        <v>822194</v>
      </c>
      <c r="L13" s="1">
        <v>354923</v>
      </c>
      <c r="M13" s="1">
        <v>1282475</v>
      </c>
      <c r="N13" s="1">
        <v>503233</v>
      </c>
      <c r="O13" s="1">
        <v>0</v>
      </c>
      <c r="P13" s="1">
        <v>1663</v>
      </c>
      <c r="Q13" s="1"/>
      <c r="R13" s="1">
        <v>49969</v>
      </c>
      <c r="S13" s="1"/>
      <c r="T13" s="1">
        <f>+'2022 Nto driftsutg'!V13</f>
        <v>641292</v>
      </c>
      <c r="U13" s="1">
        <f>+'2022 Nto driftsutg'!W13</f>
        <v>641292</v>
      </c>
      <c r="X13" s="1"/>
      <c r="Y13" s="1"/>
    </row>
    <row r="14" spans="1:25" x14ac:dyDescent="0.25">
      <c r="A14" s="43">
        <v>5000</v>
      </c>
      <c r="B14" s="44" t="s">
        <v>390</v>
      </c>
      <c r="C14" s="1">
        <f t="shared" si="2"/>
        <v>9329002</v>
      </c>
      <c r="D14" s="1">
        <v>4043858</v>
      </c>
      <c r="E14" s="1">
        <v>1613043</v>
      </c>
      <c r="F14" s="1">
        <v>1249165</v>
      </c>
      <c r="G14" s="1">
        <v>512771</v>
      </c>
      <c r="H14" s="1">
        <v>427518</v>
      </c>
      <c r="I14" s="11">
        <f t="shared" si="3"/>
        <v>1504666</v>
      </c>
      <c r="J14" s="1"/>
      <c r="K14" s="1">
        <v>494998</v>
      </c>
      <c r="L14" s="1">
        <v>247125</v>
      </c>
      <c r="M14" s="1">
        <v>265670</v>
      </c>
      <c r="N14" s="1">
        <v>496873</v>
      </c>
      <c r="O14" s="1">
        <v>0</v>
      </c>
      <c r="P14" s="1">
        <v>0</v>
      </c>
      <c r="Q14" s="1"/>
      <c r="R14" s="1">
        <v>-22019</v>
      </c>
      <c r="S14" s="1"/>
      <c r="T14" s="1">
        <f>+'2022 Nto driftsutg'!V14</f>
        <v>474131</v>
      </c>
      <c r="U14" s="1">
        <f>+'2022 Nto driftsutg'!W14</f>
        <v>474131</v>
      </c>
      <c r="X14" s="1"/>
      <c r="Y14" s="1"/>
    </row>
    <row r="15" spans="1:25" x14ac:dyDescent="0.25">
      <c r="A15" s="43">
        <v>5400</v>
      </c>
      <c r="B15" s="44" t="s">
        <v>396</v>
      </c>
      <c r="C15" s="1">
        <f t="shared" si="2"/>
        <v>7284696</v>
      </c>
      <c r="D15" s="1">
        <v>2363375</v>
      </c>
      <c r="E15" s="1">
        <v>1161775</v>
      </c>
      <c r="F15" s="1">
        <v>1122884</v>
      </c>
      <c r="G15" s="1">
        <v>858556</v>
      </c>
      <c r="H15" s="1">
        <v>411025</v>
      </c>
      <c r="I15" s="11">
        <f t="shared" si="3"/>
        <v>1434823</v>
      </c>
      <c r="J15" s="1"/>
      <c r="K15" s="1">
        <v>418747</v>
      </c>
      <c r="L15" s="1">
        <v>210900</v>
      </c>
      <c r="M15" s="1">
        <v>280387</v>
      </c>
      <c r="N15" s="1">
        <v>371136</v>
      </c>
      <c r="O15" s="1">
        <v>0</v>
      </c>
      <c r="P15" s="1">
        <v>153653</v>
      </c>
      <c r="Q15" s="1"/>
      <c r="R15" s="1">
        <v>-67742</v>
      </c>
      <c r="S15" s="1"/>
      <c r="T15" s="1">
        <f>+'2022 Nto driftsutg'!V15</f>
        <v>241736</v>
      </c>
      <c r="U15" s="1">
        <f>+'2022 Nto driftsutg'!W15</f>
        <v>241736</v>
      </c>
      <c r="X15" s="1"/>
      <c r="Y15" s="1"/>
    </row>
    <row r="16" spans="1:25" x14ac:dyDescent="0.25"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X16" s="4"/>
      <c r="Y16" s="4"/>
    </row>
    <row r="17" spans="2:25" x14ac:dyDescent="0.25">
      <c r="B17" s="1" t="s">
        <v>3</v>
      </c>
      <c r="C17" s="1">
        <f t="shared" ref="C17:R17" si="4">SUM(C5:C15)</f>
        <v>101163919.85207164</v>
      </c>
      <c r="D17" s="1">
        <f t="shared" si="4"/>
        <v>43976850</v>
      </c>
      <c r="E17" s="1">
        <f t="shared" si="4"/>
        <v>13663178</v>
      </c>
      <c r="F17" s="1">
        <f t="shared" si="4"/>
        <v>18136985</v>
      </c>
      <c r="G17" s="1">
        <f t="shared" si="4"/>
        <v>6147646</v>
      </c>
      <c r="H17" s="1">
        <f t="shared" si="4"/>
        <v>3949832</v>
      </c>
      <c r="I17" s="11">
        <f t="shared" si="4"/>
        <v>15898088</v>
      </c>
      <c r="J17" s="1">
        <f t="shared" si="4"/>
        <v>0</v>
      </c>
      <c r="K17" s="1">
        <f t="shared" si="4"/>
        <v>5271741</v>
      </c>
      <c r="L17" s="1">
        <f t="shared" si="4"/>
        <v>2654213</v>
      </c>
      <c r="M17" s="1">
        <f t="shared" si="4"/>
        <v>3264389</v>
      </c>
      <c r="N17" s="1">
        <f t="shared" si="4"/>
        <v>4245790</v>
      </c>
      <c r="O17" s="1">
        <f t="shared" si="4"/>
        <v>78151</v>
      </c>
      <c r="P17" s="1">
        <f t="shared" si="4"/>
        <v>383804</v>
      </c>
      <c r="Q17" s="1">
        <f t="shared" si="4"/>
        <v>0</v>
      </c>
      <c r="R17" s="1">
        <f t="shared" si="4"/>
        <v>-608659.14792834804</v>
      </c>
      <c r="S17" s="1"/>
      <c r="T17" s="1">
        <f>SUM(T5:T15)</f>
        <v>5425270</v>
      </c>
      <c r="U17" s="1">
        <f>SUM(U5:U15)</f>
        <v>5425270</v>
      </c>
      <c r="X17" s="1">
        <f>SUM(X5:X15)</f>
        <v>0</v>
      </c>
      <c r="Y17" s="1">
        <f>SUM(Y5:Y15)</f>
        <v>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759BE-62B5-45D9-827C-9ECD5E0A0017}">
  <sheetPr>
    <tabColor rgb="FFFFC000"/>
  </sheetPr>
  <dimension ref="A1:U18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5" x14ac:dyDescent="0.25"/>
  <cols>
    <col min="1" max="1" width="9.85546875" customWidth="1"/>
    <col min="2" max="3" width="18.5703125" customWidth="1"/>
    <col min="4" max="8" width="13.140625" customWidth="1"/>
    <col min="9" max="9" width="14.5703125" customWidth="1"/>
    <col min="10" max="18" width="13.140625" customWidth="1"/>
    <col min="19" max="19" width="6.42578125" customWidth="1"/>
    <col min="20" max="20" width="13.5703125" customWidth="1"/>
    <col min="21" max="21" width="13.85546875" customWidth="1"/>
  </cols>
  <sheetData>
    <row r="1" spans="1:21" x14ac:dyDescent="0.25">
      <c r="I1" s="5"/>
    </row>
    <row r="2" spans="1:21" ht="104.25" customHeight="1" x14ac:dyDescent="0.25">
      <c r="A2" s="24" t="s">
        <v>2</v>
      </c>
      <c r="B2" s="24" t="s">
        <v>1</v>
      </c>
      <c r="C2" s="24" t="s">
        <v>277</v>
      </c>
      <c r="D2" s="24" t="s">
        <v>262</v>
      </c>
      <c r="E2" s="24" t="s">
        <v>263</v>
      </c>
      <c r="F2" s="24" t="s">
        <v>309</v>
      </c>
      <c r="G2" s="24" t="s">
        <v>310</v>
      </c>
      <c r="H2" s="24" t="s">
        <v>264</v>
      </c>
      <c r="I2" s="13" t="s">
        <v>109</v>
      </c>
      <c r="J2" s="24" t="s">
        <v>110</v>
      </c>
      <c r="K2" s="24" t="s">
        <v>265</v>
      </c>
      <c r="L2" s="24" t="s">
        <v>266</v>
      </c>
      <c r="M2" s="24" t="s">
        <v>111</v>
      </c>
      <c r="N2" s="24" t="s">
        <v>267</v>
      </c>
      <c r="O2" s="24" t="s">
        <v>112</v>
      </c>
      <c r="P2" s="24" t="s">
        <v>113</v>
      </c>
      <c r="Q2" s="24" t="s">
        <v>268</v>
      </c>
      <c r="R2" s="24" t="s">
        <v>114</v>
      </c>
      <c r="S2" s="24"/>
      <c r="T2" s="24"/>
      <c r="U2" s="24"/>
    </row>
    <row r="3" spans="1:21" x14ac:dyDescent="0.25">
      <c r="A3" s="107">
        <v>1</v>
      </c>
      <c r="B3" s="107">
        <f t="shared" ref="B3:U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</row>
    <row r="4" spans="1:21" x14ac:dyDescent="0.25">
      <c r="I4" s="21"/>
    </row>
    <row r="5" spans="1:21" x14ac:dyDescent="0.25">
      <c r="A5" s="43">
        <v>300</v>
      </c>
      <c r="B5" s="44" t="s">
        <v>0</v>
      </c>
      <c r="C5" s="1">
        <f t="shared" ref="C5:C15" si="1">SUM(D5:I5)+R5</f>
        <v>7992056.8520716522</v>
      </c>
      <c r="D5" s="1">
        <f>+'2022 Bto driftsutg'!D5-'2022 Avskrivning'!D5</f>
        <v>4118393</v>
      </c>
      <c r="E5" s="1">
        <f>+'2022 Bto driftsutg'!E5-'2022 Avskrivning'!E5</f>
        <v>0</v>
      </c>
      <c r="F5" s="1">
        <f>+'2022 Bto driftsutg'!F5-'2022 Avskrivning'!F5</f>
        <v>3620055</v>
      </c>
      <c r="G5" s="1">
        <f>+'2022 Bto driftsutg'!G5-'2022 Avskrivning'!G5</f>
        <v>28732</v>
      </c>
      <c r="H5" s="1">
        <f>+'2022 Bto driftsutg'!H5-'2022 Avskrivning'!H5</f>
        <v>257591</v>
      </c>
      <c r="I5" s="11">
        <f>+'2022 Bto driftsutg'!I5-'2022 Avskrivning'!I5</f>
        <v>373241</v>
      </c>
      <c r="J5" s="1">
        <f>+'2022 Bto driftsutg'!J5-'2022 Avskrivning'!J5</f>
        <v>0</v>
      </c>
      <c r="K5" s="1">
        <f>+'2022 Bto driftsutg'!K5-'2022 Avskrivning'!K5</f>
        <v>130566</v>
      </c>
      <c r="L5" s="1">
        <f>+'2022 Bto driftsutg'!L5-'2022 Avskrivning'!L5</f>
        <v>0</v>
      </c>
      <c r="M5" s="1">
        <f>+'2022 Bto driftsutg'!M5-'2022 Avskrivning'!M5</f>
        <v>47813</v>
      </c>
      <c r="N5" s="1">
        <f>+'2022 Bto driftsutg'!N5-'2022 Avskrivning'!N5</f>
        <v>194862</v>
      </c>
      <c r="O5" s="1">
        <f>+'2022 Bto driftsutg'!O5-'2022 Avskrivning'!O5</f>
        <v>0</v>
      </c>
      <c r="P5" s="1">
        <f>+'2022 Bto driftsutg'!P5-'2022 Avskrivning'!P5</f>
        <v>0</v>
      </c>
      <c r="Q5" s="1">
        <f>+'2022 Bto driftsutg'!Q5-'2022 Avskrivning'!Q5</f>
        <v>0</v>
      </c>
      <c r="R5" s="1">
        <f>+'2022 Bto driftsutg'!R5-'2022 Avskrivning'!R5</f>
        <v>-405955.14792834799</v>
      </c>
      <c r="S5" s="1"/>
      <c r="T5" s="1"/>
      <c r="U5" s="1"/>
    </row>
    <row r="6" spans="1:21" x14ac:dyDescent="0.25">
      <c r="A6" s="43">
        <v>1100</v>
      </c>
      <c r="B6" s="44" t="s">
        <v>141</v>
      </c>
      <c r="C6" s="1">
        <f t="shared" si="1"/>
        <v>8010417</v>
      </c>
      <c r="D6" s="1">
        <f>+'2022 Bto driftsutg'!D6-'2022 Avskrivning'!D6</f>
        <v>3900387</v>
      </c>
      <c r="E6" s="1">
        <f>+'2022 Bto driftsutg'!E6-'2022 Avskrivning'!E6</f>
        <v>800606</v>
      </c>
      <c r="F6" s="1">
        <f>+'2022 Bto driftsutg'!F6-'2022 Avskrivning'!F6</f>
        <v>1174650</v>
      </c>
      <c r="G6" s="1">
        <f>+'2022 Bto driftsutg'!G6-'2022 Avskrivning'!G6</f>
        <v>473299</v>
      </c>
      <c r="H6" s="1">
        <f>+'2022 Bto driftsutg'!H6-'2022 Avskrivning'!H6</f>
        <v>425290</v>
      </c>
      <c r="I6" s="11">
        <f>+'2022 Bto driftsutg'!I6-'2022 Avskrivning'!I6</f>
        <v>1256947</v>
      </c>
      <c r="J6" s="1">
        <f>+'2022 Bto driftsutg'!J6-'2022 Avskrivning'!J6</f>
        <v>0</v>
      </c>
      <c r="K6" s="1">
        <f>+'2022 Bto driftsutg'!K6-'2022 Avskrivning'!K6</f>
        <v>320949</v>
      </c>
      <c r="L6" s="1">
        <f>+'2022 Bto driftsutg'!L6-'2022 Avskrivning'!L6</f>
        <v>153767</v>
      </c>
      <c r="M6" s="1">
        <f>+'2022 Bto driftsutg'!M6-'2022 Avskrivning'!M6</f>
        <v>196146</v>
      </c>
      <c r="N6" s="1">
        <f>+'2022 Bto driftsutg'!N6-'2022 Avskrivning'!N6</f>
        <v>381334</v>
      </c>
      <c r="O6" s="1">
        <f>+'2022 Bto driftsutg'!O6-'2022 Avskrivning'!O6</f>
        <v>0</v>
      </c>
      <c r="P6" s="1">
        <f>+'2022 Bto driftsutg'!P6-'2022 Avskrivning'!P6</f>
        <v>204751</v>
      </c>
      <c r="Q6" s="1">
        <f>+'2022 Bto driftsutg'!Q6-'2022 Avskrivning'!Q6</f>
        <v>0</v>
      </c>
      <c r="R6" s="1">
        <f>+'2022 Bto driftsutg'!R6-'2022 Avskrivning'!R6</f>
        <v>-20762</v>
      </c>
      <c r="T6" s="1"/>
      <c r="U6" s="1"/>
    </row>
    <row r="7" spans="1:21" x14ac:dyDescent="0.25">
      <c r="A7" s="43">
        <v>1500</v>
      </c>
      <c r="B7" s="44" t="s">
        <v>142</v>
      </c>
      <c r="C7" s="1">
        <f t="shared" si="1"/>
        <v>6180925</v>
      </c>
      <c r="D7" s="1">
        <f>+'2022 Bto driftsutg'!D7-'2022 Avskrivning'!D7</f>
        <v>2102782</v>
      </c>
      <c r="E7" s="1">
        <f>+'2022 Bto driftsutg'!E7-'2022 Avskrivning'!E7</f>
        <v>892656</v>
      </c>
      <c r="F7" s="1">
        <f>+'2022 Bto driftsutg'!F7-'2022 Avskrivning'!F7</f>
        <v>863703</v>
      </c>
      <c r="G7" s="1">
        <f>+'2022 Bto driftsutg'!G7-'2022 Avskrivning'!G7</f>
        <v>1239357</v>
      </c>
      <c r="H7" s="1">
        <f>+'2022 Bto driftsutg'!H7-'2022 Avskrivning'!H7</f>
        <v>193191</v>
      </c>
      <c r="I7" s="11">
        <f>+'2022 Bto driftsutg'!I7-'2022 Avskrivning'!I7</f>
        <v>876774</v>
      </c>
      <c r="J7" s="1">
        <f>+'2022 Bto driftsutg'!J7-'2022 Avskrivning'!J7</f>
        <v>0</v>
      </c>
      <c r="K7" s="1">
        <f>+'2022 Bto driftsutg'!K7-'2022 Avskrivning'!K7</f>
        <v>272239</v>
      </c>
      <c r="L7" s="1">
        <f>+'2022 Bto driftsutg'!L7-'2022 Avskrivning'!L7</f>
        <v>203253</v>
      </c>
      <c r="M7" s="1">
        <f>+'2022 Bto driftsutg'!M7-'2022 Avskrivning'!M7</f>
        <v>140970</v>
      </c>
      <c r="N7" s="1">
        <f>+'2022 Bto driftsutg'!N7-'2022 Avskrivning'!N7</f>
        <v>250684</v>
      </c>
      <c r="O7" s="1">
        <f>+'2022 Bto driftsutg'!O7-'2022 Avskrivning'!O7</f>
        <v>1137</v>
      </c>
      <c r="P7" s="1">
        <f>+'2022 Bto driftsutg'!P7-'2022 Avskrivning'!P7</f>
        <v>8491</v>
      </c>
      <c r="Q7" s="1">
        <f>+'2022 Bto driftsutg'!Q7-'2022 Avskrivning'!Q7</f>
        <v>0</v>
      </c>
      <c r="R7" s="1">
        <f>+'2022 Bto driftsutg'!R7-'2022 Avskrivning'!R7</f>
        <v>12462</v>
      </c>
      <c r="T7" s="1"/>
      <c r="U7" s="1"/>
    </row>
    <row r="8" spans="1:21" x14ac:dyDescent="0.25">
      <c r="A8" s="43">
        <v>1800</v>
      </c>
      <c r="B8" s="44" t="s">
        <v>143</v>
      </c>
      <c r="C8" s="1">
        <f t="shared" si="1"/>
        <v>6423296</v>
      </c>
      <c r="D8" s="1">
        <f>+'2022 Bto driftsutg'!D8-'2022 Avskrivning'!D8</f>
        <v>2250960</v>
      </c>
      <c r="E8" s="1">
        <f>+'2022 Bto driftsutg'!E8-'2022 Avskrivning'!E8</f>
        <v>785156</v>
      </c>
      <c r="F8" s="1">
        <f>+'2022 Bto driftsutg'!F8-'2022 Avskrivning'!F8</f>
        <v>656353</v>
      </c>
      <c r="G8" s="1">
        <f>+'2022 Bto driftsutg'!G8-'2022 Avskrivning'!G8</f>
        <v>1362157</v>
      </c>
      <c r="H8" s="1">
        <f>+'2022 Bto driftsutg'!H8-'2022 Avskrivning'!H8</f>
        <v>303288</v>
      </c>
      <c r="I8" s="11">
        <f>+'2022 Bto driftsutg'!I8-'2022 Avskrivning'!I8</f>
        <v>1097401</v>
      </c>
      <c r="J8" s="1">
        <f>+'2022 Bto driftsutg'!J8-'2022 Avskrivning'!J8</f>
        <v>0</v>
      </c>
      <c r="K8" s="1">
        <f>+'2022 Bto driftsutg'!K8-'2022 Avskrivning'!K8</f>
        <v>335666</v>
      </c>
      <c r="L8" s="1">
        <f>+'2022 Bto driftsutg'!L8-'2022 Avskrivning'!L8</f>
        <v>148834</v>
      </c>
      <c r="M8" s="1">
        <f>+'2022 Bto driftsutg'!M8-'2022 Avskrivning'!M8</f>
        <v>269249</v>
      </c>
      <c r="N8" s="1">
        <f>+'2022 Bto driftsutg'!N8-'2022 Avskrivning'!N8</f>
        <v>343638</v>
      </c>
      <c r="O8" s="1">
        <f>+'2022 Bto driftsutg'!O8-'2022 Avskrivning'!O8</f>
        <v>14</v>
      </c>
      <c r="P8" s="1">
        <f>+'2022 Bto driftsutg'!P8-'2022 Avskrivning'!P8</f>
        <v>0</v>
      </c>
      <c r="Q8" s="1">
        <f>+'2022 Bto driftsutg'!Q8-'2022 Avskrivning'!Q8</f>
        <v>0</v>
      </c>
      <c r="R8" s="1">
        <f>+'2022 Bto driftsutg'!R8-'2022 Avskrivning'!R8</f>
        <v>-32019</v>
      </c>
      <c r="T8" s="1"/>
      <c r="U8" s="1"/>
    </row>
    <row r="9" spans="1:21" x14ac:dyDescent="0.25">
      <c r="A9" s="43">
        <v>3000</v>
      </c>
      <c r="B9" s="44" t="s">
        <v>391</v>
      </c>
      <c r="C9" s="1">
        <f t="shared" si="1"/>
        <v>17609706</v>
      </c>
      <c r="D9" s="1">
        <f>+'2022 Bto driftsutg'!D9-'2022 Avskrivning'!D9</f>
        <v>9439150</v>
      </c>
      <c r="E9" s="1">
        <f>+'2022 Bto driftsutg'!E9-'2022 Avskrivning'!E9</f>
        <v>1573540</v>
      </c>
      <c r="F9" s="1">
        <f>+'2022 Bto driftsutg'!F9-'2022 Avskrivning'!F9</f>
        <v>3462092</v>
      </c>
      <c r="G9" s="1">
        <f>+'2022 Bto driftsutg'!G9-'2022 Avskrivning'!G9</f>
        <v>51365</v>
      </c>
      <c r="H9" s="1">
        <f>+'2022 Bto driftsutg'!H9-'2022 Avskrivning'!H9</f>
        <v>571483</v>
      </c>
      <c r="I9" s="11">
        <f>+'2022 Bto driftsutg'!I9-'2022 Avskrivning'!I9</f>
        <v>2668897</v>
      </c>
      <c r="J9" s="1">
        <f>+'2022 Bto driftsutg'!J9-'2022 Avskrivning'!J9</f>
        <v>0</v>
      </c>
      <c r="K9" s="1">
        <f>+'2022 Bto driftsutg'!K9-'2022 Avskrivning'!K9</f>
        <v>1150176</v>
      </c>
      <c r="L9" s="1">
        <f>+'2022 Bto driftsutg'!L9-'2022 Avskrivning'!L9</f>
        <v>435512</v>
      </c>
      <c r="M9" s="1">
        <f>+'2022 Bto driftsutg'!M9-'2022 Avskrivning'!M9</f>
        <v>224161</v>
      </c>
      <c r="N9" s="1">
        <f>+'2022 Bto driftsutg'!N9-'2022 Avskrivning'!N9</f>
        <v>784626</v>
      </c>
      <c r="O9" s="1">
        <f>+'2022 Bto driftsutg'!O9-'2022 Avskrivning'!O9</f>
        <v>71464</v>
      </c>
      <c r="P9" s="1">
        <f>+'2022 Bto driftsutg'!P9-'2022 Avskrivning'!P9</f>
        <v>2958</v>
      </c>
      <c r="Q9" s="1">
        <f>+'2022 Bto driftsutg'!Q9-'2022 Avskrivning'!Q9</f>
        <v>0</v>
      </c>
      <c r="R9" s="1">
        <f>+'2022 Bto driftsutg'!R9-'2022 Avskrivning'!R9</f>
        <v>-156821</v>
      </c>
      <c r="T9" s="1"/>
      <c r="U9" s="1"/>
    </row>
    <row r="10" spans="1:21" x14ac:dyDescent="0.25">
      <c r="A10" s="43">
        <v>3400</v>
      </c>
      <c r="B10" s="44" t="s">
        <v>392</v>
      </c>
      <c r="C10" s="1">
        <f t="shared" si="1"/>
        <v>6811350</v>
      </c>
      <c r="D10" s="1">
        <f>+'2022 Bto driftsutg'!D10-'2022 Avskrivning'!D10</f>
        <v>3067225</v>
      </c>
      <c r="E10" s="1">
        <f>+'2022 Bto driftsutg'!E10-'2022 Avskrivning'!E10</f>
        <v>1060253</v>
      </c>
      <c r="F10" s="1">
        <f>+'2022 Bto driftsutg'!F10-'2022 Avskrivning'!F10</f>
        <v>1147822</v>
      </c>
      <c r="G10" s="1">
        <f>+'2022 Bto driftsutg'!G10-'2022 Avskrivning'!G10</f>
        <v>14516</v>
      </c>
      <c r="H10" s="1">
        <f>+'2022 Bto driftsutg'!H10-'2022 Avskrivning'!H10</f>
        <v>277846</v>
      </c>
      <c r="I10" s="11">
        <f>+'2022 Bto driftsutg'!I10-'2022 Avskrivning'!I10</f>
        <v>1175006</v>
      </c>
      <c r="J10" s="1">
        <f>+'2022 Bto driftsutg'!J10-'2022 Avskrivning'!J10</f>
        <v>0</v>
      </c>
      <c r="K10" s="1">
        <f>+'2022 Bto driftsutg'!K10-'2022 Avskrivning'!K10</f>
        <v>409854</v>
      </c>
      <c r="L10" s="1">
        <f>+'2022 Bto driftsutg'!L10-'2022 Avskrivning'!L10</f>
        <v>220815</v>
      </c>
      <c r="M10" s="1">
        <f>+'2022 Bto driftsutg'!M10-'2022 Avskrivning'!M10</f>
        <v>253136</v>
      </c>
      <c r="N10" s="1">
        <f>+'2022 Bto driftsutg'!N10-'2022 Avskrivning'!N10</f>
        <v>291197</v>
      </c>
      <c r="O10" s="1">
        <f>+'2022 Bto driftsutg'!O10-'2022 Avskrivning'!O10</f>
        <v>0</v>
      </c>
      <c r="P10" s="1">
        <f>+'2022 Bto driftsutg'!P10-'2022 Avskrivning'!P10</f>
        <v>4</v>
      </c>
      <c r="Q10" s="1">
        <f>+'2022 Bto driftsutg'!Q10-'2022 Avskrivning'!Q10</f>
        <v>0</v>
      </c>
      <c r="R10" s="1">
        <f>+'2022 Bto driftsutg'!R10-'2022 Avskrivning'!R10</f>
        <v>68682</v>
      </c>
      <c r="T10" s="1"/>
      <c r="U10" s="1"/>
    </row>
    <row r="11" spans="1:21" x14ac:dyDescent="0.25">
      <c r="A11" s="43">
        <v>3800</v>
      </c>
      <c r="B11" s="44" t="s">
        <v>393</v>
      </c>
      <c r="C11" s="1">
        <f t="shared" si="1"/>
        <v>6770925</v>
      </c>
      <c r="D11" s="1">
        <f>+'2022 Bto driftsutg'!D11-'2022 Avskrivning'!D11</f>
        <v>3371090</v>
      </c>
      <c r="E11" s="1">
        <f>+'2022 Bto driftsutg'!E11-'2022 Avskrivning'!E11</f>
        <v>840588</v>
      </c>
      <c r="F11" s="1">
        <f>+'2022 Bto driftsutg'!F11-'2022 Avskrivning'!F11</f>
        <v>889336</v>
      </c>
      <c r="G11" s="1">
        <f>+'2022 Bto driftsutg'!G11-'2022 Avskrivning'!G11</f>
        <v>41405</v>
      </c>
      <c r="H11" s="1">
        <f>+'2022 Bto driftsutg'!H11-'2022 Avskrivning'!H11</f>
        <v>291099</v>
      </c>
      <c r="I11" s="11">
        <f>+'2022 Bto driftsutg'!I11-'2022 Avskrivning'!I11</f>
        <v>1381132</v>
      </c>
      <c r="J11" s="1">
        <f>+'2022 Bto driftsutg'!J11-'2022 Avskrivning'!J11</f>
        <v>0</v>
      </c>
      <c r="K11" s="1">
        <f>+'2022 Bto driftsutg'!K11-'2022 Avskrivning'!K11</f>
        <v>410708</v>
      </c>
      <c r="L11" s="1">
        <f>+'2022 Bto driftsutg'!L11-'2022 Avskrivning'!L11</f>
        <v>371503</v>
      </c>
      <c r="M11" s="1">
        <f>+'2022 Bto driftsutg'!M11-'2022 Avskrivning'!M11</f>
        <v>188679</v>
      </c>
      <c r="N11" s="1">
        <f>+'2022 Bto driftsutg'!N11-'2022 Avskrivning'!N11</f>
        <v>393900</v>
      </c>
      <c r="O11" s="1">
        <f>+'2022 Bto driftsutg'!O11-'2022 Avskrivning'!O11</f>
        <v>5536</v>
      </c>
      <c r="P11" s="1">
        <f>+'2022 Bto driftsutg'!P11-'2022 Avskrivning'!P11</f>
        <v>10806</v>
      </c>
      <c r="Q11" s="1">
        <f>+'2022 Bto driftsutg'!Q11-'2022 Avskrivning'!Q11</f>
        <v>0</v>
      </c>
      <c r="R11" s="1">
        <f>+'2022 Bto driftsutg'!R11-'2022 Avskrivning'!R11</f>
        <v>-43725</v>
      </c>
      <c r="T11" s="1"/>
      <c r="U11" s="1"/>
    </row>
    <row r="12" spans="1:21" x14ac:dyDescent="0.25">
      <c r="A12" s="43">
        <v>4200</v>
      </c>
      <c r="B12" s="44" t="s">
        <v>394</v>
      </c>
      <c r="C12" s="1">
        <f t="shared" si="1"/>
        <v>5333020</v>
      </c>
      <c r="D12" s="1">
        <f>+'2022 Bto driftsutg'!D12-'2022 Avskrivning'!D12</f>
        <v>2643794</v>
      </c>
      <c r="E12" s="1">
        <f>+'2022 Bto driftsutg'!E12-'2022 Avskrivning'!E12</f>
        <v>847621</v>
      </c>
      <c r="F12" s="1">
        <f>+'2022 Bto driftsutg'!F12-'2022 Avskrivning'!F12</f>
        <v>578088</v>
      </c>
      <c r="G12" s="1">
        <f>+'2022 Bto driftsutg'!G12-'2022 Avskrivning'!G12</f>
        <v>60857</v>
      </c>
      <c r="H12" s="1">
        <f>+'2022 Bto driftsutg'!H12-'2022 Avskrivning'!H12</f>
        <v>205936</v>
      </c>
      <c r="I12" s="11">
        <f>+'2022 Bto driftsutg'!I12-'2022 Avskrivning'!I12</f>
        <v>987453</v>
      </c>
      <c r="J12" s="1">
        <f>+'2022 Bto driftsutg'!J12-'2022 Avskrivning'!J12</f>
        <v>0</v>
      </c>
      <c r="K12" s="1">
        <f>+'2022 Bto driftsutg'!K12-'2022 Avskrivning'!K12</f>
        <v>358175</v>
      </c>
      <c r="L12" s="1">
        <f>+'2022 Bto driftsutg'!L12-'2022 Avskrivning'!L12</f>
        <v>297990</v>
      </c>
      <c r="M12" s="1">
        <f>+'2022 Bto driftsutg'!M12-'2022 Avskrivning'!M12</f>
        <v>104798</v>
      </c>
      <c r="N12" s="1">
        <f>+'2022 Bto driftsutg'!N12-'2022 Avskrivning'!N12</f>
        <v>225577</v>
      </c>
      <c r="O12" s="1">
        <f>+'2022 Bto driftsutg'!O12-'2022 Avskrivning'!O12</f>
        <v>0</v>
      </c>
      <c r="P12" s="1">
        <f>+'2022 Bto driftsutg'!P12-'2022 Avskrivning'!P12</f>
        <v>913</v>
      </c>
      <c r="Q12" s="1">
        <f>+'2022 Bto driftsutg'!Q12-'2022 Avskrivning'!Q12</f>
        <v>0</v>
      </c>
      <c r="R12" s="1">
        <f>+'2022 Bto driftsutg'!R12-'2022 Avskrivning'!R12</f>
        <v>9271</v>
      </c>
      <c r="T12" s="1"/>
      <c r="U12" s="1"/>
    </row>
    <row r="13" spans="1:21" x14ac:dyDescent="0.25">
      <c r="A13" s="43">
        <v>4600</v>
      </c>
      <c r="B13" s="44" t="s">
        <v>395</v>
      </c>
      <c r="C13" s="1">
        <f t="shared" si="1"/>
        <v>14107471</v>
      </c>
      <c r="D13" s="1">
        <f>+'2022 Bto driftsutg'!D13-'2022 Avskrivning'!D13</f>
        <v>4592769</v>
      </c>
      <c r="E13" s="1">
        <f>+'2022 Bto driftsutg'!E13-'2022 Avskrivning'!E13</f>
        <v>1536573</v>
      </c>
      <c r="F13" s="1">
        <f>+'2022 Bto driftsutg'!F13-'2022 Avskrivning'!F13</f>
        <v>3032482</v>
      </c>
      <c r="G13" s="1">
        <f>+'2022 Bto driftsutg'!G13-'2022 Avskrivning'!G13</f>
        <v>1499942</v>
      </c>
      <c r="H13" s="1">
        <f>+'2022 Bto driftsutg'!H13-'2022 Avskrivning'!H13</f>
        <v>473268</v>
      </c>
      <c r="I13" s="11">
        <f>+'2022 Bto driftsutg'!I13-'2022 Avskrivning'!I13</f>
        <v>2922468</v>
      </c>
      <c r="J13" s="1">
        <f>+'2022 Bto driftsutg'!J13-'2022 Avskrivning'!J13</f>
        <v>0</v>
      </c>
      <c r="K13" s="1">
        <f>+'2022 Bto driftsutg'!K13-'2022 Avskrivning'!K13</f>
        <v>783259</v>
      </c>
      <c r="L13" s="1">
        <f>+'2022 Bto driftsutg'!L13-'2022 Avskrivning'!L13</f>
        <v>354867</v>
      </c>
      <c r="M13" s="1">
        <f>+'2022 Bto driftsutg'!M13-'2022 Avskrivning'!M13</f>
        <v>1282358</v>
      </c>
      <c r="N13" s="1">
        <f>+'2022 Bto driftsutg'!N13-'2022 Avskrivning'!N13</f>
        <v>500321</v>
      </c>
      <c r="O13" s="1">
        <f>+'2022 Bto driftsutg'!O13-'2022 Avskrivning'!O13</f>
        <v>0</v>
      </c>
      <c r="P13" s="1">
        <f>+'2022 Bto driftsutg'!P13-'2022 Avskrivning'!P13</f>
        <v>1663</v>
      </c>
      <c r="Q13" s="1">
        <f>+'2022 Bto driftsutg'!Q13-'2022 Avskrivning'!Q13</f>
        <v>0</v>
      </c>
      <c r="R13" s="1">
        <f>+'2022 Bto driftsutg'!R13-'2022 Avskrivning'!R13</f>
        <v>49969</v>
      </c>
      <c r="T13" s="1"/>
      <c r="U13" s="1"/>
    </row>
    <row r="14" spans="1:21" x14ac:dyDescent="0.25">
      <c r="A14" s="43">
        <v>5000</v>
      </c>
      <c r="B14" s="44" t="s">
        <v>390</v>
      </c>
      <c r="C14" s="1">
        <f t="shared" si="1"/>
        <v>8585280</v>
      </c>
      <c r="D14" s="1">
        <f>+'2022 Bto driftsutg'!D14-'2022 Avskrivning'!D14</f>
        <v>3747320</v>
      </c>
      <c r="E14" s="1">
        <f>+'2022 Bto driftsutg'!E14-'2022 Avskrivning'!E14</f>
        <v>1195707</v>
      </c>
      <c r="F14" s="1">
        <f>+'2022 Bto driftsutg'!F14-'2022 Avskrivning'!F14</f>
        <v>1243100</v>
      </c>
      <c r="G14" s="1">
        <f>+'2022 Bto driftsutg'!G14-'2022 Avskrivning'!G14</f>
        <v>508063</v>
      </c>
      <c r="H14" s="1">
        <f>+'2022 Bto driftsutg'!H14-'2022 Avskrivning'!H14</f>
        <v>420319</v>
      </c>
      <c r="I14" s="11">
        <f>+'2022 Bto driftsutg'!I14-'2022 Avskrivning'!I14</f>
        <v>1492790</v>
      </c>
      <c r="J14" s="1">
        <f>+'2022 Bto driftsutg'!J14-'2022 Avskrivning'!J14</f>
        <v>0</v>
      </c>
      <c r="K14" s="1">
        <f>+'2022 Bto driftsutg'!K14-'2022 Avskrivning'!K14</f>
        <v>491344</v>
      </c>
      <c r="L14" s="1">
        <f>+'2022 Bto driftsutg'!L14-'2022 Avskrivning'!L14</f>
        <v>246993</v>
      </c>
      <c r="M14" s="1">
        <f>+'2022 Bto driftsutg'!M14-'2022 Avskrivning'!M14</f>
        <v>258175</v>
      </c>
      <c r="N14" s="1">
        <f>+'2022 Bto driftsutg'!N14-'2022 Avskrivning'!N14</f>
        <v>496278</v>
      </c>
      <c r="O14" s="1">
        <f>+'2022 Bto driftsutg'!O14-'2022 Avskrivning'!O14</f>
        <v>0</v>
      </c>
      <c r="P14" s="1">
        <f>+'2022 Bto driftsutg'!P14-'2022 Avskrivning'!P14</f>
        <v>0</v>
      </c>
      <c r="Q14" s="1">
        <f>+'2022 Bto driftsutg'!Q14-'2022 Avskrivning'!Q14</f>
        <v>0</v>
      </c>
      <c r="R14" s="1">
        <f>+'2022 Bto driftsutg'!R14-'2022 Avskrivning'!R14</f>
        <v>-22019</v>
      </c>
      <c r="T14" s="1"/>
      <c r="U14" s="1"/>
    </row>
    <row r="15" spans="1:21" x14ac:dyDescent="0.25">
      <c r="A15" s="43">
        <v>5400</v>
      </c>
      <c r="B15" s="44" t="s">
        <v>396</v>
      </c>
      <c r="C15" s="1">
        <f t="shared" si="1"/>
        <v>6904246</v>
      </c>
      <c r="D15" s="1">
        <f>+'2022 Bto driftsutg'!D15-'2022 Avskrivning'!D15</f>
        <v>2260834</v>
      </c>
      <c r="E15" s="1">
        <f>+'2022 Bto driftsutg'!E15-'2022 Avskrivning'!E15</f>
        <v>945281</v>
      </c>
      <c r="F15" s="1">
        <f>+'2022 Bto driftsutg'!F15-'2022 Avskrivning'!F15</f>
        <v>1112958</v>
      </c>
      <c r="G15" s="1">
        <f>+'2022 Bto driftsutg'!G15-'2022 Avskrivning'!G15</f>
        <v>852912</v>
      </c>
      <c r="H15" s="1">
        <f>+'2022 Bto driftsutg'!H15-'2022 Avskrivning'!H15</f>
        <v>393792</v>
      </c>
      <c r="I15" s="11">
        <f>+'2022 Bto driftsutg'!I15-'2022 Avskrivning'!I15</f>
        <v>1406211</v>
      </c>
      <c r="J15" s="1">
        <f>+'2022 Bto driftsutg'!J15-'2022 Avskrivning'!J15</f>
        <v>0</v>
      </c>
      <c r="K15" s="1">
        <f>+'2022 Bto driftsutg'!K15-'2022 Avskrivning'!K15</f>
        <v>397018</v>
      </c>
      <c r="L15" s="1">
        <f>+'2022 Bto driftsutg'!L15-'2022 Avskrivning'!L15</f>
        <v>210900</v>
      </c>
      <c r="M15" s="1">
        <f>+'2022 Bto driftsutg'!M15-'2022 Avskrivning'!M15</f>
        <v>280387</v>
      </c>
      <c r="N15" s="1">
        <f>+'2022 Bto driftsutg'!N15-'2022 Avskrivning'!N15</f>
        <v>369920</v>
      </c>
      <c r="O15" s="1">
        <f>+'2022 Bto driftsutg'!O15-'2022 Avskrivning'!O15</f>
        <v>0</v>
      </c>
      <c r="P15" s="1">
        <f>+'2022 Bto driftsutg'!P15-'2022 Avskrivning'!P15</f>
        <v>147986</v>
      </c>
      <c r="Q15" s="1">
        <f>+'2022 Bto driftsutg'!Q15-'2022 Avskrivning'!Q15</f>
        <v>0</v>
      </c>
      <c r="R15" s="1">
        <f>+'2022 Bto driftsutg'!R15-'2022 Avskrivning'!R15</f>
        <v>-67742</v>
      </c>
      <c r="T15" s="1"/>
      <c r="U15" s="1"/>
    </row>
    <row r="16" spans="1:21" x14ac:dyDescent="0.25">
      <c r="C16" s="1"/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</row>
    <row r="17" spans="2:21" x14ac:dyDescent="0.25">
      <c r="B17" s="1" t="s">
        <v>3</v>
      </c>
      <c r="C17" s="1">
        <f>SUM(C5:C16)</f>
        <v>94728692.852071643</v>
      </c>
      <c r="D17" s="1">
        <f t="shared" ref="D17:R17" si="2">SUM(D5:D15)</f>
        <v>41494704</v>
      </c>
      <c r="E17" s="1">
        <f t="shared" si="2"/>
        <v>10477981</v>
      </c>
      <c r="F17" s="1">
        <f t="shared" si="2"/>
        <v>17780639</v>
      </c>
      <c r="G17" s="1">
        <f t="shared" si="2"/>
        <v>6132605</v>
      </c>
      <c r="H17" s="1">
        <f t="shared" si="2"/>
        <v>3813103</v>
      </c>
      <c r="I17" s="11">
        <f t="shared" si="2"/>
        <v>15638320</v>
      </c>
      <c r="J17" s="1">
        <f t="shared" si="2"/>
        <v>0</v>
      </c>
      <c r="K17" s="1">
        <f t="shared" si="2"/>
        <v>5059954</v>
      </c>
      <c r="L17" s="1">
        <f t="shared" si="2"/>
        <v>2644434</v>
      </c>
      <c r="M17" s="1">
        <f t="shared" si="2"/>
        <v>3245872</v>
      </c>
      <c r="N17" s="1">
        <f t="shared" si="2"/>
        <v>4232337</v>
      </c>
      <c r="O17" s="1">
        <f t="shared" si="2"/>
        <v>78151</v>
      </c>
      <c r="P17" s="1">
        <f t="shared" si="2"/>
        <v>377572</v>
      </c>
      <c r="Q17" s="1">
        <f t="shared" si="2"/>
        <v>0</v>
      </c>
      <c r="R17" s="1">
        <f t="shared" si="2"/>
        <v>-608659.14792834804</v>
      </c>
      <c r="S17" s="1"/>
      <c r="T17" s="1"/>
      <c r="U17" s="1"/>
    </row>
    <row r="18" spans="2:21" x14ac:dyDescent="0.25">
      <c r="C18" s="5"/>
      <c r="I18" s="5">
        <f>SUM(J17:Q17)</f>
        <v>15638320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26"/>
  <dimension ref="A2:Q17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5" x14ac:dyDescent="0.25"/>
  <cols>
    <col min="1" max="1" width="9.85546875" customWidth="1"/>
    <col min="2" max="2" width="18.5703125" customWidth="1"/>
    <col min="3" max="3" width="13.140625" customWidth="1"/>
    <col min="6" max="7" width="12.5703125" customWidth="1"/>
    <col min="9" max="9" width="3.140625" customWidth="1"/>
    <col min="11" max="11" width="5.42578125" customWidth="1"/>
    <col min="14" max="14" width="12.140625" customWidth="1"/>
  </cols>
  <sheetData>
    <row r="2" spans="1:17" ht="42.75" customHeight="1" x14ac:dyDescent="0.25">
      <c r="A2" s="24" t="s">
        <v>2</v>
      </c>
      <c r="B2" s="24" t="s">
        <v>1</v>
      </c>
      <c r="C2" s="24" t="s">
        <v>5</v>
      </c>
      <c r="D2" s="24" t="s">
        <v>174</v>
      </c>
      <c r="E2" s="24" t="s">
        <v>175</v>
      </c>
      <c r="F2" s="24" t="s">
        <v>278</v>
      </c>
      <c r="G2" s="24" t="s">
        <v>279</v>
      </c>
      <c r="H2" s="24" t="s">
        <v>269</v>
      </c>
      <c r="J2" s="6" t="s">
        <v>321</v>
      </c>
      <c r="L2" s="55" t="s">
        <v>278</v>
      </c>
      <c r="M2" s="55" t="s">
        <v>279</v>
      </c>
      <c r="N2" s="55" t="s">
        <v>174</v>
      </c>
      <c r="O2" s="55" t="s">
        <v>269</v>
      </c>
      <c r="P2" s="55" t="s">
        <v>175</v>
      </c>
    </row>
    <row r="3" spans="1:17" ht="15.75" x14ac:dyDescent="0.3">
      <c r="A3" s="107">
        <v>1</v>
      </c>
      <c r="B3" s="107">
        <f t="shared" ref="B3:H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J3" s="107">
        <v>10</v>
      </c>
      <c r="L3" s="56">
        <v>0.16296078112681195</v>
      </c>
      <c r="M3" s="56">
        <v>7.4280664628245285E-2</v>
      </c>
      <c r="N3" s="56">
        <v>0.52050593672192225</v>
      </c>
      <c r="O3" s="56">
        <v>4.5683887787341136E-2</v>
      </c>
      <c r="P3" s="56">
        <v>0.1965687297356794</v>
      </c>
      <c r="Q3" s="103"/>
    </row>
    <row r="5" spans="1:17" x14ac:dyDescent="0.25">
      <c r="A5" s="43">
        <v>300</v>
      </c>
      <c r="B5" s="44" t="s">
        <v>0</v>
      </c>
      <c r="C5" s="3">
        <f>+'2022 Nøkkel revektet'!D5*'[1]2022 Nto driftsutg landet'!$C$5/'[1]2022 Nto driftsutg landet'!$C$10+'2022 Nøkkel revektet'!E5*'[1]2022 Nto driftsutg landet'!$C$6/'[1]2022 Nto driftsutg landet'!$C$10+'2022 Nøkkel revektet'!F5*'[1]2022 Nto driftsutg landet'!$C$7/'[1]2022 Nto driftsutg landet'!$C$10+'2022 Nøkkel revektet'!G5*'[1]2022 Nto driftsutg landet'!$C$8/'[1]2022 Nto driftsutg landet'!$C$10+'2022 Nøkkel revektet'!H5*'[1]2022 Nto driftsutg landet'!$C$9/'[1]2022 Nto driftsutg landet'!$C$10</f>
        <v>0.80940900133924076</v>
      </c>
      <c r="D5" s="3">
        <f>+'[1]2022 Revekting utgiftsbehov'!Z5</f>
        <v>0.71022392158037106</v>
      </c>
      <c r="E5" s="3">
        <f>+'[1]2022 Revekting utgiftsbehov'!AA5</f>
        <v>0.270823258874198</v>
      </c>
      <c r="F5" s="3">
        <f>+'[1]2022 Revekting utgiftsbehov'!AB5</f>
        <v>1.7540082341046399</v>
      </c>
      <c r="G5" s="3">
        <f>+'[1]2022 Revekting utgiftsbehov'!AC5</f>
        <v>-1.0575387698197325E-3</v>
      </c>
      <c r="H5" s="3">
        <f>+'[1]2022 Revekting utgiftsbehov'!AD5</f>
        <v>0.87476049967418401</v>
      </c>
      <c r="I5" s="4"/>
      <c r="J5" s="4">
        <f>+C5-'[1]2022 Revekting utgiftsbehov'!I5</f>
        <v>6.0409001339240764E-2</v>
      </c>
      <c r="K5" s="4"/>
      <c r="L5" s="4"/>
      <c r="M5" s="4"/>
      <c r="N5" s="4"/>
      <c r="O5" s="4"/>
    </row>
    <row r="6" spans="1:17" x14ac:dyDescent="0.25">
      <c r="A6" s="43">
        <v>1100</v>
      </c>
      <c r="B6" s="44" t="s">
        <v>141</v>
      </c>
      <c r="C6" s="3">
        <f>+'2022 Nøkkel revektet'!D6*'[1]2022 Nto driftsutg landet'!$C$5/'[1]2022 Nto driftsutg landet'!$C$10+'2022 Nøkkel revektet'!E6*'[1]2022 Nto driftsutg landet'!$C$6/'[1]2022 Nto driftsutg landet'!$C$10+'2022 Nøkkel revektet'!F6*'[1]2022 Nto driftsutg landet'!$C$7/'[1]2022 Nto driftsutg landet'!$C$10+'2022 Nøkkel revektet'!G6*'[1]2022 Nto driftsutg landet'!$C$8/'[1]2022 Nto driftsutg landet'!$C$10+'2022 Nøkkel revektet'!H6*'[1]2022 Nto driftsutg landet'!$C$9/'[1]2022 Nto driftsutg landet'!$C$10</f>
        <v>0.99673630080749642</v>
      </c>
      <c r="D6" s="3">
        <f>+'[1]2022 Revekting utgiftsbehov'!Z6</f>
        <v>1.0704826415803712</v>
      </c>
      <c r="E6" s="3">
        <f>+'[1]2022 Revekting utgiftsbehov'!AA6</f>
        <v>0.80647319887419788</v>
      </c>
      <c r="F6" s="3">
        <f>+'[1]2022 Revekting utgiftsbehov'!AB6</f>
        <v>1.02085143410464</v>
      </c>
      <c r="G6" s="3">
        <f>+'[1]2022 Revekting utgiftsbehov'!AC6</f>
        <v>0.74658406123018028</v>
      </c>
      <c r="H6" s="3">
        <f>+'[1]2022 Revekting utgiftsbehov'!AD6</f>
        <v>1.0761153896741837</v>
      </c>
      <c r="I6" s="4"/>
      <c r="J6" s="4">
        <f>+C6-'[1]2022 Revekting utgiftsbehov'!I6</f>
        <v>9.6363008074964451E-3</v>
      </c>
      <c r="K6" s="4"/>
    </row>
    <row r="7" spans="1:17" x14ac:dyDescent="0.25">
      <c r="A7" s="43">
        <v>1500</v>
      </c>
      <c r="B7" s="44" t="s">
        <v>142</v>
      </c>
      <c r="C7" s="3">
        <f>+'2022 Nøkkel revektet'!D7*'[1]2022 Nto driftsutg landet'!$C$5/'[1]2022 Nto driftsutg landet'!$C$10+'2022 Nøkkel revektet'!E7*'[1]2022 Nto driftsutg landet'!$C$6/'[1]2022 Nto driftsutg landet'!$C$10+'2022 Nøkkel revektet'!F7*'[1]2022 Nto driftsutg landet'!$C$7/'[1]2022 Nto driftsutg landet'!$C$10+'2022 Nøkkel revektet'!G7*'[1]2022 Nto driftsutg landet'!$C$8/'[1]2022 Nto driftsutg landet'!$C$10+'2022 Nøkkel revektet'!H7*'[1]2022 Nto driftsutg landet'!$C$9/'[1]2022 Nto driftsutg landet'!$C$10</f>
        <v>1.300615728020893</v>
      </c>
      <c r="D7" s="3">
        <f>+'[1]2022 Revekting utgiftsbehov'!Z7</f>
        <v>1.1139157515803713</v>
      </c>
      <c r="E7" s="3">
        <f>+'[1]2022 Revekting utgiftsbehov'!AA7</f>
        <v>1.5463567788741979</v>
      </c>
      <c r="F7" s="3">
        <f>+'[1]2022 Revekting utgiftsbehov'!AB7</f>
        <v>0.99510263410463984</v>
      </c>
      <c r="G7" s="3">
        <f>+'[1]2022 Revekting utgiftsbehov'!AC7</f>
        <v>3.0812335812301805</v>
      </c>
      <c r="H7" s="3">
        <f>+'[1]2022 Revekting utgiftsbehov'!AD7</f>
        <v>1.0300816796741838</v>
      </c>
      <c r="I7" s="4"/>
      <c r="J7" s="4">
        <f>+C7-'[1]2022 Revekting utgiftsbehov'!I7</f>
        <v>-2.168427197910705E-2</v>
      </c>
      <c r="K7" s="4"/>
    </row>
    <row r="8" spans="1:17" x14ac:dyDescent="0.25">
      <c r="A8" s="43">
        <v>1800</v>
      </c>
      <c r="B8" s="44" t="s">
        <v>143</v>
      </c>
      <c r="C8" s="3">
        <f>+'2022 Nøkkel revektet'!D8*'[1]2022 Nto driftsutg landet'!$C$5/'[1]2022 Nto driftsutg landet'!$C$10+'2022 Nøkkel revektet'!E8*'[1]2022 Nto driftsutg landet'!$C$6/'[1]2022 Nto driftsutg landet'!$C$10+'2022 Nøkkel revektet'!F8*'[1]2022 Nto driftsutg landet'!$C$7/'[1]2022 Nto driftsutg landet'!$C$10+'2022 Nøkkel revektet'!G8*'[1]2022 Nto driftsutg landet'!$C$8/'[1]2022 Nto driftsutg landet'!$C$10+'2022 Nøkkel revektet'!H8*'[1]2022 Nto driftsutg landet'!$C$9/'[1]2022 Nto driftsutg landet'!$C$10</f>
        <v>1.487465661715532</v>
      </c>
      <c r="D8" s="3">
        <f>+'[1]2022 Revekting utgiftsbehov'!Z8</f>
        <v>1.0739272315803712</v>
      </c>
      <c r="E8" s="3">
        <f>+'[1]2022 Revekting utgiftsbehov'!AA8</f>
        <v>1.752620398874198</v>
      </c>
      <c r="F8" s="3">
        <f>+'[1]2022 Revekting utgiftsbehov'!AB8</f>
        <v>1.0201630341046402</v>
      </c>
      <c r="G8" s="3">
        <f>+'[1]2022 Revekting utgiftsbehov'!AC8</f>
        <v>5.3647087812301804</v>
      </c>
      <c r="H8" s="3">
        <f>+'[1]2022 Revekting utgiftsbehov'!AD8</f>
        <v>0.98234429967418402</v>
      </c>
      <c r="I8" s="4"/>
      <c r="J8" s="4">
        <f>+C8-'[1]2022 Revekting utgiftsbehov'!I8</f>
        <v>-2.5734338284468139E-2</v>
      </c>
      <c r="K8" s="4"/>
    </row>
    <row r="9" spans="1:17" x14ac:dyDescent="0.25">
      <c r="A9" s="43">
        <v>3000</v>
      </c>
      <c r="B9" s="44" t="s">
        <v>391</v>
      </c>
      <c r="C9" s="3">
        <f>+'2022 Nøkkel revektet'!D9*'[1]2022 Nto driftsutg landet'!$C$5/'[1]2022 Nto driftsutg landet'!$C$10+'2022 Nøkkel revektet'!E9*'[1]2022 Nto driftsutg landet'!$C$6/'[1]2022 Nto driftsutg landet'!$C$10+'2022 Nøkkel revektet'!F9*'[1]2022 Nto driftsutg landet'!$C$7/'[1]2022 Nto driftsutg landet'!$C$10+'2022 Nøkkel revektet'!G9*'[1]2022 Nto driftsutg landet'!$C$8/'[1]2022 Nto driftsutg landet'!$C$10+'2022 Nøkkel revektet'!H9*'[1]2022 Nto driftsutg landet'!$C$9/'[1]2022 Nto driftsutg landet'!$C$10</f>
        <v>0.81727858336085801</v>
      </c>
      <c r="D9" s="3">
        <f>+'[1]2022 Revekting utgiftsbehov'!Z9</f>
        <v>1.0186204215803711</v>
      </c>
      <c r="E9" s="3">
        <f>+'[1]2022 Revekting utgiftsbehov'!AA9</f>
        <v>0.64054439887419801</v>
      </c>
      <c r="F9" s="3">
        <f>+'[1]2022 Revekting utgiftsbehov'!AB9</f>
        <v>0.65922887410463993</v>
      </c>
      <c r="G9" s="3">
        <f>+'[1]2022 Revekting utgiftsbehov'!AC9</f>
        <v>6.7505401230180229E-2</v>
      </c>
      <c r="H9" s="3">
        <f>+'[1]2022 Revekting utgiftsbehov'!AD9</f>
        <v>1.0247668596741839</v>
      </c>
      <c r="I9" s="4"/>
      <c r="J9" s="4">
        <f>+C9-'[1]2022 Revekting utgiftsbehov'!I9</f>
        <v>1.4785833608580434E-3</v>
      </c>
      <c r="K9" s="4"/>
    </row>
    <row r="10" spans="1:17" x14ac:dyDescent="0.25">
      <c r="A10" s="43">
        <v>3400</v>
      </c>
      <c r="B10" s="44" t="s">
        <v>392</v>
      </c>
      <c r="C10" s="3">
        <f>+'2022 Nøkkel revektet'!D10*'[1]2022 Nto driftsutg landet'!$C$5/'[1]2022 Nto driftsutg landet'!$C$10+'2022 Nøkkel revektet'!E10*'[1]2022 Nto driftsutg landet'!$C$6/'[1]2022 Nto driftsutg landet'!$C$10+'2022 Nøkkel revektet'!F10*'[1]2022 Nto driftsutg landet'!$C$7/'[1]2022 Nto driftsutg landet'!$C$10+'2022 Nøkkel revektet'!G10*'[1]2022 Nto driftsutg landet'!$C$8/'[1]2022 Nto driftsutg landet'!$C$10+'2022 Nøkkel revektet'!H10*'[1]2022 Nto driftsutg landet'!$C$9/'[1]2022 Nto driftsutg landet'!$C$10</f>
        <v>1.0121909934431719</v>
      </c>
      <c r="D10" s="3">
        <f>+'[1]2022 Revekting utgiftsbehov'!Z10</f>
        <v>1.0113968715803712</v>
      </c>
      <c r="E10" s="3">
        <f>+'[1]2022 Revekting utgiftsbehov'!AA10</f>
        <v>1.5398255388741982</v>
      </c>
      <c r="F10" s="3">
        <f>+'[1]2022 Revekting utgiftsbehov'!AB10</f>
        <v>1.00562551410464</v>
      </c>
      <c r="G10" s="3">
        <f>+'[1]2022 Revekting utgiftsbehov'!AC10</f>
        <v>3.5212961230180362E-2</v>
      </c>
      <c r="H10" s="3">
        <f>+'[1]2022 Revekting utgiftsbehov'!AD10</f>
        <v>0.96675721967418404</v>
      </c>
      <c r="I10" s="4"/>
      <c r="J10" s="4">
        <f>+C10-'[1]2022 Revekting utgiftsbehov'!I10</f>
        <v>-2.8109006556828131E-2</v>
      </c>
      <c r="K10" s="4"/>
    </row>
    <row r="11" spans="1:17" x14ac:dyDescent="0.25">
      <c r="A11" s="43">
        <v>3800</v>
      </c>
      <c r="B11" s="44" t="s">
        <v>393</v>
      </c>
      <c r="C11" s="3">
        <f>+'2022 Nøkkel revektet'!D11*'[1]2022 Nto driftsutg landet'!$C$5/'[1]2022 Nto driftsutg landet'!$C$10+'2022 Nøkkel revektet'!E11*'[1]2022 Nto driftsutg landet'!$C$6/'[1]2022 Nto driftsutg landet'!$C$10+'2022 Nøkkel revektet'!F11*'[1]2022 Nto driftsutg landet'!$C$7/'[1]2022 Nto driftsutg landet'!$C$10+'2022 Nøkkel revektet'!G11*'[1]2022 Nto driftsutg landet'!$C$8/'[1]2022 Nto driftsutg landet'!$C$10+'2022 Nøkkel revektet'!H11*'[1]2022 Nto driftsutg landet'!$C$9/'[1]2022 Nto driftsutg landet'!$C$10</f>
        <v>0.88072815823535011</v>
      </c>
      <c r="D11" s="3">
        <f>+'[1]2022 Revekting utgiftsbehov'!Z11</f>
        <v>1.0180517215803713</v>
      </c>
      <c r="E11" s="3">
        <f>+'[1]2022 Revekting utgiftsbehov'!AA11</f>
        <v>0.95069003887419801</v>
      </c>
      <c r="F11" s="3">
        <f>+'[1]2022 Revekting utgiftsbehov'!AB11</f>
        <v>0.72931287410463996</v>
      </c>
      <c r="G11" s="3">
        <f>+'[1]2022 Revekting utgiftsbehov'!AC11</f>
        <v>0.13180708123018026</v>
      </c>
      <c r="H11" s="3">
        <f>+'[1]2022 Revekting utgiftsbehov'!AD11</f>
        <v>0.99236587967418399</v>
      </c>
      <c r="I11" s="4"/>
      <c r="J11" s="4">
        <f>+C11-'[1]2022 Revekting utgiftsbehov'!I11</f>
        <v>-1.0471841764649881E-2</v>
      </c>
      <c r="K11" s="4"/>
    </row>
    <row r="12" spans="1:17" x14ac:dyDescent="0.25">
      <c r="A12" s="43">
        <v>4200</v>
      </c>
      <c r="B12" s="44" t="s">
        <v>394</v>
      </c>
      <c r="C12" s="3">
        <f>+'2022 Nøkkel revektet'!D12*'[1]2022 Nto driftsutg landet'!$C$5/'[1]2022 Nto driftsutg landet'!$C$10+'2022 Nøkkel revektet'!E12*'[1]2022 Nto driftsutg landet'!$C$6/'[1]2022 Nto driftsutg landet'!$C$10+'2022 Nøkkel revektet'!F12*'[1]2022 Nto driftsutg landet'!$C$7/'[1]2022 Nto driftsutg landet'!$C$10+'2022 Nøkkel revektet'!G12*'[1]2022 Nto driftsutg landet'!$C$8/'[1]2022 Nto driftsutg landet'!$C$10+'2022 Nøkkel revektet'!H12*'[1]2022 Nto driftsutg landet'!$C$9/'[1]2022 Nto driftsutg landet'!$C$10</f>
        <v>0.96633260931418696</v>
      </c>
      <c r="D12" s="3">
        <f>+'[1]2022 Revekting utgiftsbehov'!Z12</f>
        <v>1.0686028215803711</v>
      </c>
      <c r="E12" s="3">
        <f>+'[1]2022 Revekting utgiftsbehov'!AA12</f>
        <v>1.1505989388741977</v>
      </c>
      <c r="F12" s="3">
        <f>+'[1]2022 Revekting utgiftsbehov'!AB12</f>
        <v>0.82497583410464004</v>
      </c>
      <c r="G12" s="3">
        <f>+'[1]2022 Revekting utgiftsbehov'!AC12</f>
        <v>0.22699072123018027</v>
      </c>
      <c r="H12" s="3">
        <f>+'[1]2022 Revekting utgiftsbehov'!AD12</f>
        <v>1.0503893396741837</v>
      </c>
      <c r="I12" s="4"/>
      <c r="J12" s="4">
        <f>+C12-'[1]2022 Revekting utgiftsbehov'!I12</f>
        <v>-1.576739068581301E-2</v>
      </c>
      <c r="K12" s="4"/>
    </row>
    <row r="13" spans="1:17" x14ac:dyDescent="0.25">
      <c r="A13" s="43">
        <v>4600</v>
      </c>
      <c r="B13" s="44" t="s">
        <v>395</v>
      </c>
      <c r="C13" s="3">
        <f>+'2022 Nøkkel revektet'!D13*'[1]2022 Nto driftsutg landet'!$C$5/'[1]2022 Nto driftsutg landet'!$C$10+'2022 Nøkkel revektet'!E13*'[1]2022 Nto driftsutg landet'!$C$6/'[1]2022 Nto driftsutg landet'!$C$10+'2022 Nøkkel revektet'!F13*'[1]2022 Nto driftsutg landet'!$C$7/'[1]2022 Nto driftsutg landet'!$C$10+'2022 Nøkkel revektet'!G13*'[1]2022 Nto driftsutg landet'!$C$8/'[1]2022 Nto driftsutg landet'!$C$10+'2022 Nøkkel revektet'!H13*'[1]2022 Nto driftsutg landet'!$C$9/'[1]2022 Nto driftsutg landet'!$C$10</f>
        <v>1.1485918808212066</v>
      </c>
      <c r="D13" s="3">
        <f>+'[1]2022 Revekting utgiftsbehov'!Z13</f>
        <v>1.0599850615803712</v>
      </c>
      <c r="E13" s="3">
        <f>+'[1]2022 Revekting utgiftsbehov'!AA13</f>
        <v>1.1845790388741979</v>
      </c>
      <c r="F13" s="3">
        <f>+'[1]2022 Revekting utgiftsbehov'!AB13</f>
        <v>1.0002381541046401</v>
      </c>
      <c r="G13" s="3">
        <f>+'[1]2022 Revekting utgiftsbehov'!AC13</f>
        <v>2.1528916212301801</v>
      </c>
      <c r="H13" s="3">
        <f>+'[1]2022 Revekting utgiftsbehov'!AD13</f>
        <v>1.0315294296741839</v>
      </c>
      <c r="I13" s="4"/>
      <c r="J13" s="4">
        <f>+C13-'[1]2022 Revekting utgiftsbehov'!I13</f>
        <v>-6.4081191787934699E-3</v>
      </c>
      <c r="K13" s="4"/>
    </row>
    <row r="14" spans="1:17" x14ac:dyDescent="0.25">
      <c r="A14" s="43">
        <v>5000</v>
      </c>
      <c r="B14" s="44" t="s">
        <v>390</v>
      </c>
      <c r="C14" s="3">
        <f>+'2022 Nøkkel revektet'!D14*'[1]2022 Nto driftsutg landet'!$C$5/'[1]2022 Nto driftsutg landet'!$C$10+'2022 Nøkkel revektet'!E14*'[1]2022 Nto driftsutg landet'!$C$6/'[1]2022 Nto driftsutg landet'!$C$10+'2022 Nøkkel revektet'!F14*'[1]2022 Nto driftsutg landet'!$C$7/'[1]2022 Nto driftsutg landet'!$C$10+'2022 Nøkkel revektet'!G14*'[1]2022 Nto driftsutg landet'!$C$8/'[1]2022 Nto driftsutg landet'!$C$10+'2022 Nøkkel revektet'!H14*'[1]2022 Nto driftsutg landet'!$C$9/'[1]2022 Nto driftsutg landet'!$C$10</f>
        <v>1.0821239143015386</v>
      </c>
      <c r="D14" s="3">
        <f>+'[1]2022 Revekting utgiftsbehov'!Z14</f>
        <v>1.0203362715803712</v>
      </c>
      <c r="E14" s="3">
        <f>+'[1]2022 Revekting utgiftsbehov'!AA14</f>
        <v>1.2794585388741979</v>
      </c>
      <c r="F14" s="3">
        <f>+'[1]2022 Revekting utgiftsbehov'!AB14</f>
        <v>1.0612897541046402</v>
      </c>
      <c r="G14" s="3">
        <f>+'[1]2022 Revekting utgiftsbehov'!AC14</f>
        <v>1.2260463412301803</v>
      </c>
      <c r="H14" s="3">
        <f>+'[1]2022 Revekting utgiftsbehov'!AD14</f>
        <v>1.0044135096741837</v>
      </c>
      <c r="I14" s="4"/>
      <c r="J14" s="4">
        <f>+C14-'[1]2022 Revekting utgiftsbehov'!I14</f>
        <v>-1.0776085698461335E-2</v>
      </c>
      <c r="K14" s="4"/>
    </row>
    <row r="15" spans="1:17" x14ac:dyDescent="0.25">
      <c r="A15" s="43">
        <v>5400</v>
      </c>
      <c r="B15" s="44" t="s">
        <v>396</v>
      </c>
      <c r="C15" s="3">
        <f>+'2022 Nøkkel revektet'!D15*'[1]2022 Nto driftsutg landet'!$C$5/'[1]2022 Nto driftsutg landet'!$C$10+'2022 Nøkkel revektet'!E15*'[1]2022 Nto driftsutg landet'!$C$6/'[1]2022 Nto driftsutg landet'!$C$10+'2022 Nøkkel revektet'!F15*'[1]2022 Nto driftsutg landet'!$C$7/'[1]2022 Nto driftsutg landet'!$C$10+'2022 Nøkkel revektet'!G15*'[1]2022 Nto driftsutg landet'!$C$8/'[1]2022 Nto driftsutg landet'!$C$10+'2022 Nøkkel revektet'!H15*'[1]2022 Nto driftsutg landet'!$C$9/'[1]2022 Nto driftsutg landet'!$C$10</f>
        <v>1.3816998811309684</v>
      </c>
      <c r="D15" s="3">
        <f>+'[1]2022 Revekting utgiftsbehov'!Z15</f>
        <v>1.0642174715803714</v>
      </c>
      <c r="E15" s="3">
        <f>+'[1]2022 Revekting utgiftsbehov'!AA15</f>
        <v>2.0645312388741979</v>
      </c>
      <c r="F15" s="3">
        <f>+'[1]2022 Revekting utgiftsbehov'!AB15</f>
        <v>1.12130167410464</v>
      </c>
      <c r="G15" s="3">
        <f>+'[1]2022 Revekting utgiftsbehov'!AC15</f>
        <v>3.1783460612301804</v>
      </c>
      <c r="H15" s="3">
        <f>+'[1]2022 Revekting utgiftsbehov'!AD15</f>
        <v>0.9713439196741841</v>
      </c>
      <c r="I15" s="4"/>
      <c r="J15" s="4">
        <f>+C15-'[1]2022 Revekting utgiftsbehov'!I15</f>
        <v>-4.1500118869031599E-2</v>
      </c>
      <c r="K15" s="4"/>
    </row>
    <row r="16" spans="1:17" x14ac:dyDescent="0.25">
      <c r="C16" s="4"/>
      <c r="D16" s="4"/>
      <c r="E16" s="4"/>
      <c r="F16" s="4"/>
      <c r="G16" s="4"/>
      <c r="H16" s="4"/>
    </row>
    <row r="17" spans="2:8" x14ac:dyDescent="0.25">
      <c r="B17" s="1" t="s">
        <v>3</v>
      </c>
      <c r="C17" s="3"/>
      <c r="D17" s="3">
        <v>1</v>
      </c>
      <c r="E17" s="3">
        <v>1</v>
      </c>
      <c r="F17" s="3">
        <v>1</v>
      </c>
      <c r="G17" s="3">
        <v>1</v>
      </c>
      <c r="H17" s="3">
        <v>1</v>
      </c>
    </row>
  </sheetData>
  <sheetProtection algorithmName="SHA-512" hashValue="7ngZk6PSFPZAThCM528oOuIBD+J4dtWdoPn0F41vufJrFu0btjAz3xlVzq4WWB8BcSkV9E8UHbbEr++q5dsB3g==" saltValue="lsIK9QkPTkBGU0evjxuWxw==" spinCount="100000" sheet="1" selectLockedCells="1" selectUnlockedCells="1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18FB9-B7CE-42F0-B704-D4811297D7A6}">
  <sheetPr codeName="Ark27"/>
  <dimension ref="A2:B15"/>
  <sheetViews>
    <sheetView workbookViewId="0">
      <selection activeCell="B16" sqref="B16"/>
    </sheetView>
  </sheetViews>
  <sheetFormatPr baseColWidth="10" defaultRowHeight="15" x14ac:dyDescent="0.25"/>
  <cols>
    <col min="2" max="2" width="21.7109375" bestFit="1" customWidth="1"/>
  </cols>
  <sheetData>
    <row r="2" spans="1:2" x14ac:dyDescent="0.25">
      <c r="A2" s="24" t="s">
        <v>2</v>
      </c>
      <c r="B2" s="24" t="s">
        <v>1</v>
      </c>
    </row>
    <row r="3" spans="1:2" x14ac:dyDescent="0.25">
      <c r="A3" s="107">
        <v>1</v>
      </c>
      <c r="B3" s="107">
        <f>+A3+1</f>
        <v>2</v>
      </c>
    </row>
    <row r="5" spans="1:2" x14ac:dyDescent="0.25">
      <c r="A5" s="43">
        <v>300</v>
      </c>
      <c r="B5" s="44" t="s">
        <v>0</v>
      </c>
    </row>
    <row r="6" spans="1:2" x14ac:dyDescent="0.25">
      <c r="A6" s="43">
        <v>1100</v>
      </c>
      <c r="B6" s="44" t="s">
        <v>141</v>
      </c>
    </row>
    <row r="7" spans="1:2" x14ac:dyDescent="0.25">
      <c r="A7" s="43">
        <v>1500</v>
      </c>
      <c r="B7" s="44" t="s">
        <v>142</v>
      </c>
    </row>
    <row r="8" spans="1:2" x14ac:dyDescent="0.25">
      <c r="A8" s="43">
        <v>1800</v>
      </c>
      <c r="B8" s="44" t="s">
        <v>143</v>
      </c>
    </row>
    <row r="9" spans="1:2" x14ac:dyDescent="0.25">
      <c r="A9" s="43">
        <v>3000</v>
      </c>
      <c r="B9" s="44" t="s">
        <v>391</v>
      </c>
    </row>
    <row r="10" spans="1:2" x14ac:dyDescent="0.25">
      <c r="A10" s="43">
        <v>3400</v>
      </c>
      <c r="B10" s="44" t="s">
        <v>392</v>
      </c>
    </row>
    <row r="11" spans="1:2" x14ac:dyDescent="0.25">
      <c r="A11" s="43">
        <v>3800</v>
      </c>
      <c r="B11" s="44" t="s">
        <v>397</v>
      </c>
    </row>
    <row r="12" spans="1:2" x14ac:dyDescent="0.25">
      <c r="A12" s="43">
        <v>4200</v>
      </c>
      <c r="B12" s="44" t="s">
        <v>394</v>
      </c>
    </row>
    <row r="13" spans="1:2" x14ac:dyDescent="0.25">
      <c r="A13" s="43">
        <v>4600</v>
      </c>
      <c r="B13" s="44" t="s">
        <v>395</v>
      </c>
    </row>
    <row r="14" spans="1:2" x14ac:dyDescent="0.25">
      <c r="A14" s="43">
        <v>5000</v>
      </c>
      <c r="B14" s="44" t="s">
        <v>390</v>
      </c>
    </row>
    <row r="15" spans="1:2" x14ac:dyDescent="0.25">
      <c r="A15" s="43">
        <v>5400</v>
      </c>
      <c r="B15" s="44" t="s">
        <v>396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6"/>
  <dimension ref="B1:K78"/>
  <sheetViews>
    <sheetView showGridLines="0" workbookViewId="0"/>
  </sheetViews>
  <sheetFormatPr baseColWidth="10" defaultRowHeight="15" x14ac:dyDescent="0.25"/>
  <cols>
    <col min="2" max="2" width="39.5703125" customWidth="1"/>
    <col min="3" max="3" width="17.42578125" customWidth="1"/>
    <col min="4" max="4" width="24" customWidth="1"/>
    <col min="5" max="5" width="24.5703125" customWidth="1"/>
    <col min="6" max="6" width="22.85546875" customWidth="1"/>
    <col min="7" max="7" width="8.85546875" customWidth="1"/>
    <col min="8" max="8" width="30.5703125" customWidth="1"/>
    <col min="9" max="9" width="11.42578125" customWidth="1"/>
    <col min="10" max="10" width="9.5703125" customWidth="1"/>
  </cols>
  <sheetData>
    <row r="1" spans="2:8" ht="36" customHeight="1" x14ac:dyDescent="0.4">
      <c r="B1" s="79" t="str">
        <f>+Inngang!C9</f>
        <v/>
      </c>
      <c r="C1" s="106"/>
    </row>
    <row r="3" spans="2:8" x14ac:dyDescent="0.25">
      <c r="B3" s="7" t="s">
        <v>52</v>
      </c>
    </row>
    <row r="4" spans="2:8" x14ac:dyDescent="0.25">
      <c r="B4" s="7"/>
    </row>
    <row r="5" spans="2:8" ht="45" x14ac:dyDescent="0.25">
      <c r="B5" s="38"/>
      <c r="C5" s="18" t="s">
        <v>315</v>
      </c>
      <c r="D5" s="18" t="s">
        <v>131</v>
      </c>
    </row>
    <row r="6" spans="2:8" x14ac:dyDescent="0.25">
      <c r="B6" s="39"/>
      <c r="C6" s="37" t="s">
        <v>40</v>
      </c>
      <c r="D6" s="37" t="s">
        <v>40</v>
      </c>
    </row>
    <row r="7" spans="2:8" x14ac:dyDescent="0.25">
      <c r="B7" s="62" t="s">
        <v>139</v>
      </c>
      <c r="C7" s="64" t="e">
        <f>VLOOKUP(Inngang!$B$9,'2022 Inntektsnivå'!A5:D15,4)</f>
        <v>#N/A</v>
      </c>
      <c r="D7" s="101"/>
    </row>
    <row r="8" spans="2:8" x14ac:dyDescent="0.25">
      <c r="B8" s="62" t="s">
        <v>273</v>
      </c>
      <c r="C8" s="65" t="e">
        <f>+E31+E32+E33+E34+E35</f>
        <v>#N/A</v>
      </c>
      <c r="D8" s="74" t="e">
        <f>H31+H32+H33+H34+H35</f>
        <v>#N/A</v>
      </c>
    </row>
    <row r="9" spans="2:8" x14ac:dyDescent="0.25">
      <c r="B9" s="62" t="s">
        <v>272</v>
      </c>
      <c r="C9" s="65" t="e">
        <f>+E36</f>
        <v>#N/A</v>
      </c>
      <c r="D9" s="74" t="e">
        <f t="shared" ref="D9:D12" si="0">+H36</f>
        <v>#N/A</v>
      </c>
    </row>
    <row r="10" spans="2:8" x14ac:dyDescent="0.25">
      <c r="B10" s="62" t="s">
        <v>27</v>
      </c>
      <c r="C10" s="65" t="e">
        <f>+E37</f>
        <v>#N/A</v>
      </c>
      <c r="D10" s="74" t="e">
        <f t="shared" si="0"/>
        <v>#N/A</v>
      </c>
    </row>
    <row r="11" spans="2:8" x14ac:dyDescent="0.25">
      <c r="B11" s="62" t="s">
        <v>24</v>
      </c>
      <c r="C11" s="65" t="e">
        <f t="shared" ref="C11:C12" si="1">+E38</f>
        <v>#N/A</v>
      </c>
      <c r="D11" s="74" t="e">
        <f t="shared" si="0"/>
        <v>#N/A</v>
      </c>
    </row>
    <row r="12" spans="2:8" x14ac:dyDescent="0.25">
      <c r="B12" s="63" t="s">
        <v>25</v>
      </c>
      <c r="C12" s="66" t="e">
        <f t="shared" si="1"/>
        <v>#N/A</v>
      </c>
      <c r="D12" s="75" t="e">
        <f t="shared" si="0"/>
        <v>#N/A</v>
      </c>
    </row>
    <row r="13" spans="2:8" x14ac:dyDescent="0.25">
      <c r="B13" s="7"/>
      <c r="C13" s="5"/>
      <c r="D13" s="5"/>
    </row>
    <row r="14" spans="2:8" x14ac:dyDescent="0.25">
      <c r="B14" s="7"/>
    </row>
    <row r="16" spans="2:8" ht="45" x14ac:dyDescent="0.25">
      <c r="B16" s="77"/>
      <c r="C16" s="15" t="s">
        <v>50</v>
      </c>
      <c r="D16" s="20" t="s">
        <v>51</v>
      </c>
      <c r="E16" s="18" t="s">
        <v>57</v>
      </c>
      <c r="F16" s="20" t="s">
        <v>56</v>
      </c>
      <c r="G16" s="20"/>
      <c r="H16" s="18" t="s">
        <v>58</v>
      </c>
    </row>
    <row r="17" spans="2:11" x14ac:dyDescent="0.25">
      <c r="B17" s="78"/>
      <c r="C17" s="41" t="s">
        <v>53</v>
      </c>
      <c r="D17" s="35" t="s">
        <v>54</v>
      </c>
      <c r="E17" s="37" t="s">
        <v>55</v>
      </c>
      <c r="F17" s="35" t="s">
        <v>53</v>
      </c>
      <c r="G17" s="35"/>
      <c r="H17" s="37" t="s">
        <v>55</v>
      </c>
    </row>
    <row r="18" spans="2:11" x14ac:dyDescent="0.25">
      <c r="B18" s="62" t="s">
        <v>174</v>
      </c>
      <c r="C18" s="14" t="e">
        <f>VLOOKUP(Inngang!$B$9,'2022 Nto driftsutg eks avskriv'!$A$5:$T$15,4)*1000/VLOOKUP(Inngang!$B$9,'2022 Nto driftsutg'!$A$5:$W$15,23)*100/'2022 Nto driftsutg landet'!C5-100</f>
        <v>#N/A</v>
      </c>
      <c r="D18" s="5" t="e">
        <f>('2022 Nto driftsutg landet'!$C$5+VLOOKUP(Inngang!$B$9,'2022 Korreksjoner'!$A$5:$AS$15,3)+VLOOKUP(Inngang!$B$9,'2022 Korreksjoner'!$A$5:$AS$15,5)+VLOOKUP(Inngang!$B$9,'2022 Korreksjoner'!$A$5:$AS$15,12)+VLOOKUP(Inngang!$B$9,'2022 Korreksjoner'!$A$5:$AS$15,28))*100/'2022 Nto driftsutg landet'!C5-100</f>
        <v>#N/A</v>
      </c>
      <c r="E18" s="16" t="e">
        <f>+C18-D18</f>
        <v>#N/A</v>
      </c>
      <c r="F18" s="5" t="e">
        <f>('2022 Nto driftsutg landet'!$C$5*VLOOKUP(Inngang!$B$9,'2022 Inntektsnivå'!$A$5:$C$15,3)+VLOOKUP(Inngang!$B$9,'2022 Korreksjoner'!$A$5:$AS$15,5)+VLOOKUP(Inngang!$B$9,'2022 Korreksjoner'!$A$5:$AS$15,3)+VLOOKUP(Inngang!$B$9,'2022 Korreksjoner'!$A$5:$AS$15,12)+VLOOKUP(Inngang!$B$9,'2022 Korreksjoner'!$A$5:$AS$15,28))*100/'2022 Nto driftsutg landet'!C5-100</f>
        <v>#N/A</v>
      </c>
      <c r="G18" s="5"/>
      <c r="H18" s="16" t="e">
        <f>+C18-F18</f>
        <v>#N/A</v>
      </c>
    </row>
    <row r="19" spans="2:11" x14ac:dyDescent="0.25">
      <c r="B19" s="62" t="s">
        <v>175</v>
      </c>
      <c r="C19" s="14" t="e">
        <f>VLOOKUP(Inngang!$B$9,'2022 Nto driftsutg eks avskriv'!$A$5:$T$15,5)*1000/VLOOKUP(Inngang!$B$9,'2022 Nto driftsutg'!$A$5:$W$15,23)*100/'2022 Nto driftsutg landet'!C6-100</f>
        <v>#N/A</v>
      </c>
      <c r="D19" s="5" t="e">
        <f>('2022 Nto driftsutg landet'!$C$6+VLOOKUP(Inngang!$B$9,'2022 Korreksjoner'!$A$5:$AS$15,6)+VLOOKUP(Inngang!$B$9,'2022 Korreksjoner'!$A$5:$AS$15,13)+VLOOKUP(Inngang!$B$9,'2022 Korreksjoner'!$A$5:$AS$15,29))*100/'2022 Nto driftsutg landet'!C6-100</f>
        <v>#N/A</v>
      </c>
      <c r="E19" s="16" t="e">
        <f>+C19-D19</f>
        <v>#N/A</v>
      </c>
      <c r="F19" s="5" t="e">
        <f>('2022 Nto driftsutg landet'!$C$6*VLOOKUP(Inngang!$B$9,'2022 Inntektsnivå'!$A$5:$C$15,3)+VLOOKUP(Inngang!$B$9,'2022 Korreksjoner'!$A$5:$AS$15,6)+VLOOKUP(Inngang!$B$9,'2022 Korreksjoner'!$A$5:$AS$15,13)+VLOOKUP(Inngang!$B$9,'2022 Korreksjoner'!$A$5:$AS$15,29))*100/'2022 Nto driftsutg landet'!C6-100</f>
        <v>#N/A</v>
      </c>
      <c r="G19" s="5"/>
      <c r="H19" s="16" t="e">
        <f>+C19-F19</f>
        <v>#N/A</v>
      </c>
    </row>
    <row r="20" spans="2:11" x14ac:dyDescent="0.25">
      <c r="B20" s="62" t="s">
        <v>278</v>
      </c>
      <c r="C20" s="14" t="e">
        <f>VLOOKUP(Inngang!$B$9,'2022 Nto driftsutg eks avskriv'!$A$5:$T$15,6)*1000/VLOOKUP(Inngang!$B$9,'2022 Nto driftsutg'!$A$5:$W$15,23)*100/'2022 Nto driftsutg landet'!C7-100</f>
        <v>#N/A</v>
      </c>
      <c r="D20" s="5" t="e">
        <f>('2022 Nto driftsutg landet'!$C$7+VLOOKUP(Inngang!$B$9,'2022 Korreksjoner'!$A$5:$AS$15,7)+VLOOKUP(Inngang!$B$9,'2022 Korreksjoner'!$A$5:$AS$15,14)+VLOOKUP(Inngang!$B$9,'2022 Korreksjoner'!$A$5:$AS$15,30))*100/'2022 Nto driftsutg landet'!C7-100</f>
        <v>#N/A</v>
      </c>
      <c r="E20" s="16" t="e">
        <f>+C20-D20</f>
        <v>#N/A</v>
      </c>
      <c r="F20" s="5" t="e">
        <f>('2022 Nto driftsutg landet'!$C$7*VLOOKUP(Inngang!$B$9,'2022 Inntektsnivå'!$A$5:$C$15,3)+VLOOKUP(Inngang!$B$9,'2022 Korreksjoner'!$A$5:$AS$15,7)+VLOOKUP(Inngang!$B$9,'2022 Korreksjoner'!$A$5:$AS$15,14)+VLOOKUP(Inngang!$B$9,'2022 Korreksjoner'!$A$5:$AS$15,30))*100/'2022 Nto driftsutg landet'!C7-100</f>
        <v>#N/A</v>
      </c>
      <c r="G20" s="5"/>
      <c r="H20" s="16" t="e">
        <f>+C20-F20</f>
        <v>#N/A</v>
      </c>
    </row>
    <row r="21" spans="2:11" x14ac:dyDescent="0.25">
      <c r="B21" s="62" t="s">
        <v>279</v>
      </c>
      <c r="C21" s="14" t="e">
        <f>VLOOKUP(Inngang!$B$9,'2022 Nto driftsutg eks avskriv'!$A$5:$T$15,7)*1000/VLOOKUP(Inngang!$B$9,'2022 Nto driftsutg'!$A$5:$W$15,23)*100/'2022 Nto driftsutg landet'!C9-100</f>
        <v>#N/A</v>
      </c>
      <c r="D21" s="5" t="e">
        <f>('2022 Nto driftsutg landet'!$C$8+VLOOKUP(Inngang!$B$9,'2022 Korreksjoner'!$A$5:$AS$15,8)+VLOOKUP(Inngang!$B$9,'2022 Korreksjoner'!$A$5:$AS$15,15)+VLOOKUP(Inngang!$B$9,'2022 Korreksjoner'!$A$5:$AS$15,31))*100/'2022 Nto driftsutg landet'!C8-100</f>
        <v>#N/A</v>
      </c>
      <c r="E21" s="16" t="e">
        <f>+C21-D21</f>
        <v>#N/A</v>
      </c>
      <c r="F21" s="5" t="e">
        <f>('2022 Nto driftsutg landet'!$C$8*VLOOKUP(Inngang!$B$9,'2022 Inntektsnivå'!$A$5:$C$15,3)+VLOOKUP(Inngang!$B$9,'2022 Korreksjoner'!$A$5:$AS$15,8)+VLOOKUP(Inngang!$B$9,'2022 Korreksjoner'!$A$5:$AS$15,15)+VLOOKUP(Inngang!$B$9,'2022 Korreksjoner'!$A$5:$AS$15,31))*100/'2022 Nto driftsutg landet'!C8-100</f>
        <v>#N/A</v>
      </c>
      <c r="G21" s="5"/>
      <c r="H21" s="16" t="e">
        <f>+C21-F21</f>
        <v>#N/A</v>
      </c>
    </row>
    <row r="22" spans="2:11" x14ac:dyDescent="0.25">
      <c r="B22" s="63" t="s">
        <v>176</v>
      </c>
      <c r="C22" s="26" t="e">
        <f>VLOOKUP(Inngang!$B$9,'2022 Nto driftsutg eks avskriv'!$A$5:$T$15,8)*1000/VLOOKUP(Inngang!$B$9,'2022 Nto driftsutg'!$A$5:$W$15,23)*100/'2022 Nto driftsutg landet'!C9-100</f>
        <v>#N/A</v>
      </c>
      <c r="D22" s="22" t="e">
        <f>('2022 Nto driftsutg landet'!$C$9+VLOOKUP(Inngang!$B$9,'2022 Korreksjoner'!$A$5:$AS$15,9)+VLOOKUP(Inngang!$B$9,'2022 Korreksjoner'!$A$5:$AS$15,16)+VLOOKUP(Inngang!$B$9,'2022 Korreksjoner'!$A$5:$AS$15,32))*100/'2022 Nto driftsutg landet'!C9-100</f>
        <v>#N/A</v>
      </c>
      <c r="E22" s="27" t="e">
        <f t="shared" ref="E22" si="2">+C22-D22</f>
        <v>#N/A</v>
      </c>
      <c r="F22" s="22" t="e">
        <f>('2022 Nto driftsutg landet'!$C$9*VLOOKUP(Inngang!$B$9,'2022 Inntektsnivå'!$A$5:$C$15,3)+VLOOKUP(Inngang!$B$9,'2022 Korreksjoner'!$A$5:$AS$15,9)+VLOOKUP(Inngang!$B$9,'2022 Korreksjoner'!$A$5:$AS$15,16)+VLOOKUP(Inngang!$B$9,'2022 Korreksjoner'!$A$5:$AS$15,32))*100/'2022 Nto driftsutg landet'!C9-100</f>
        <v>#N/A</v>
      </c>
      <c r="G22" s="22"/>
      <c r="H22" s="27" t="e">
        <f t="shared" ref="H22" si="3">+C22-F22</f>
        <v>#N/A</v>
      </c>
    </row>
    <row r="26" spans="2:11" x14ac:dyDescent="0.25">
      <c r="B26" s="7" t="s">
        <v>35</v>
      </c>
    </row>
    <row r="27" spans="2:11" x14ac:dyDescent="0.25">
      <c r="K27" s="5"/>
    </row>
    <row r="28" spans="2:11" ht="60" x14ac:dyDescent="0.25">
      <c r="B28" s="38"/>
      <c r="C28" s="20" t="s">
        <v>135</v>
      </c>
      <c r="D28" s="20" t="s">
        <v>270</v>
      </c>
      <c r="E28" s="19" t="s">
        <v>49</v>
      </c>
      <c r="F28" s="15" t="s">
        <v>43</v>
      </c>
      <c r="G28" s="20"/>
      <c r="H28" s="18" t="s">
        <v>44</v>
      </c>
      <c r="I28" s="117" t="s">
        <v>134</v>
      </c>
      <c r="J28" s="117"/>
    </row>
    <row r="29" spans="2:11" x14ac:dyDescent="0.25">
      <c r="B29" s="39"/>
      <c r="C29" s="35" t="s">
        <v>40</v>
      </c>
      <c r="D29" s="35" t="s">
        <v>42</v>
      </c>
      <c r="E29" s="36" t="s">
        <v>40</v>
      </c>
      <c r="F29" s="41" t="s">
        <v>40</v>
      </c>
      <c r="G29" s="35"/>
      <c r="H29" s="37" t="s">
        <v>40</v>
      </c>
    </row>
    <row r="30" spans="2:11" x14ac:dyDescent="0.25">
      <c r="B30" s="83" t="s">
        <v>140</v>
      </c>
      <c r="C30" s="84" t="e">
        <f>SUM(C31:C35)</f>
        <v>#N/A</v>
      </c>
      <c r="D30" s="84" t="e">
        <f>SUM(D31:D35)</f>
        <v>#N/A</v>
      </c>
      <c r="E30" s="85" t="e">
        <f>SUM(E31:E35)</f>
        <v>#N/A</v>
      </c>
      <c r="F30" s="87" t="e">
        <f>SUM(F31:F35)</f>
        <v>#N/A</v>
      </c>
      <c r="G30" s="84"/>
      <c r="H30" s="86" t="e">
        <f>SUM(H31:H35)</f>
        <v>#N/A</v>
      </c>
      <c r="I30">
        <v>-300</v>
      </c>
      <c r="J30">
        <v>300</v>
      </c>
    </row>
    <row r="31" spans="2:11" x14ac:dyDescent="0.25">
      <c r="B31" s="32" t="s">
        <v>174</v>
      </c>
      <c r="C31" s="5" t="e">
        <f>VLOOKUP(Inngang!$B$9,'2022 Nto driftsutg eks avskriv'!$A$5:$T$15,4)*1000/VLOOKUP(Inngang!$B$9,'2022 Nto driftsutg'!$A$5:$W$15,23)</f>
        <v>#N/A</v>
      </c>
      <c r="D31" s="5" t="e">
        <f>+'2022 Nto driftsutg landet'!$C$5+VLOOKUP(Inngang!$B$9,'2022 Korreksjoner'!$A$5:$AS$15,5)+VLOOKUP(Inngang!$B$9,'2022 Korreksjoner'!$A$5:$I$15,3)+VLOOKUP(Inngang!$B$9,'2022 Korreksjoner'!$A$5:$AS$15,12)+VLOOKUP(Inngang!$B$9,'2022 Korreksjoner'!$A$5:$AS$15,28)</f>
        <v>#N/A</v>
      </c>
      <c r="E31" s="17" t="e">
        <f>+C31-D31</f>
        <v>#N/A</v>
      </c>
      <c r="F31" s="14" t="e">
        <f>+'2022 Nto driftsutg landet'!$C$5*VLOOKUP(Inngang!$B$9,'2022 Inntektsnivå'!$A$5:$C$15,3)+VLOOKUP(Inngang!$B$9,'2022 Korreksjoner'!$A$5:$AS$15,5)+VLOOKUP(Inngang!$B$9,'2022 Korreksjoner'!$A$5:$I$15,3)+VLOOKUP(Inngang!$B$9,'2022 Korreksjoner'!$A$5:$AS$15,12)+VLOOKUP(Inngang!$B$9,'2022 Korreksjoner'!$A$5:$AS$15,28)</f>
        <v>#N/A</v>
      </c>
      <c r="G31" s="5"/>
      <c r="H31" s="16" t="e">
        <f>IF(F34=G34,C31-F31,(C31-F31)-(G34-F34)*C31/C30)</f>
        <v>#N/A</v>
      </c>
      <c r="I31">
        <v>-300</v>
      </c>
      <c r="J31">
        <v>300</v>
      </c>
    </row>
    <row r="32" spans="2:11" x14ac:dyDescent="0.25">
      <c r="B32" s="32" t="s">
        <v>175</v>
      </c>
      <c r="C32" s="5" t="e">
        <f>VLOOKUP(Inngang!$B$9,'2022 Nto driftsutg eks avskriv'!$A$5:$T$15,5)*1000/VLOOKUP(Inngang!$B$9,'2022 Nto driftsutg'!$A$5:$W$15,23)</f>
        <v>#N/A</v>
      </c>
      <c r="D32" s="5" t="e">
        <f>+'2022 Nto driftsutg landet'!$C$6+VLOOKUP(Inngang!$B$9,'2022 Korreksjoner'!$A$5:$AS$15,6)+VLOOKUP(Inngang!$B$9,'2022 Korreksjoner'!$A$5:$AS$15,13)+VLOOKUP(Inngang!$B$9,'2022 Korreksjoner'!$A$5:$AS$15,29)</f>
        <v>#N/A</v>
      </c>
      <c r="E32" s="17" t="e">
        <f>+C32-D32</f>
        <v>#N/A</v>
      </c>
      <c r="F32" s="14" t="e">
        <f>+'2022 Nto driftsutg landet'!$C$6*VLOOKUP(Inngang!$B$9,'2022 Inntektsnivå'!$A$5:$C$15,3)+VLOOKUP(Inngang!$B$9,'2022 Korreksjoner'!$A$5:$AS$15,6)+VLOOKUP(Inngang!$B$9,'2022 Korreksjoner'!$A$5:$AS$15,13)+VLOOKUP(Inngang!$B$9,'2022 Korreksjoner'!$A$5:$AS$15,29)</f>
        <v>#N/A</v>
      </c>
      <c r="G32" s="5"/>
      <c r="H32" s="16" t="e">
        <f>IF(F34=G34,C32-F32,(C32-F32)-(G34-F34)*C32/C30)</f>
        <v>#N/A</v>
      </c>
      <c r="I32">
        <v>-300</v>
      </c>
      <c r="J32">
        <v>300</v>
      </c>
    </row>
    <row r="33" spans="2:10" x14ac:dyDescent="0.25">
      <c r="B33" s="32" t="s">
        <v>278</v>
      </c>
      <c r="C33" s="5" t="e">
        <f>VLOOKUP(Inngang!$B$9,'2022 Nto driftsutg eks avskriv'!$A$5:$T$15,6)*1000/VLOOKUP(Inngang!$B$9,'2022 Nto driftsutg'!$A$5:$W$15,23)</f>
        <v>#N/A</v>
      </c>
      <c r="D33" s="5" t="e">
        <f>+'2022 Nto driftsutg landet'!$C$7+VLOOKUP(Inngang!$B$9,'2022 Korreksjoner'!$A$5:$AS$15,7)+VLOOKUP(Inngang!$B$9,'2022 Korreksjoner'!$A$5:$AS$15,14)+VLOOKUP(Inngang!$B$9,'2022 Korreksjoner'!$A$5:$AS$15,30)</f>
        <v>#N/A</v>
      </c>
      <c r="E33" s="17" t="e">
        <f>+C33-D33</f>
        <v>#N/A</v>
      </c>
      <c r="F33" s="14" t="e">
        <f>+'2022 Nto driftsutg landet'!$C$7*VLOOKUP(Inngang!$B$9,'2022 Inntektsnivå'!$A$5:$C$15,3)+VLOOKUP(Inngang!$B$9,'2022 Korreksjoner'!$A$5:$AS$15,7)+VLOOKUP(Inngang!$B$9,'2022 Korreksjoner'!$A$5:$AS$15,14)+VLOOKUP(Inngang!$B$9,'2022 Korreksjoner'!$A$5:$AS$15,30)</f>
        <v>#N/A</v>
      </c>
      <c r="G33" s="5"/>
      <c r="H33" s="16" t="e">
        <f>IF(F34=G34,C33-F33,(C33-F33)-(G34-F34)*(C33+C34)/C30)</f>
        <v>#N/A</v>
      </c>
      <c r="I33">
        <v>-300</v>
      </c>
      <c r="J33">
        <v>300</v>
      </c>
    </row>
    <row r="34" spans="2:10" x14ac:dyDescent="0.25">
      <c r="B34" s="32" t="s">
        <v>279</v>
      </c>
      <c r="C34" s="5" t="e">
        <f>VLOOKUP(Inngang!$B$9,'2022 Nto driftsutg eks avskriv'!$A$5:$T$15,7)*1000/VLOOKUP(Inngang!$B$9,'2022 Nto driftsutg'!$A$5:$W$15,23)</f>
        <v>#N/A</v>
      </c>
      <c r="D34" s="5" t="e">
        <f>+'2022 Nto driftsutg landet'!$C$8+VLOOKUP(Inngang!$B$9,'2022 Korreksjoner'!$A$5:$AS$15,8)+VLOOKUP(Inngang!$B$9,'2022 Korreksjoner'!$A$5:$AS$15,15)+VLOOKUP(Inngang!$B$9,'2022 Korreksjoner'!$A$5:$AS$15,31)</f>
        <v>#N/A</v>
      </c>
      <c r="E34" s="17" t="e">
        <f>+C34-D34</f>
        <v>#N/A</v>
      </c>
      <c r="F34" s="14" t="e">
        <f>IF(AND(C34&gt;=0.5,D34&gt;0),IF(G34&lt;5,C34,G34),0)</f>
        <v>#N/A</v>
      </c>
      <c r="G34" s="5" t="e">
        <f>+'2022 Nto driftsutg landet'!$C$8*VLOOKUP(Inngang!$B$9,'2022 Inntektsnivå'!$A$5:$C$15,3)+VLOOKUP(Inngang!$B$9,'2022 Korreksjoner'!$A$5:$AS$15,8)+VLOOKUP(Inngang!$B$9,'2022 Korreksjoner'!$A$5:$AS$15,15)+VLOOKUP(Inngang!$B$9,'2022 Korreksjoner'!$A$5:$AS$15,31)</f>
        <v>#N/A</v>
      </c>
      <c r="H34" s="16" t="e">
        <f>+C34-F34</f>
        <v>#N/A</v>
      </c>
      <c r="I34">
        <v>-300</v>
      </c>
      <c r="J34">
        <v>300</v>
      </c>
    </row>
    <row r="35" spans="2:10" x14ac:dyDescent="0.25">
      <c r="B35" s="33" t="s">
        <v>176</v>
      </c>
      <c r="C35" s="22" t="e">
        <f>VLOOKUP(Inngang!$B$9,'2022 Nto driftsutg eks avskriv'!$A$5:$T$15,8)*1000/VLOOKUP(Inngang!$B$9,'2022 Nto driftsutg'!$A$5:$W$15,23)</f>
        <v>#N/A</v>
      </c>
      <c r="D35" s="22" t="e">
        <f>+'2022 Nto driftsutg landet'!$C$9+VLOOKUP(Inngang!$B$9,'2022 Korreksjoner'!$A$5:$AS$15,9)+VLOOKUP(Inngang!$B$9,'2022 Korreksjoner'!$A$5:$AS$15,16)+VLOOKUP(Inngang!$B$9,'2022 Korreksjoner'!$A$5:$AS$15,32)</f>
        <v>#N/A</v>
      </c>
      <c r="E35" s="40" t="e">
        <f t="shared" ref="E35:E39" si="4">+C35-D35</f>
        <v>#N/A</v>
      </c>
      <c r="F35" s="26" t="e">
        <f>+'2022 Nto driftsutg landet'!$C$9*VLOOKUP(Inngang!$B$9,'2022 Inntektsnivå'!$A$5:$C$15,3)+VLOOKUP(Inngang!$B$9,'2022 Korreksjoner'!$A$5:$AS$15,9)+VLOOKUP(Inngang!$B$9,'2022 Korreksjoner'!$A$5:$AS$15,16)+VLOOKUP(Inngang!$B$9,'2022 Korreksjoner'!$A$5:$AS$15,32)</f>
        <v>#N/A</v>
      </c>
      <c r="G35" s="22"/>
      <c r="H35" s="27" t="e">
        <f>IF(F34=G34,C35-F35,(C35-F35)-(G34-F34)*C35/C30)</f>
        <v>#N/A</v>
      </c>
      <c r="I35">
        <v>-300</v>
      </c>
      <c r="J35">
        <v>300</v>
      </c>
    </row>
    <row r="36" spans="2:10" x14ac:dyDescent="0.25">
      <c r="B36" s="32" t="s">
        <v>272</v>
      </c>
      <c r="C36" s="5" t="e">
        <f>VLOOKUP(Inngang!$B$9,'2022 Nto driftsutg eks avskriv'!$A$5:$T$15,9)*1000/VLOOKUP(Inngang!$B$9,'2022 Nto driftsutg'!$A$5:$W$15,23)</f>
        <v>#N/A</v>
      </c>
      <c r="D36" s="5" t="e">
        <f>'2022 Nto driftsutg landet'!$C$13+VLOOKUP(Inngang!$B$9,'2022 Korreksjoner'!$A$5:$AS$15,17)+VLOOKUP(Inngang!$B$9,'2022 Korreksjoner'!$A$5:$AS$15,33)+VLOOKUP(Inngang!$B$9,'2022 Korreksjoner'!$A$5:$AW$15,46)</f>
        <v>#N/A</v>
      </c>
      <c r="E36" s="17" t="e">
        <f t="shared" si="4"/>
        <v>#N/A</v>
      </c>
      <c r="F36" s="14" t="e">
        <f>+'2022 Nto driftsutg landet'!$C$13*VLOOKUP(Inngang!$B$9,'2022 Inntektsnivå'!$A$5:$C$15,3)+VLOOKUP(Inngang!$B$9,'2022 Korreksjoner'!$A$5:$AS$15,17)+VLOOKUP(Inngang!$B$9,'2022 Korreksjoner'!$A$5:$AS$15,33)+VLOOKUP(Inngang!$B$9,'2022 Korreksjoner'!$A$5:$AV$15,46)</f>
        <v>#N/A</v>
      </c>
      <c r="G36" s="5"/>
      <c r="H36" s="16" t="e">
        <f>+C36-F36</f>
        <v>#N/A</v>
      </c>
      <c r="I36">
        <v>-300</v>
      </c>
      <c r="J36">
        <v>300</v>
      </c>
    </row>
    <row r="37" spans="2:10" x14ac:dyDescent="0.25">
      <c r="B37" s="32" t="s">
        <v>27</v>
      </c>
      <c r="C37" s="5" t="e">
        <f>VLOOKUP(Inngang!$B$9,'2022 Nto driftsutg eks avskriv'!$A$5:$T$15,18)*1000/VLOOKUP(Inngang!$B$9,'2022 Nto driftsutg'!$A$5:$W$15,23)</f>
        <v>#N/A</v>
      </c>
      <c r="D37" s="5" t="e">
        <f>'2022 Nto driftsutg landet'!$C$14+VLOOKUP(Inngang!$B$9,'2022 Korreksjoner'!$A$5:$AX$15,44)</f>
        <v>#N/A</v>
      </c>
      <c r="E37" s="17" t="e">
        <f t="shared" si="4"/>
        <v>#N/A</v>
      </c>
      <c r="F37" s="14" t="e">
        <f>+'2022 Nto driftsutg landet'!$C$14*VLOOKUP(Inngang!$B$9,'2022 Inntektsnivå'!$A$5:$C$15,3)+VLOOKUP(Inngang!$B$9,'2022 Korreksjoner'!$A$5:$AX$15,44)</f>
        <v>#N/A</v>
      </c>
      <c r="G37" s="5"/>
      <c r="H37" s="16" t="e">
        <f>+C37-F37</f>
        <v>#N/A</v>
      </c>
      <c r="I37">
        <v>-300</v>
      </c>
      <c r="J37">
        <v>300</v>
      </c>
    </row>
    <row r="38" spans="2:10" x14ac:dyDescent="0.25">
      <c r="B38" s="32" t="s">
        <v>24</v>
      </c>
      <c r="C38" s="5" t="e">
        <f>VLOOKUP(Inngang!$B$9,'2022 Nto driftsutg eks avskriv'!$A$5:$T$15,19)*1000/VLOOKUP(Inngang!$B$9,'2022 Nto driftsutg'!$A$5:$W$15,23)</f>
        <v>#N/A</v>
      </c>
      <c r="D38" s="93">
        <f>'2022 Nto driftsutg landet'!$C$15</f>
        <v>717.38946531950285</v>
      </c>
      <c r="E38" s="94" t="e">
        <f t="shared" si="4"/>
        <v>#N/A</v>
      </c>
      <c r="F38" s="95" t="e">
        <f>+'2022 Nto driftsutg landet'!$C$15*VLOOKUP(Inngang!$B$9,'2022 Inntektsnivå'!$A$5:$C$15,3)</f>
        <v>#N/A</v>
      </c>
      <c r="G38" s="93"/>
      <c r="H38" s="96" t="e">
        <f>+C38-F38</f>
        <v>#N/A</v>
      </c>
      <c r="I38">
        <v>-300</v>
      </c>
      <c r="J38">
        <v>300</v>
      </c>
    </row>
    <row r="39" spans="2:10" x14ac:dyDescent="0.25">
      <c r="B39" s="33" t="s">
        <v>25</v>
      </c>
      <c r="C39" s="22" t="e">
        <f>VLOOKUP(Inngang!$B$9,'2022 Nto driftsutg eks avskriv'!$A$5:$T$15,20)*1000/VLOOKUP(Inngang!$B$9,'2022 Nto driftsutg'!$A$5:$W$15,23)</f>
        <v>#N/A</v>
      </c>
      <c r="D39" s="97">
        <f>'2022 Nto driftsutg landet'!$C$16</f>
        <v>1310.4241625455463</v>
      </c>
      <c r="E39" s="98" t="e">
        <f t="shared" si="4"/>
        <v>#N/A</v>
      </c>
      <c r="F39" s="99" t="e">
        <f>+'2022 Nto driftsutg landet'!$C$16*VLOOKUP(Inngang!$B$9,'2022 Inntektsnivå'!$A$5:$C$15,3)</f>
        <v>#N/A</v>
      </c>
      <c r="G39" s="93"/>
      <c r="H39" s="96" t="e">
        <f>+C39-F39</f>
        <v>#N/A</v>
      </c>
      <c r="I39">
        <v>-300</v>
      </c>
      <c r="J39">
        <v>300</v>
      </c>
    </row>
    <row r="40" spans="2:10" x14ac:dyDescent="0.25">
      <c r="B40" s="28" t="s">
        <v>18</v>
      </c>
      <c r="C40" s="29" t="e">
        <f>SUM(C31:C39)</f>
        <v>#N/A</v>
      </c>
      <c r="D40" s="30" t="e">
        <f>SUM(D31:D39)</f>
        <v>#N/A</v>
      </c>
      <c r="E40" s="31" t="e">
        <f>SUM(E31:E39)</f>
        <v>#N/A</v>
      </c>
      <c r="F40" s="29" t="e">
        <f>SUM(F31:F39)</f>
        <v>#N/A</v>
      </c>
      <c r="G40" s="30"/>
      <c r="H40" s="34" t="e">
        <f>SUM(H31:H39)</f>
        <v>#N/A</v>
      </c>
    </row>
    <row r="41" spans="2:10" x14ac:dyDescent="0.25">
      <c r="C41" s="5"/>
      <c r="D41" s="5"/>
    </row>
    <row r="43" spans="2:10" x14ac:dyDescent="0.25">
      <c r="B43" s="7" t="s">
        <v>36</v>
      </c>
    </row>
    <row r="45" spans="2:10" ht="45" x14ac:dyDescent="0.25">
      <c r="B45" s="38"/>
      <c r="C45" s="20" t="s">
        <v>41</v>
      </c>
      <c r="D45" s="20" t="s">
        <v>45</v>
      </c>
      <c r="E45" s="19" t="s">
        <v>46</v>
      </c>
      <c r="F45" s="15" t="s">
        <v>47</v>
      </c>
      <c r="G45" s="20"/>
      <c r="H45" s="18" t="s">
        <v>48</v>
      </c>
      <c r="I45" s="117" t="s">
        <v>134</v>
      </c>
      <c r="J45" s="117"/>
    </row>
    <row r="46" spans="2:10" x14ac:dyDescent="0.25">
      <c r="B46" s="39"/>
      <c r="C46" s="35" t="s">
        <v>40</v>
      </c>
      <c r="D46" s="35" t="s">
        <v>42</v>
      </c>
      <c r="E46" s="36" t="s">
        <v>40</v>
      </c>
      <c r="F46" s="41" t="s">
        <v>40</v>
      </c>
      <c r="G46" s="35"/>
      <c r="H46" s="37" t="s">
        <v>40</v>
      </c>
    </row>
    <row r="47" spans="2:10" x14ac:dyDescent="0.25">
      <c r="B47" s="83" t="s">
        <v>137</v>
      </c>
      <c r="C47" s="84" t="e">
        <f>SUM(C48:C53)</f>
        <v>#N/A</v>
      </c>
      <c r="D47" s="84" t="e">
        <f>SUM(D48:D53)</f>
        <v>#N/A</v>
      </c>
      <c r="E47" s="88" t="e">
        <f>SUM(E48:E53)</f>
        <v>#N/A</v>
      </c>
      <c r="F47" s="89" t="e">
        <f>SUM(F48:F53)</f>
        <v>#N/A</v>
      </c>
      <c r="G47" s="84"/>
      <c r="H47" s="90" t="e">
        <f>SUM(H48:H53)</f>
        <v>#N/A</v>
      </c>
      <c r="I47">
        <v>-300</v>
      </c>
      <c r="J47">
        <v>300</v>
      </c>
    </row>
    <row r="48" spans="2:10" x14ac:dyDescent="0.25">
      <c r="B48" s="32" t="s">
        <v>4</v>
      </c>
      <c r="C48" s="5" t="e">
        <f>VLOOKUP(Inngang!$B$9,'2022 Nto driftsutg eks avskriv'!$A$5:$T$15,11)*1000/VLOOKUP(Inngang!$B$9,'2022 Nto driftsutg'!$A$5:$W$15,23)</f>
        <v>#N/A</v>
      </c>
      <c r="D48" s="5" t="e">
        <f>'2022 Nto driftsutg eks avskriv'!K$17*1000/'2022 Nto driftsutg'!$W$17+VLOOKUP(Inngang!$B$9,'2022 Korreksjoner'!$A$5:$AS$15,19)+VLOOKUP(Inngang!$B$9,'2022 Korreksjoner'!$A$5:$AS$15,35)</f>
        <v>#N/A</v>
      </c>
      <c r="E48" s="17" t="e">
        <f t="shared" ref="E48:E53" si="5">+C48-D48</f>
        <v>#N/A</v>
      </c>
      <c r="F48" s="14" t="e">
        <f>+'2022 Nto driftsutg landet'!$C$23*VLOOKUP(Inngang!$B$9,'2022 Inntektsnivå'!$A$5:$C$15,3)+VLOOKUP(Inngang!$B$9,'2022 Korreksjoner'!$A$5:$AS$15,19)+VLOOKUP(Inngang!$B$9,'2022 Korreksjoner'!$A$5:$AS$15,35)</f>
        <v>#N/A</v>
      </c>
      <c r="G48" s="5"/>
      <c r="H48" s="16" t="e">
        <f t="shared" ref="H48:H53" si="6">+C48-F48</f>
        <v>#N/A</v>
      </c>
      <c r="I48">
        <v>-300</v>
      </c>
      <c r="J48">
        <v>300</v>
      </c>
    </row>
    <row r="49" spans="2:10" x14ac:dyDescent="0.25">
      <c r="B49" s="32" t="s">
        <v>271</v>
      </c>
      <c r="C49" s="5" t="e">
        <f>VLOOKUP(Inngang!$B$9,'2022 Nto driftsutg eks avskriv'!$A$5:$T$15,12)*1000/VLOOKUP(Inngang!$B$9,'2022 Nto driftsutg'!$A$5:$W$15,23)</f>
        <v>#N/A</v>
      </c>
      <c r="D49" s="5" t="e">
        <f>'2022 Nto driftsutg eks avskriv'!L$17*1000/'2022 Nto driftsutg'!$W$17+VLOOKUP(Inngang!$B$9,'2022 Korreksjoner'!$A$5:$AS$15,20)+VLOOKUP(Inngang!$B$9,'2022 Korreksjoner'!$A$5:$AS$15,36)</f>
        <v>#N/A</v>
      </c>
      <c r="E49" s="17" t="e">
        <f t="shared" si="5"/>
        <v>#N/A</v>
      </c>
      <c r="F49" s="14" t="e">
        <f>+'2022 Nto driftsutg landet'!$C$24*VLOOKUP(Inngang!$B$9,'2022 Inntektsnivå'!$A$5:$C$15,3)+VLOOKUP(Inngang!$B$9,'2022 Korreksjoner'!$A$5:$AS$15,20)+VLOOKUP(Inngang!$B$9,'2022 Korreksjoner'!$A$5:$AS$15,36)</f>
        <v>#N/A</v>
      </c>
      <c r="G49" s="5"/>
      <c r="H49" s="16" t="e">
        <f t="shared" si="6"/>
        <v>#N/A</v>
      </c>
      <c r="I49">
        <v>-300</v>
      </c>
      <c r="J49">
        <v>300</v>
      </c>
    </row>
    <row r="50" spans="2:10" x14ac:dyDescent="0.25">
      <c r="B50" s="32" t="s">
        <v>37</v>
      </c>
      <c r="C50" s="5" t="e">
        <f>VLOOKUP(Inngang!$B$9,'2022 Nto driftsutg eks avskriv'!$A$5:$T$15,13)*1000/VLOOKUP(Inngang!$B$9,'2022 Nto driftsutg'!$A$5:$W$15,23)</f>
        <v>#N/A</v>
      </c>
      <c r="D50" s="5" t="e">
        <f>'2022 Nto driftsutg eks avskriv'!M$17*1000/'2022 Nto driftsutg'!$W$17+VLOOKUP(Inngang!$B$9,'2022 Korreksjoner'!$A$5:$AS$15,21)+VLOOKUP(Inngang!$B$9,'2022 Korreksjoner'!$A$5:$AS$15,37)</f>
        <v>#N/A</v>
      </c>
      <c r="E50" s="17" t="e">
        <f t="shared" si="5"/>
        <v>#N/A</v>
      </c>
      <c r="F50" s="14" t="e">
        <f>+'2022 Nto driftsutg landet'!$C$25*VLOOKUP(Inngang!$B$9,'2022 Inntektsnivå'!$A$5:$C$15,3)+VLOOKUP(Inngang!$B$9,'2022 Korreksjoner'!$A$5:$AS$15,21)+VLOOKUP(Inngang!$B$9,'2022 Korreksjoner'!$A$5:$AS$15,37)</f>
        <v>#N/A</v>
      </c>
      <c r="G50" s="5"/>
      <c r="H50" s="16" t="e">
        <f t="shared" si="6"/>
        <v>#N/A</v>
      </c>
      <c r="I50">
        <v>-300</v>
      </c>
      <c r="J50">
        <v>300</v>
      </c>
    </row>
    <row r="51" spans="2:10" x14ac:dyDescent="0.25">
      <c r="B51" s="32" t="s">
        <v>178</v>
      </c>
      <c r="C51" s="5" t="e">
        <f>VLOOKUP(Inngang!$B$9,'2022 Nto driftsutg eks avskriv'!$A$5:$T$15,14)*1000/VLOOKUP(Inngang!$B$9,'2022 Nto driftsutg'!$A$5:$W$15,23)</f>
        <v>#N/A</v>
      </c>
      <c r="D51" s="5" t="e">
        <f>'2022 Nto driftsutg eks avskriv'!N$17*1000/'2022 Nto driftsutg'!$W$17+VLOOKUP(Inngang!$B$9,'2022 Korreksjoner'!$A$5:$AS$15,22)+VLOOKUP(Inngang!$B$9,'2022 Korreksjoner'!$A$5:$AS$15,38)</f>
        <v>#N/A</v>
      </c>
      <c r="E51" s="17" t="e">
        <f t="shared" si="5"/>
        <v>#N/A</v>
      </c>
      <c r="F51" s="14" t="e">
        <f>+'2022 Nto driftsutg landet'!$C$26*VLOOKUP(Inngang!$B$9,'2022 Inntektsnivå'!$A$5:$C$15,3)+VLOOKUP(Inngang!$B$9,'2022 Korreksjoner'!$A$5:$AS$15,22)+VLOOKUP(Inngang!$B$9,'2022 Korreksjoner'!$A$5:$AS$15,38)</f>
        <v>#N/A</v>
      </c>
      <c r="G51" s="5"/>
      <c r="H51" s="16" t="e">
        <f t="shared" si="6"/>
        <v>#N/A</v>
      </c>
      <c r="I51">
        <v>-300</v>
      </c>
      <c r="J51">
        <v>300</v>
      </c>
    </row>
    <row r="52" spans="2:10" x14ac:dyDescent="0.25">
      <c r="B52" s="32" t="s">
        <v>138</v>
      </c>
      <c r="C52" s="5" t="e">
        <f>VLOOKUP(Inngang!$B$9,'2022 Nto driftsutg eks avskriv'!$A$5:$T$15,15)*1000/VLOOKUP(Inngang!$B$9,'2022 Nto driftsutg'!$A$5:$W$15,23)</f>
        <v>#N/A</v>
      </c>
      <c r="D52" s="5" t="e">
        <f>'2022 Nto driftsutg eks avskriv'!O17*1000/'2022 Nto driftsutg'!$W$17+VLOOKUP(Inngang!$B$9,'2022 Korreksjoner'!$A$5:$AS$15,23)+VLOOKUP(Inngang!$B$9,'2022 Korreksjoner'!$A$5:$AS$15,39)</f>
        <v>#N/A</v>
      </c>
      <c r="E52" s="17" t="e">
        <f t="shared" si="5"/>
        <v>#N/A</v>
      </c>
      <c r="F52" s="14" t="e">
        <f>'2022 Nto driftsutg landet'!$C$27*VLOOKUP(Inngang!$B$9,'2022 Inntektsnivå'!$A$5:$C$15,3)+VLOOKUP(Inngang!$B$9,'2022 Korreksjoner'!$A$5:$AS$15,23)+VLOOKUP(Inngang!$B$9,'2022 Korreksjoner'!$A$5:$AS$15,39)</f>
        <v>#N/A</v>
      </c>
      <c r="G52" s="5"/>
      <c r="H52" s="16" t="e">
        <f t="shared" si="6"/>
        <v>#N/A</v>
      </c>
      <c r="I52">
        <v>-300</v>
      </c>
      <c r="J52">
        <v>300</v>
      </c>
    </row>
    <row r="53" spans="2:10" x14ac:dyDescent="0.25">
      <c r="B53" s="61" t="s">
        <v>129</v>
      </c>
      <c r="C53" s="22" t="e">
        <f>VLOOKUP(Inngang!$B$9,'2022 Nto driftsutg eks avskriv'!$A$5:$T$15,16)*1000/VLOOKUP(Inngang!$B$9,'2022 Nto driftsutg'!$A$5:$W$15,23)</f>
        <v>#N/A</v>
      </c>
      <c r="D53" s="22" t="e">
        <f>'2022 Nto driftsutg eks avskriv'!P17*1000/'2022 Nto driftsutg'!$W$17+VLOOKUP(Inngang!$B$9,'2022 Korreksjoner'!$A$5:$AS$15,24)+VLOOKUP(Inngang!$B$9,'2022 Korreksjoner'!$A$5:$AS$15,40)</f>
        <v>#N/A</v>
      </c>
      <c r="E53" s="40" t="e">
        <f t="shared" si="5"/>
        <v>#N/A</v>
      </c>
      <c r="F53" s="26" t="e">
        <f>'2022 Nto driftsutg landet'!$C$28*VLOOKUP(Inngang!$B$9,'2022 Inntektsnivå'!$A$5:$C$15,3)+VLOOKUP(Inngang!$B$9,'2022 Korreksjoner'!$A$5:$AS$15,24)+VLOOKUP(Inngang!$B$9,'2022 Korreksjoner'!$A$5:$AS$15,40)</f>
        <v>#N/A</v>
      </c>
      <c r="G53" s="22"/>
      <c r="H53" s="27" t="e">
        <f t="shared" si="6"/>
        <v>#N/A</v>
      </c>
      <c r="I53">
        <v>-300</v>
      </c>
      <c r="J53">
        <v>300</v>
      </c>
    </row>
    <row r="54" spans="2:10" x14ac:dyDescent="0.25">
      <c r="B54" s="28" t="s">
        <v>137</v>
      </c>
      <c r="C54" s="30" t="e">
        <f>SUM(C48:C53)</f>
        <v>#N/A</v>
      </c>
      <c r="D54" s="30" t="e">
        <f>SUM(D48:D53)</f>
        <v>#N/A</v>
      </c>
      <c r="E54" s="31" t="e">
        <f>SUM(E48:E53)</f>
        <v>#N/A</v>
      </c>
      <c r="F54" s="29" t="e">
        <f>SUM(F48:F53)</f>
        <v>#N/A</v>
      </c>
      <c r="G54" s="30"/>
      <c r="H54" s="34" t="e">
        <f>SUM(H48:H53)</f>
        <v>#N/A</v>
      </c>
    </row>
    <row r="58" spans="2:10" x14ac:dyDescent="0.25">
      <c r="B58" s="38" t="s">
        <v>128</v>
      </c>
      <c r="C58" s="20" t="s">
        <v>274</v>
      </c>
      <c r="D58" s="67" t="s">
        <v>3</v>
      </c>
    </row>
    <row r="59" spans="2:10" x14ac:dyDescent="0.25">
      <c r="B59" s="62" t="s">
        <v>174</v>
      </c>
      <c r="C59" s="70" t="e">
        <f>VLOOKUP(Inngang!$B$9,'2022 Revekting utgiftsbehov'!$A$5:$I$15,4)</f>
        <v>#N/A</v>
      </c>
      <c r="D59" s="68">
        <v>1</v>
      </c>
    </row>
    <row r="60" spans="2:10" x14ac:dyDescent="0.25">
      <c r="B60" s="62" t="s">
        <v>175</v>
      </c>
      <c r="C60" s="70" t="e">
        <f>VLOOKUP(Inngang!$B$9,'2022 Revekting utgiftsbehov'!$A$5:$I$15,5)</f>
        <v>#N/A</v>
      </c>
      <c r="D60" s="68">
        <v>1</v>
      </c>
    </row>
    <row r="61" spans="2:10" x14ac:dyDescent="0.25">
      <c r="B61" s="62" t="s">
        <v>278</v>
      </c>
      <c r="C61" s="70" t="e">
        <f>VLOOKUP(Inngang!$B$9,'2022 Revekting utgiftsbehov'!$A$5:$I$15,6)</f>
        <v>#N/A</v>
      </c>
      <c r="D61" s="68">
        <v>1</v>
      </c>
    </row>
    <row r="62" spans="2:10" x14ac:dyDescent="0.25">
      <c r="B62" s="62" t="s">
        <v>279</v>
      </c>
      <c r="C62" s="70" t="e">
        <f>VLOOKUP(Inngang!$B$9,'2022 Revekting utgiftsbehov'!$A$5:$I$15,7)</f>
        <v>#N/A</v>
      </c>
      <c r="D62" s="68">
        <v>1</v>
      </c>
    </row>
    <row r="63" spans="2:10" x14ac:dyDescent="0.25">
      <c r="B63" s="63" t="s">
        <v>176</v>
      </c>
      <c r="C63" s="71" t="e">
        <f>VLOOKUP(Inngang!$B$9,'2022 Revekting utgiftsbehov'!$A$5:$I$15,8)</f>
        <v>#N/A</v>
      </c>
      <c r="D63" s="69">
        <v>1</v>
      </c>
    </row>
    <row r="64" spans="2:10" x14ac:dyDescent="0.25">
      <c r="B64" s="80" t="s">
        <v>133</v>
      </c>
      <c r="C64" s="81" t="e">
        <f>+VLOOKUP(Inngang!$B$9,'2022 Revekting utgiftsbehov'!$A$5:$I$15,9)</f>
        <v>#N/A</v>
      </c>
      <c r="D64" s="82">
        <v>1</v>
      </c>
    </row>
    <row r="68" spans="2:4" ht="30" x14ac:dyDescent="0.25">
      <c r="B68" s="73" t="s">
        <v>130</v>
      </c>
      <c r="C68" s="76" t="s">
        <v>275</v>
      </c>
      <c r="D68" s="76" t="s">
        <v>276</v>
      </c>
    </row>
    <row r="69" spans="2:4" x14ac:dyDescent="0.25">
      <c r="B69" s="32" t="s">
        <v>139</v>
      </c>
      <c r="C69" s="74" t="e">
        <f>SUM(C70:C78)</f>
        <v>#N/A</v>
      </c>
    </row>
    <row r="70" spans="2:4" x14ac:dyDescent="0.25">
      <c r="B70" s="32" t="s">
        <v>174</v>
      </c>
      <c r="C70" s="74" t="e">
        <f>+C31-'2022 Nto driftsutg landet'!$C5</f>
        <v>#N/A</v>
      </c>
    </row>
    <row r="71" spans="2:4" x14ac:dyDescent="0.25">
      <c r="B71" s="32" t="s">
        <v>175</v>
      </c>
      <c r="C71" s="74" t="e">
        <f>+C32-'2022 Nto driftsutg landet'!$C6</f>
        <v>#N/A</v>
      </c>
    </row>
    <row r="72" spans="2:4" x14ac:dyDescent="0.25">
      <c r="B72" s="32" t="s">
        <v>278</v>
      </c>
      <c r="C72" s="74" t="e">
        <f>+C33-'2022 Nto driftsutg landet'!$C7</f>
        <v>#N/A</v>
      </c>
    </row>
    <row r="73" spans="2:4" x14ac:dyDescent="0.25">
      <c r="B73" s="32" t="s">
        <v>279</v>
      </c>
      <c r="C73" s="74" t="e">
        <f>+C34-'2022 Nto driftsutg landet'!$C8</f>
        <v>#N/A</v>
      </c>
    </row>
    <row r="74" spans="2:4" x14ac:dyDescent="0.25">
      <c r="B74" s="32" t="s">
        <v>176</v>
      </c>
      <c r="C74" s="74" t="e">
        <f>+C35-'2022 Nto driftsutg landet'!$C9</f>
        <v>#N/A</v>
      </c>
    </row>
    <row r="75" spans="2:4" x14ac:dyDescent="0.25">
      <c r="B75" s="32" t="s">
        <v>127</v>
      </c>
      <c r="C75" s="74" t="e">
        <f>+C36-'2022 Nto driftsutg landet'!$C13</f>
        <v>#N/A</v>
      </c>
    </row>
    <row r="76" spans="2:4" x14ac:dyDescent="0.25">
      <c r="B76" s="32" t="s">
        <v>27</v>
      </c>
      <c r="C76" s="74" t="e">
        <f>+C37-'2022 Nto driftsutg landet'!$C14</f>
        <v>#N/A</v>
      </c>
    </row>
    <row r="77" spans="2:4" x14ac:dyDescent="0.25">
      <c r="B77" s="32" t="s">
        <v>24</v>
      </c>
      <c r="C77" s="74" t="e">
        <f>+C38-'2022 Nto driftsutg landet'!$C15</f>
        <v>#N/A</v>
      </c>
    </row>
    <row r="78" spans="2:4" x14ac:dyDescent="0.25">
      <c r="B78" s="33" t="s">
        <v>25</v>
      </c>
      <c r="C78" s="75" t="e">
        <f>+C39-'2022 Nto driftsutg landet'!$C16</f>
        <v>#N/A</v>
      </c>
    </row>
  </sheetData>
  <sheetProtection algorithmName="SHA-512" hashValue="kpg3jBG75uYz4lejZNnoOFrlNzFMTWezR/8a1YGb6gTYMfNUHrnC8WzOSjjEDAd28HqTSpH+cqnlDhZ/ooUsag==" saltValue="yU9lXXqLfW1PWAr6A6L9aQ==" spinCount="100000" sheet="1" objects="1" scenarios="1" selectLockedCells="1" selectUnlockedCells="1"/>
  <mergeCells count="2">
    <mergeCell ref="I28:J28"/>
    <mergeCell ref="I45:J4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14"/>
  <dimension ref="B1:I80"/>
  <sheetViews>
    <sheetView showGridLines="0" workbookViewId="0"/>
  </sheetViews>
  <sheetFormatPr baseColWidth="10" defaultRowHeight="15" x14ac:dyDescent="0.25"/>
  <cols>
    <col min="2" max="2" width="39.5703125" customWidth="1"/>
    <col min="3" max="3" width="17.42578125" customWidth="1"/>
    <col min="4" max="4" width="24" customWidth="1"/>
    <col min="5" max="5" width="24.5703125" customWidth="1"/>
    <col min="6" max="6" width="22.85546875" customWidth="1"/>
    <col min="7" max="7" width="8.85546875" customWidth="1"/>
    <col min="8" max="8" width="30.5703125" customWidth="1"/>
    <col min="9" max="9" width="16.5703125" bestFit="1" customWidth="1"/>
  </cols>
  <sheetData>
    <row r="1" spans="2:8" ht="33" customHeight="1" x14ac:dyDescent="0.4">
      <c r="B1" s="79" t="str">
        <f>+Inngang!C11</f>
        <v/>
      </c>
      <c r="C1" s="106"/>
    </row>
    <row r="3" spans="2:8" x14ac:dyDescent="0.25">
      <c r="B3" s="7" t="s">
        <v>52</v>
      </c>
    </row>
    <row r="4" spans="2:8" x14ac:dyDescent="0.25">
      <c r="B4" s="7"/>
    </row>
    <row r="5" spans="2:8" ht="45" x14ac:dyDescent="0.25">
      <c r="B5" s="38"/>
      <c r="C5" s="18" t="s">
        <v>315</v>
      </c>
      <c r="D5" s="18" t="s">
        <v>131</v>
      </c>
    </row>
    <row r="6" spans="2:8" x14ac:dyDescent="0.25">
      <c r="B6" s="39"/>
      <c r="C6" s="37" t="s">
        <v>40</v>
      </c>
      <c r="D6" s="37" t="s">
        <v>40</v>
      </c>
    </row>
    <row r="7" spans="2:8" x14ac:dyDescent="0.25">
      <c r="B7" s="62" t="s">
        <v>139</v>
      </c>
      <c r="C7" s="64" t="e">
        <f>VLOOKUP(Inngang!$B$11,'2022 Inntektsnivå'!A5:D15,4)</f>
        <v>#N/A</v>
      </c>
      <c r="D7" s="101"/>
    </row>
    <row r="8" spans="2:8" x14ac:dyDescent="0.25">
      <c r="B8" s="62" t="s">
        <v>273</v>
      </c>
      <c r="C8" s="65" t="e">
        <f>+E31+E32+E33+E34+E35</f>
        <v>#N/A</v>
      </c>
      <c r="D8" s="74" t="e">
        <f>H31+H32+H33+H34+H35</f>
        <v>#N/A</v>
      </c>
    </row>
    <row r="9" spans="2:8" x14ac:dyDescent="0.25">
      <c r="B9" s="62" t="s">
        <v>272</v>
      </c>
      <c r="C9" s="65" t="e">
        <f>+E36</f>
        <v>#N/A</v>
      </c>
      <c r="D9" s="74" t="e">
        <f t="shared" ref="D9:D12" si="0">+H36</f>
        <v>#N/A</v>
      </c>
    </row>
    <row r="10" spans="2:8" x14ac:dyDescent="0.25">
      <c r="B10" s="62" t="s">
        <v>27</v>
      </c>
      <c r="C10" s="65" t="e">
        <f>+E37</f>
        <v>#N/A</v>
      </c>
      <c r="D10" s="74" t="e">
        <f t="shared" si="0"/>
        <v>#N/A</v>
      </c>
    </row>
    <row r="11" spans="2:8" x14ac:dyDescent="0.25">
      <c r="B11" s="62" t="s">
        <v>24</v>
      </c>
      <c r="C11" s="65" t="e">
        <f t="shared" ref="C11:C12" si="1">+E38</f>
        <v>#N/A</v>
      </c>
      <c r="D11" s="74" t="e">
        <f t="shared" si="0"/>
        <v>#N/A</v>
      </c>
    </row>
    <row r="12" spans="2:8" x14ac:dyDescent="0.25">
      <c r="B12" s="63" t="s">
        <v>25</v>
      </c>
      <c r="C12" s="66" t="e">
        <f t="shared" si="1"/>
        <v>#N/A</v>
      </c>
      <c r="D12" s="75" t="e">
        <f t="shared" si="0"/>
        <v>#N/A</v>
      </c>
    </row>
    <row r="13" spans="2:8" x14ac:dyDescent="0.25">
      <c r="B13" s="7"/>
      <c r="C13" s="5"/>
      <c r="D13" s="5"/>
    </row>
    <row r="14" spans="2:8" x14ac:dyDescent="0.25">
      <c r="B14" s="7"/>
    </row>
    <row r="16" spans="2:8" ht="45" x14ac:dyDescent="0.25">
      <c r="B16" s="77"/>
      <c r="C16" s="15" t="s">
        <v>50</v>
      </c>
      <c r="D16" s="20" t="s">
        <v>51</v>
      </c>
      <c r="E16" s="18" t="s">
        <v>57</v>
      </c>
      <c r="F16" s="20" t="s">
        <v>56</v>
      </c>
      <c r="G16" s="20"/>
      <c r="H16" s="18" t="s">
        <v>58</v>
      </c>
    </row>
    <row r="17" spans="2:9" x14ac:dyDescent="0.25">
      <c r="B17" s="78"/>
      <c r="C17" s="41" t="s">
        <v>53</v>
      </c>
      <c r="D17" s="35" t="s">
        <v>54</v>
      </c>
      <c r="E17" s="37" t="s">
        <v>55</v>
      </c>
      <c r="F17" s="35" t="s">
        <v>53</v>
      </c>
      <c r="G17" s="35"/>
      <c r="H17" s="37" t="s">
        <v>55</v>
      </c>
    </row>
    <row r="18" spans="2:9" x14ac:dyDescent="0.25">
      <c r="B18" s="62" t="s">
        <v>174</v>
      </c>
      <c r="C18" s="14" t="e">
        <f>VLOOKUP(Inngang!$B$11,'2022 Nto driftsutg eks avskriv'!$A$5:$T$15,4)*1000/VLOOKUP(Inngang!$B$11,'2022 Nto driftsutg'!$A$5:$W$15,23)*100/'2022 Nto driftsutg landet'!C5-100</f>
        <v>#N/A</v>
      </c>
      <c r="D18" s="5" t="e">
        <f>('2022 Nto driftsutg landet'!$C$5+VLOOKUP(Inngang!$B$11,'2022 Korreksjoner'!$A$5:$AS$15,3)+VLOOKUP(Inngang!$B$11,'2022 Korreksjoner'!$A$5:$AS$15,5)+VLOOKUP(Inngang!$B$11,'2022 Korreksjoner'!$A$5:$AS$15,12)+VLOOKUP(Inngang!$B$11,'2022 Korreksjoner'!$A$5:$AS$15,28))*100/'2022 Nto driftsutg landet'!C5-100</f>
        <v>#N/A</v>
      </c>
      <c r="E18" s="16" t="e">
        <f>+C18-D18</f>
        <v>#N/A</v>
      </c>
      <c r="F18" s="5" t="e">
        <f>('2022 Nto driftsutg landet'!$C$5*VLOOKUP(Inngang!$B$11,'2022 Inntektsnivå'!$A$5:$C$15,3)+VLOOKUP(Inngang!$B$11,'2022 Korreksjoner'!$A$5:$AS$15,5)+VLOOKUP(Inngang!$B$11,'2022 Korreksjoner'!$A$5:$AS$15,3)+VLOOKUP(Inngang!$B$11,'2022 Korreksjoner'!$A$5:$AS$15,12)+VLOOKUP(Inngang!$B$11,'2022 Korreksjoner'!$A$5:$AS$15,28))*100/'2022 Nto driftsutg landet'!C5-100</f>
        <v>#N/A</v>
      </c>
      <c r="G18" s="5"/>
      <c r="H18" s="16" t="e">
        <f>+C18-F18</f>
        <v>#N/A</v>
      </c>
    </row>
    <row r="19" spans="2:9" x14ac:dyDescent="0.25">
      <c r="B19" s="62" t="s">
        <v>175</v>
      </c>
      <c r="C19" s="14" t="e">
        <f>VLOOKUP(Inngang!$B$11,'2022 Nto driftsutg eks avskriv'!$A$5:$T$15,5)*1000/VLOOKUP(Inngang!$B$11,'2022 Nto driftsutg'!$A$5:$W$15,23)*100/'2022 Nto driftsutg landet'!C6-100</f>
        <v>#N/A</v>
      </c>
      <c r="D19" s="5" t="e">
        <f>('2022 Nto driftsutg landet'!$C$6+VLOOKUP(Inngang!$B$11,'2022 Korreksjoner'!$A$5:$AS$15,6)+VLOOKUP(Inngang!$B$11,'2022 Korreksjoner'!$A$5:$AS$15,13)+VLOOKUP(Inngang!$B$11,'2022 Korreksjoner'!$A$5:$AS$15,29))*100/'2022 Nto driftsutg landet'!C6-100</f>
        <v>#N/A</v>
      </c>
      <c r="E19" s="16" t="e">
        <f>+C19-D19</f>
        <v>#N/A</v>
      </c>
      <c r="F19" s="5" t="e">
        <f>('2022 Nto driftsutg landet'!$C$6*VLOOKUP(Inngang!$B$11,'2022 Inntektsnivå'!$A$5:$C$15,3)+VLOOKUP(Inngang!$B$11,'2022 Korreksjoner'!$A$5:$AS$15,6)+VLOOKUP(Inngang!$B$11,'2022 Korreksjoner'!$A$5:$AS$15,13)+VLOOKUP(Inngang!$B$11,'2022 Korreksjoner'!$A$5:$AS$15,29))*100/'2022 Nto driftsutg landet'!C6-100</f>
        <v>#N/A</v>
      </c>
      <c r="G19" s="5"/>
      <c r="H19" s="16" t="e">
        <f>+C19-F19</f>
        <v>#N/A</v>
      </c>
    </row>
    <row r="20" spans="2:9" x14ac:dyDescent="0.25">
      <c r="B20" s="32" t="s">
        <v>278</v>
      </c>
      <c r="C20" s="14" t="e">
        <f>VLOOKUP(Inngang!$B$11,'2022 Nto driftsutg eks avskriv'!$A$5:$T$15,6)*1000/VLOOKUP(Inngang!$B$11,'2022 Nto driftsutg'!$A$5:$W$15,23)*100/'2022 Nto driftsutg landet'!C7-100</f>
        <v>#N/A</v>
      </c>
      <c r="D20" s="5" t="e">
        <f>('2022 Nto driftsutg landet'!$C$7+VLOOKUP(Inngang!$B$11,'2022 Korreksjoner'!$A$5:$AS$15,7)+VLOOKUP(Inngang!$B$11,'2022 Korreksjoner'!$A$5:$AS$15,14)+VLOOKUP(Inngang!$B$11,'2022 Korreksjoner'!$A$5:$AS$15,30))*100/'2022 Nto driftsutg landet'!C7-100</f>
        <v>#N/A</v>
      </c>
      <c r="E20" s="16" t="e">
        <f>+C20-D20</f>
        <v>#N/A</v>
      </c>
      <c r="F20" s="5" t="e">
        <f>('2022 Nto driftsutg landet'!$C$7*VLOOKUP(Inngang!$B$11,'2022 Inntektsnivå'!$A$5:$C$15,3)+VLOOKUP(Inngang!$B$11,'2022 Korreksjoner'!$A$5:$AS$15,7)+VLOOKUP(Inngang!$B$11,'2022 Korreksjoner'!$A$5:$AS$15,14)+VLOOKUP(Inngang!$B$11,'2022 Korreksjoner'!$A$5:$AS$15,30))*100/'2022 Nto driftsutg landet'!C7-100</f>
        <v>#N/A</v>
      </c>
      <c r="G20" s="5"/>
      <c r="H20" s="16" t="e">
        <f>+C20-F20</f>
        <v>#N/A</v>
      </c>
    </row>
    <row r="21" spans="2:9" x14ac:dyDescent="0.25">
      <c r="B21" s="32" t="s">
        <v>279</v>
      </c>
      <c r="C21" s="14" t="e">
        <f>VLOOKUP(Inngang!$B$11,'2022 Nto driftsutg eks avskriv'!$A$5:$T$15,7)*1000/VLOOKUP(Inngang!$B$11,'2022 Nto driftsutg'!$A$5:$W$15,23)*100/'2022 Nto driftsutg landet'!C9-100</f>
        <v>#N/A</v>
      </c>
      <c r="D21" s="5" t="e">
        <f>('2022 Nto driftsutg landet'!$C$8+VLOOKUP(Inngang!$B$11,'2022 Korreksjoner'!$A$5:$AS$15,8)+VLOOKUP(Inngang!$B$11,'2022 Korreksjoner'!$A$5:$AS$15,15)+VLOOKUP(Inngang!$B$11,'2022 Korreksjoner'!$A$5:$AS$15,31))*100/'2022 Nto driftsutg landet'!C8-100</f>
        <v>#N/A</v>
      </c>
      <c r="E21" s="16" t="e">
        <f>+C21-D21</f>
        <v>#N/A</v>
      </c>
      <c r="F21" s="5" t="e">
        <f>('2022 Nto driftsutg landet'!$C$8*VLOOKUP(Inngang!$B$11,'2022 Inntektsnivå'!$A$5:$C$15,3)+VLOOKUP(Inngang!$B$11,'2022 Korreksjoner'!$A$5:$AS$15,8)+VLOOKUP(Inngang!$B$11,'2022 Korreksjoner'!$A$5:$AS$15,15)+VLOOKUP(Inngang!$B$11,'2022 Korreksjoner'!$A$5:$AS$15,31))*100/'2022 Nto driftsutg landet'!C8-100</f>
        <v>#N/A</v>
      </c>
      <c r="G21" s="5"/>
      <c r="H21" s="16" t="e">
        <f>+C21-F21</f>
        <v>#N/A</v>
      </c>
    </row>
    <row r="22" spans="2:9" x14ac:dyDescent="0.25">
      <c r="B22" s="63" t="s">
        <v>176</v>
      </c>
      <c r="C22" s="26" t="e">
        <f>VLOOKUP(Inngang!$B$11,'2022 Nto driftsutg eks avskriv'!$A$5:$T$15,8)*1000/VLOOKUP(Inngang!$B$11,'2022 Nto driftsutg'!$A$5:$W$15,23)*100/'2022 Nto driftsutg landet'!C9-100</f>
        <v>#N/A</v>
      </c>
      <c r="D22" s="22" t="e">
        <f>('2022 Nto driftsutg landet'!$C$9+VLOOKUP(Inngang!$B$11,'2022 Korreksjoner'!$A$5:$AS$15,9)+VLOOKUP(Inngang!$B$11,'2022 Korreksjoner'!$A$5:$AS$15,16)+VLOOKUP(Inngang!$B$11,'2022 Korreksjoner'!$A$5:$AS$15,32))*100/'2022 Nto driftsutg landet'!C9-100</f>
        <v>#N/A</v>
      </c>
      <c r="E22" s="27" t="e">
        <f t="shared" ref="E22" si="2">+C22-D22</f>
        <v>#N/A</v>
      </c>
      <c r="F22" s="22" t="e">
        <f>('2022 Nto driftsutg landet'!$C$9*VLOOKUP(Inngang!$B$11,'2022 Inntektsnivå'!$A$5:$C$15,3)+VLOOKUP(Inngang!$B$11,'2022 Korreksjoner'!$A$5:$AS$15,9)+VLOOKUP(Inngang!$B$11,'2022 Korreksjoner'!$A$5:$AS$15,16)+VLOOKUP(Inngang!$B$11,'2022 Korreksjoner'!$A$5:$AS$15,32))*100/'2022 Nto driftsutg landet'!C9-100</f>
        <v>#N/A</v>
      </c>
      <c r="G22" s="22"/>
      <c r="H22" s="27" t="e">
        <f t="shared" ref="H22" si="3">+C22-F22</f>
        <v>#N/A</v>
      </c>
    </row>
    <row r="26" spans="2:9" x14ac:dyDescent="0.25">
      <c r="B26" s="7" t="s">
        <v>35</v>
      </c>
    </row>
    <row r="28" spans="2:9" ht="60" x14ac:dyDescent="0.25">
      <c r="B28" s="38"/>
      <c r="C28" s="20" t="s">
        <v>135</v>
      </c>
      <c r="D28" s="20" t="s">
        <v>270</v>
      </c>
      <c r="E28" s="19" t="s">
        <v>49</v>
      </c>
      <c r="F28" s="15" t="s">
        <v>43</v>
      </c>
      <c r="G28" s="20"/>
      <c r="H28" s="18" t="s">
        <v>44</v>
      </c>
    </row>
    <row r="29" spans="2:9" x14ac:dyDescent="0.25">
      <c r="B29" s="39"/>
      <c r="C29" s="35" t="s">
        <v>40</v>
      </c>
      <c r="D29" s="35" t="s">
        <v>42</v>
      </c>
      <c r="E29" s="36" t="s">
        <v>40</v>
      </c>
      <c r="F29" s="41" t="s">
        <v>40</v>
      </c>
      <c r="G29" s="35"/>
      <c r="H29" s="37" t="s">
        <v>40</v>
      </c>
    </row>
    <row r="30" spans="2:9" x14ac:dyDescent="0.25">
      <c r="B30" s="83" t="s">
        <v>140</v>
      </c>
      <c r="C30" s="84" t="e">
        <f>SUM(C31:C35)</f>
        <v>#N/A</v>
      </c>
      <c r="D30" s="84" t="e">
        <f>SUM(D31:D35)</f>
        <v>#N/A</v>
      </c>
      <c r="E30" s="85" t="e">
        <f>SUM(E31:E35)</f>
        <v>#N/A</v>
      </c>
      <c r="F30" s="87" t="e">
        <f>SUM(F31:F35)</f>
        <v>#N/A</v>
      </c>
      <c r="G30" s="84"/>
      <c r="H30" s="86" t="e">
        <f>SUM(H31:H35)</f>
        <v>#N/A</v>
      </c>
    </row>
    <row r="31" spans="2:9" x14ac:dyDescent="0.25">
      <c r="B31" s="32" t="s">
        <v>174</v>
      </c>
      <c r="C31" s="5" t="e">
        <f>VLOOKUP(Inngang!$B$11,'2022 Nto driftsutg eks avskriv'!$A$5:$T$15,4)*1000/VLOOKUP(Inngang!$B$11,'2022 Nto driftsutg'!$A$5:$W$15,23)</f>
        <v>#N/A</v>
      </c>
      <c r="D31" s="5" t="e">
        <f>+'2022 Nto driftsutg landet'!$C$5+VLOOKUP(Inngang!$B$11,'2022 Korreksjoner'!$A$5:$AS$15,5)+VLOOKUP(Inngang!$B$11,'2022 Korreksjoner'!$A$5:$I$15,3)+VLOOKUP(Inngang!$B$11,'2022 Korreksjoner'!$A$5:$AS$15,12)+VLOOKUP(Inngang!$B$11,'2022 Korreksjoner'!$A$5:$AS$15,28)</f>
        <v>#N/A</v>
      </c>
      <c r="E31" s="17" t="e">
        <f>+C31-D31</f>
        <v>#N/A</v>
      </c>
      <c r="F31" s="14" t="e">
        <f>+'2022 Nto driftsutg landet'!$C$5*VLOOKUP(Inngang!$B$11,'2022 Inntektsnivå'!$A$5:$C$15,3)+VLOOKUP(Inngang!$B$11,'2022 Korreksjoner'!$A$5:$AS$15,5)+VLOOKUP(Inngang!$B$11,'2022 Korreksjoner'!$A$5:$AS$15,3)+VLOOKUP(Inngang!$B$11,'2022 Korreksjoner'!$A$5:$AS$15,12)+VLOOKUP(Inngang!$B$11,'2022 Korreksjoner'!$A$5:$AS$15,28)</f>
        <v>#N/A</v>
      </c>
      <c r="G31" s="5"/>
      <c r="H31" s="16" t="e">
        <f>IF(F34=G34,C31-F31,(C31-F31)-(G34-F34)*C31/C30)</f>
        <v>#N/A</v>
      </c>
      <c r="I31" s="105"/>
    </row>
    <row r="32" spans="2:9" x14ac:dyDescent="0.25">
      <c r="B32" s="32" t="s">
        <v>175</v>
      </c>
      <c r="C32" s="5" t="e">
        <f>VLOOKUP(Inngang!$B$11,'2022 Nto driftsutg eks avskriv'!$A$5:$T$15,5)*1000/VLOOKUP(Inngang!$B$11,'2022 Nto driftsutg'!$A$5:$W$15,23)</f>
        <v>#N/A</v>
      </c>
      <c r="D32" s="5" t="e">
        <f>+'2022 Nto driftsutg landet'!$C$6+VLOOKUP(Inngang!$B$11,'2022 Korreksjoner'!$A$5:$AS$15,6)+VLOOKUP(Inngang!$B$11,'2022 Korreksjoner'!$A$5:$AS$15,13)+VLOOKUP(Inngang!$B$11,'2022 Korreksjoner'!$A$5:$AS$15,29)</f>
        <v>#N/A</v>
      </c>
      <c r="E32" s="17" t="e">
        <f>+C32-D32</f>
        <v>#N/A</v>
      </c>
      <c r="F32" s="14" t="e">
        <f>+'2022 Nto driftsutg landet'!$C$6*VLOOKUP(Inngang!$B$11,'2022 Inntektsnivå'!$A$5:$C$15,3)+VLOOKUP(Inngang!$B$11,'2022 Korreksjoner'!$A$5:$AS$15,6)+VLOOKUP(Inngang!$B$11,'2022 Korreksjoner'!$A$5:$AS$15,13)+VLOOKUP(Inngang!$B$11,'2022 Korreksjoner'!$A$5:$AS$15,29)</f>
        <v>#N/A</v>
      </c>
      <c r="G32" s="5"/>
      <c r="H32" s="16" t="e">
        <f>IF(F34=G34,C32-F32,(C32-F32)-(G34-F34)*C32/C30)</f>
        <v>#N/A</v>
      </c>
      <c r="I32" s="105"/>
    </row>
    <row r="33" spans="2:9" x14ac:dyDescent="0.25">
      <c r="B33" s="32" t="s">
        <v>278</v>
      </c>
      <c r="C33" s="5" t="e">
        <f>VLOOKUP(Inngang!$B$11,'2022 Nto driftsutg eks avskriv'!$A$5:$T$15,6)*1000/VLOOKUP(Inngang!$B$11,'2022 Nto driftsutg'!$A$5:$W$15,23)</f>
        <v>#N/A</v>
      </c>
      <c r="D33" s="5" t="e">
        <f>+'2022 Nto driftsutg landet'!$C$7+VLOOKUP(Inngang!$B$11,'2022 Korreksjoner'!$A$5:$AS$15,7)+VLOOKUP(Inngang!$B$11,'2022 Korreksjoner'!$A$5:$AS$15,14)+VLOOKUP(Inngang!$B$11,'2022 Korreksjoner'!$A$5:$AS$15,30)</f>
        <v>#N/A</v>
      </c>
      <c r="E33" s="17" t="e">
        <f>+C33-D33</f>
        <v>#N/A</v>
      </c>
      <c r="F33" s="14" t="e">
        <f>+'2022 Nto driftsutg landet'!$C$7*VLOOKUP(Inngang!$B$11,'2022 Inntektsnivå'!$A$5:$C$15,3)+VLOOKUP(Inngang!$B$11,'2022 Korreksjoner'!$A$5:$AS$15,7)+VLOOKUP(Inngang!$B$11,'2022 Korreksjoner'!$A$5:$AS$15,14)+VLOOKUP(Inngang!$B$11,'2022 Korreksjoner'!$A$5:$AS$15,30)</f>
        <v>#N/A</v>
      </c>
      <c r="G33" s="5"/>
      <c r="H33" s="16" t="e">
        <f>IF(F34=G34,C33-F33,(C33-F33)-(G34-F34)*(C33+C34)/C30)</f>
        <v>#N/A</v>
      </c>
      <c r="I33" s="105"/>
    </row>
    <row r="34" spans="2:9" x14ac:dyDescent="0.25">
      <c r="B34" s="32" t="s">
        <v>279</v>
      </c>
      <c r="C34" s="5" t="e">
        <f>VLOOKUP(Inngang!$B$11,'2022 Nto driftsutg eks avskriv'!$A$5:$T$15,7)*1000/VLOOKUP(Inngang!$B$11,'2022 Nto driftsutg'!$A$5:$W$15,23)</f>
        <v>#N/A</v>
      </c>
      <c r="D34" s="5" t="e">
        <f>+'2022 Nto driftsutg landet'!$C$8+VLOOKUP(Inngang!$B$11,'2022 Korreksjoner'!$A$5:$AS$15,8)+VLOOKUP(Inngang!$B$11,'2022 Korreksjoner'!$A$5:$AS$15,15)+VLOOKUP(Inngang!$B$11,'2022 Korreksjoner'!$A$5:$AS$15,31)</f>
        <v>#N/A</v>
      </c>
      <c r="E34" s="17" t="e">
        <f>+C34-D34</f>
        <v>#N/A</v>
      </c>
      <c r="F34" s="14" t="e">
        <f>IF(AND(C34&gt;=0.5,D34&gt;0),IF(G34&lt;10,C34,G34),0)</f>
        <v>#N/A</v>
      </c>
      <c r="G34" s="5" t="e">
        <f>+'2022 Nto driftsutg landet'!$C$8*VLOOKUP(Inngang!$B$11,'2022 Inntektsnivå'!$A$5:$C$15,3)+VLOOKUP(Inngang!$B$11,'2022 Korreksjoner'!$A$5:$AS$15,8)+VLOOKUP(Inngang!$B$11,'2022 Korreksjoner'!$A$5:$AS$15,15)+VLOOKUP(Inngang!$B$11,'2022 Korreksjoner'!$A$5:$AS$15,31)</f>
        <v>#N/A</v>
      </c>
      <c r="H34" s="16" t="e">
        <f>+C34-F34</f>
        <v>#N/A</v>
      </c>
      <c r="I34" s="105"/>
    </row>
    <row r="35" spans="2:9" x14ac:dyDescent="0.25">
      <c r="B35" s="33" t="s">
        <v>176</v>
      </c>
      <c r="C35" s="22" t="e">
        <f>VLOOKUP(Inngang!$B$11,'2022 Nto driftsutg eks avskriv'!$A$5:$T$15,8)*1000/VLOOKUP(Inngang!$B$11,'2022 Nto driftsutg'!$A$5:$W$15,23)</f>
        <v>#N/A</v>
      </c>
      <c r="D35" s="22" t="e">
        <f>+'2022 Nto driftsutg landet'!$C$9+VLOOKUP(Inngang!$B$11,'2022 Korreksjoner'!$A$5:$AS$15,9)+VLOOKUP(Inngang!$B$11,'2022 Korreksjoner'!$A$5:$AS$15,16)+VLOOKUP(Inngang!$B$11,'2022 Korreksjoner'!$A$5:$AS$15,32)</f>
        <v>#N/A</v>
      </c>
      <c r="E35" s="40" t="e">
        <f t="shared" ref="E35:E39" si="4">+C35-D35</f>
        <v>#N/A</v>
      </c>
      <c r="F35" s="26" t="e">
        <f>+'2022 Nto driftsutg landet'!$C$9*VLOOKUP(Inngang!$B$11,'2022 Inntektsnivå'!$A$5:$C$15,3)+VLOOKUP(Inngang!$B$11,'2022 Korreksjoner'!$A$5:$AS$15,9)+VLOOKUP(Inngang!$B$11,'2022 Korreksjoner'!$A$5:$AS$15,16)+VLOOKUP(Inngang!$B$11,'2022 Korreksjoner'!$A$5:$AS$15,32)</f>
        <v>#N/A</v>
      </c>
      <c r="G35" s="22"/>
      <c r="H35" s="27" t="e">
        <f>IF(F34=G34,C35-F35,(C35-F35)-(G34-F34)*C35/C30)</f>
        <v>#N/A</v>
      </c>
      <c r="I35" s="105"/>
    </row>
    <row r="36" spans="2:9" x14ac:dyDescent="0.25">
      <c r="B36" s="32" t="s">
        <v>272</v>
      </c>
      <c r="C36" s="5" t="e">
        <f>VLOOKUP(Inngang!$B$11,'2022 Nto driftsutg eks avskriv'!$A$5:$T$15,9)*1000/VLOOKUP(Inngang!$B$11,'2022 Nto driftsutg'!$A$5:$W$15,23)</f>
        <v>#N/A</v>
      </c>
      <c r="D36" s="5" t="e">
        <f>'2022 Nto driftsutg landet'!$C$13+VLOOKUP(Inngang!$B$11,'2022 Korreksjoner'!$A$5:$AS$15,17)+VLOOKUP(Inngang!$B$11,'2022 Korreksjoner'!$A$5:$AS$15,33)+VLOOKUP(Inngang!$B$11,'2022 Korreksjoner'!$A$5:$AW$15,46)</f>
        <v>#N/A</v>
      </c>
      <c r="E36" s="17" t="e">
        <f t="shared" si="4"/>
        <v>#N/A</v>
      </c>
      <c r="F36" s="14" t="e">
        <f>+'2022 Nto driftsutg landet'!$C$13*VLOOKUP(Inngang!$B$11,'2022 Inntektsnivå'!$A$5:$C$15,3)+VLOOKUP(Inngang!$B$11,'2022 Korreksjoner'!$A$5:$AS$15,17)+VLOOKUP(Inngang!$B$11,'2022 Korreksjoner'!$A$5:$AS$15,33)+VLOOKUP(Inngang!$B$11,'2022 Korreksjoner'!$A$5:$AV$15,46)</f>
        <v>#N/A</v>
      </c>
      <c r="G36" s="5"/>
      <c r="H36" s="16" t="e">
        <f t="shared" ref="H36:H39" si="5">+C36-F36</f>
        <v>#N/A</v>
      </c>
    </row>
    <row r="37" spans="2:9" x14ac:dyDescent="0.25">
      <c r="B37" s="32" t="s">
        <v>27</v>
      </c>
      <c r="C37" s="5" t="e">
        <f>VLOOKUP(Inngang!$B$11,'2022 Nto driftsutg eks avskriv'!$A$5:$T$15,18)*1000/VLOOKUP(Inngang!$B$11,'2022 Nto driftsutg'!$A$5:$W$15,23)</f>
        <v>#N/A</v>
      </c>
      <c r="D37" s="5" t="e">
        <f>'2022 Nto driftsutg landet'!$C$14+VLOOKUP(Inngang!$B$11,'2022 Korreksjoner'!$A$5:$AX$15,44)</f>
        <v>#N/A</v>
      </c>
      <c r="E37" s="17" t="e">
        <f t="shared" si="4"/>
        <v>#N/A</v>
      </c>
      <c r="F37" s="14" t="e">
        <f>+'2022 Nto driftsutg landet'!$C$14*VLOOKUP(Inngang!$B$11,'2022 Inntektsnivå'!$A$5:$C$15,3)+VLOOKUP(Inngang!$B$11,'2022 Korreksjoner'!$A$5:$AX$15,44)</f>
        <v>#N/A</v>
      </c>
      <c r="G37" s="5"/>
      <c r="H37" s="16" t="e">
        <f t="shared" si="5"/>
        <v>#N/A</v>
      </c>
    </row>
    <row r="38" spans="2:9" x14ac:dyDescent="0.25">
      <c r="B38" s="32" t="s">
        <v>24</v>
      </c>
      <c r="C38" s="5" t="e">
        <f>VLOOKUP(Inngang!$B$11,'2022 Nto driftsutg eks avskriv'!$A$5:$T$15,19)*1000/VLOOKUP(Inngang!$B$11,'2022 Nto driftsutg'!$A$5:$W$15,23)</f>
        <v>#N/A</v>
      </c>
      <c r="D38" s="93">
        <f>'2022 Nto driftsutg landet'!$C$15</f>
        <v>717.38946531950285</v>
      </c>
      <c r="E38" s="94" t="e">
        <f t="shared" si="4"/>
        <v>#N/A</v>
      </c>
      <c r="F38" s="95" t="e">
        <f>+'2022 Nto driftsutg landet'!$C$15*VLOOKUP(Inngang!$B$11,'2022 Inntektsnivå'!$A$5:$C$15,3)</f>
        <v>#N/A</v>
      </c>
      <c r="G38" s="93"/>
      <c r="H38" s="96" t="e">
        <f t="shared" si="5"/>
        <v>#N/A</v>
      </c>
      <c r="I38" s="5"/>
    </row>
    <row r="39" spans="2:9" x14ac:dyDescent="0.25">
      <c r="B39" s="33" t="s">
        <v>25</v>
      </c>
      <c r="C39" s="22" t="e">
        <f>VLOOKUP(Inngang!$B$11,'2022 Nto driftsutg eks avskriv'!$A$5:$T$15,20)*1000/VLOOKUP(Inngang!$B$11,'2022 Nto driftsutg'!$A$5:$W$15,23)</f>
        <v>#N/A</v>
      </c>
      <c r="D39" s="97">
        <f>'2022 Nto driftsutg landet'!$C$16</f>
        <v>1310.4241625455463</v>
      </c>
      <c r="E39" s="98" t="e">
        <f t="shared" si="4"/>
        <v>#N/A</v>
      </c>
      <c r="F39" s="99" t="e">
        <f>+'2022 Nto driftsutg landet'!$C$16*VLOOKUP(Inngang!$B$11,'2022 Inntektsnivå'!$A$5:$C$15,3)</f>
        <v>#N/A</v>
      </c>
      <c r="G39" s="93"/>
      <c r="H39" s="96" t="e">
        <f t="shared" si="5"/>
        <v>#N/A</v>
      </c>
    </row>
    <row r="40" spans="2:9" x14ac:dyDescent="0.25">
      <c r="B40" s="28" t="s">
        <v>18</v>
      </c>
      <c r="C40" s="29" t="e">
        <f>SUM(C31:C39)</f>
        <v>#N/A</v>
      </c>
      <c r="D40" s="30" t="e">
        <f>SUM(D31:D39)</f>
        <v>#N/A</v>
      </c>
      <c r="E40" s="31" t="e">
        <f>SUM(E31:E39)</f>
        <v>#N/A</v>
      </c>
      <c r="F40" s="29" t="e">
        <f>SUM(F31:F39)</f>
        <v>#N/A</v>
      </c>
      <c r="G40" s="30"/>
      <c r="H40" s="34" t="e">
        <f>SUM(H31:H39)</f>
        <v>#N/A</v>
      </c>
    </row>
    <row r="41" spans="2:9" x14ac:dyDescent="0.25">
      <c r="C41" s="5"/>
    </row>
    <row r="42" spans="2:9" x14ac:dyDescent="0.25">
      <c r="I42" s="5"/>
    </row>
    <row r="43" spans="2:9" x14ac:dyDescent="0.25">
      <c r="B43" s="7" t="s">
        <v>36</v>
      </c>
      <c r="I43" s="5"/>
    </row>
    <row r="45" spans="2:9" ht="45" x14ac:dyDescent="0.25">
      <c r="B45" s="38"/>
      <c r="C45" s="20" t="s">
        <v>41</v>
      </c>
      <c r="D45" s="20" t="s">
        <v>45</v>
      </c>
      <c r="E45" s="19" t="s">
        <v>46</v>
      </c>
      <c r="F45" s="15" t="s">
        <v>47</v>
      </c>
      <c r="G45" s="20"/>
      <c r="H45" s="18" t="s">
        <v>48</v>
      </c>
    </row>
    <row r="46" spans="2:9" x14ac:dyDescent="0.25">
      <c r="B46" s="39"/>
      <c r="C46" s="35" t="s">
        <v>40</v>
      </c>
      <c r="D46" s="35" t="s">
        <v>42</v>
      </c>
      <c r="E46" s="36" t="s">
        <v>40</v>
      </c>
      <c r="F46" s="41" t="s">
        <v>40</v>
      </c>
      <c r="G46" s="35"/>
      <c r="H46" s="37" t="s">
        <v>40</v>
      </c>
    </row>
    <row r="47" spans="2:9" x14ac:dyDescent="0.25">
      <c r="B47" s="83" t="s">
        <v>137</v>
      </c>
      <c r="C47" s="84" t="e">
        <f>SUM(C48:C53)</f>
        <v>#N/A</v>
      </c>
      <c r="D47" s="84" t="e">
        <f>SUM(D48:D53)</f>
        <v>#N/A</v>
      </c>
      <c r="E47" s="88" t="e">
        <f>SUM(E48:E53)</f>
        <v>#N/A</v>
      </c>
      <c r="F47" s="89" t="e">
        <f>SUM(F48:F53)</f>
        <v>#N/A</v>
      </c>
      <c r="G47" s="84"/>
      <c r="H47" s="90" t="e">
        <f>SUM(H48:H53)</f>
        <v>#N/A</v>
      </c>
    </row>
    <row r="48" spans="2:9" x14ac:dyDescent="0.25">
      <c r="B48" s="32" t="s">
        <v>4</v>
      </c>
      <c r="C48" s="5" t="e">
        <f>VLOOKUP(Inngang!$B$11,'2022 Nto driftsutg eks avskriv'!$A$5:$T$15,11)*1000/VLOOKUP(Inngang!$B$11,'2022 Nto driftsutg'!$A$5:$W$15,23)</f>
        <v>#N/A</v>
      </c>
      <c r="D48" s="5" t="e">
        <f>'2022 Nto driftsutg eks avskriv'!K$17*1000/'2022 Nto driftsutg'!$W$17+VLOOKUP(Inngang!$B$11,'2022 Korreksjoner'!$A$5:$AS$15,19)+VLOOKUP(Inngang!$B$11,'2022 Korreksjoner'!$A$5:$AS$15,35)</f>
        <v>#N/A</v>
      </c>
      <c r="E48" s="17" t="e">
        <f t="shared" ref="E48:E53" si="6">+C48-D48</f>
        <v>#N/A</v>
      </c>
      <c r="F48" s="14" t="e">
        <f>+'2022 Nto driftsutg landet'!$C$23*VLOOKUP(Inngang!$B$11,'2022 Inntektsnivå'!$A$5:$C$15,3)+VLOOKUP(Inngang!$B$11,'2022 Korreksjoner'!$A$5:$AS$15,19)+VLOOKUP(Inngang!$B$11,'2022 Korreksjoner'!$A$5:$AS$15,35)</f>
        <v>#N/A</v>
      </c>
      <c r="G48" s="5"/>
      <c r="H48" s="16" t="e">
        <f>+C48-F48</f>
        <v>#N/A</v>
      </c>
    </row>
    <row r="49" spans="2:9" x14ac:dyDescent="0.25">
      <c r="B49" s="32" t="s">
        <v>271</v>
      </c>
      <c r="C49" s="5" t="e">
        <f>VLOOKUP(Inngang!$B$11,'2022 Nto driftsutg eks avskriv'!$A$5:$T$15,12)*1000/VLOOKUP(Inngang!$B$11,'2022 Nto driftsutg'!$A$5:$W$15,23)</f>
        <v>#N/A</v>
      </c>
      <c r="D49" s="5" t="e">
        <f>'2022 Nto driftsutg eks avskriv'!L$17*1000/'2022 Nto driftsutg'!$W$17+VLOOKUP(Inngang!$B$11,'2022 Korreksjoner'!$A$5:$AS$15,20)+VLOOKUP(Inngang!$B$11,'2022 Korreksjoner'!$A$5:$AS$15,36)</f>
        <v>#N/A</v>
      </c>
      <c r="E49" s="17" t="e">
        <f t="shared" si="6"/>
        <v>#N/A</v>
      </c>
      <c r="F49" s="14" t="e">
        <f>+'2022 Nto driftsutg landet'!$C$24*VLOOKUP(Inngang!$B$11,'2022 Inntektsnivå'!$A$5:$C$15,3)+VLOOKUP(Inngang!$B$11,'2022 Korreksjoner'!$A$5:$AS$15,20)+VLOOKUP(Inngang!$B$11,'2022 Korreksjoner'!$A$5:$AS$15,36)</f>
        <v>#N/A</v>
      </c>
      <c r="G49" s="5"/>
      <c r="H49" s="16" t="e">
        <f t="shared" ref="H49:H53" si="7">+C49-F49</f>
        <v>#N/A</v>
      </c>
    </row>
    <row r="50" spans="2:9" x14ac:dyDescent="0.25">
      <c r="B50" s="32" t="s">
        <v>37</v>
      </c>
      <c r="C50" s="5" t="e">
        <f>VLOOKUP(Inngang!$B$11,'2022 Nto driftsutg eks avskriv'!$A$5:$T$15,13)*1000/VLOOKUP(Inngang!$B$11,'2022 Nto driftsutg'!$A$5:$W$15,23)</f>
        <v>#N/A</v>
      </c>
      <c r="D50" s="5" t="e">
        <f>'2022 Nto driftsutg eks avskriv'!M$17*1000/'2022 Nto driftsutg'!$W$17+VLOOKUP(Inngang!$B$11,'2022 Korreksjoner'!$A$5:$AS$15,21)+VLOOKUP(Inngang!$B$11,'2022 Korreksjoner'!$A$5:$AS$15,37)</f>
        <v>#N/A</v>
      </c>
      <c r="E50" s="17" t="e">
        <f t="shared" si="6"/>
        <v>#N/A</v>
      </c>
      <c r="F50" s="14" t="e">
        <f>+'2022 Nto driftsutg landet'!$C$25*VLOOKUP(Inngang!$B$11,'2022 Inntektsnivå'!$A$5:$C$15,3)+VLOOKUP(Inngang!$B$11,'2022 Korreksjoner'!$A$5:$AS$15,21)+VLOOKUP(Inngang!$B$11,'2022 Korreksjoner'!$A$5:$AS$15,37)</f>
        <v>#N/A</v>
      </c>
      <c r="G50" s="5"/>
      <c r="H50" s="16" t="e">
        <f t="shared" si="7"/>
        <v>#N/A</v>
      </c>
    </row>
    <row r="51" spans="2:9" x14ac:dyDescent="0.25">
      <c r="B51" s="32" t="s">
        <v>178</v>
      </c>
      <c r="C51" s="5" t="e">
        <f>VLOOKUP(Inngang!$B$11,'2022 Nto driftsutg eks avskriv'!$A$5:$T$15,14)*1000/VLOOKUP(Inngang!$B$11,'2022 Nto driftsutg'!$A$5:$W$15,23)</f>
        <v>#N/A</v>
      </c>
      <c r="D51" s="5" t="e">
        <f>'2022 Nto driftsutg eks avskriv'!N$17*1000/'2022 Nto driftsutg'!$W$17+VLOOKUP(Inngang!$B$11,'2022 Korreksjoner'!$A$5:$AS$15,22)+VLOOKUP(Inngang!$B$11,'2022 Korreksjoner'!$A$5:$AS$15,38)</f>
        <v>#N/A</v>
      </c>
      <c r="E51" s="17" t="e">
        <f t="shared" si="6"/>
        <v>#N/A</v>
      </c>
      <c r="F51" s="14" t="e">
        <f>+'2022 Nto driftsutg landet'!$C$26*VLOOKUP(Inngang!$B$11,'2022 Inntektsnivå'!$A$5:$C$15,3)+VLOOKUP(Inngang!$B$11,'2022 Korreksjoner'!$A$5:$AS$15,22)+VLOOKUP(Inngang!$B$11,'2022 Korreksjoner'!$A$5:$AS$15,38)</f>
        <v>#N/A</v>
      </c>
      <c r="G51" s="5"/>
      <c r="H51" s="16" t="e">
        <f t="shared" si="7"/>
        <v>#N/A</v>
      </c>
    </row>
    <row r="52" spans="2:9" x14ac:dyDescent="0.25">
      <c r="B52" s="32" t="s">
        <v>138</v>
      </c>
      <c r="C52" s="5" t="e">
        <f>VLOOKUP(Inngang!$B$11,'2022 Nto driftsutg eks avskriv'!$A$5:$T$15,15)*1000/VLOOKUP(Inngang!$B$11,'2022 Nto driftsutg'!$A$5:$W$15,23)</f>
        <v>#N/A</v>
      </c>
      <c r="D52" s="5" t="e">
        <f>'2022 Nto driftsutg eks avskriv'!O17*1000/'2022 Nto driftsutg'!$W$17+VLOOKUP(Inngang!$B$11,'2022 Korreksjoner'!$A$5:$AS$15,23)+VLOOKUP(Inngang!$B$11,'2022 Korreksjoner'!$A$5:$AS$15,39)</f>
        <v>#N/A</v>
      </c>
      <c r="E52" s="17" t="e">
        <f t="shared" si="6"/>
        <v>#N/A</v>
      </c>
      <c r="F52" s="14" t="e">
        <f>'2022 Nto driftsutg landet'!$C$27*VLOOKUP(Inngang!$B$11,'2022 Inntektsnivå'!$A$5:$C$15,3)+VLOOKUP(Inngang!$B$11,'2022 Korreksjoner'!$A$5:$AS$15,23)+VLOOKUP(Inngang!$B$11,'2022 Korreksjoner'!$A$5:$AS$15,39)</f>
        <v>#N/A</v>
      </c>
      <c r="G52" s="5"/>
      <c r="H52" s="16" t="e">
        <f t="shared" si="7"/>
        <v>#N/A</v>
      </c>
    </row>
    <row r="53" spans="2:9" x14ac:dyDescent="0.25">
      <c r="B53" s="61" t="s">
        <v>129</v>
      </c>
      <c r="C53" s="22" t="e">
        <f>VLOOKUP(Inngang!$B$11,'2022 Nto driftsutg eks avskriv'!$A$5:$T$15,16)*1000/VLOOKUP(Inngang!$B$11,'2022 Nto driftsutg'!$A$5:$W$15,23)</f>
        <v>#N/A</v>
      </c>
      <c r="D53" s="22" t="e">
        <f>'2022 Nto driftsutg eks avskriv'!P17*1000/'2022 Nto driftsutg'!$W$17+VLOOKUP(Inngang!$B$11,'2022 Korreksjoner'!$A$5:$AS$15,24)+VLOOKUP(Inngang!$B$11,'2022 Korreksjoner'!$A$5:$AS$15,40)</f>
        <v>#N/A</v>
      </c>
      <c r="E53" s="40" t="e">
        <f t="shared" si="6"/>
        <v>#N/A</v>
      </c>
      <c r="F53" s="26" t="e">
        <f>'2022 Nto driftsutg landet'!$C$28*VLOOKUP(Inngang!$B$11,'2022 Inntektsnivå'!$A$5:$C$15,3)+VLOOKUP(Inngang!$B$11,'2022 Korreksjoner'!$A$5:$AS$15,24)+VLOOKUP(Inngang!$B$11,'2022 Korreksjoner'!$A$5:$AS$15,40)</f>
        <v>#N/A</v>
      </c>
      <c r="G53" s="22"/>
      <c r="H53" s="27" t="e">
        <f t="shared" si="7"/>
        <v>#N/A</v>
      </c>
    </row>
    <row r="54" spans="2:9" x14ac:dyDescent="0.25">
      <c r="B54" s="28" t="s">
        <v>137</v>
      </c>
      <c r="C54" s="30" t="e">
        <f>SUM(C48:C53)</f>
        <v>#N/A</v>
      </c>
      <c r="D54" s="30" t="e">
        <f>SUM(D48:D53)</f>
        <v>#N/A</v>
      </c>
      <c r="E54" s="31" t="e">
        <f>SUM(E48:E53)</f>
        <v>#N/A</v>
      </c>
      <c r="F54" s="29" t="e">
        <f>SUM(F48:F53)</f>
        <v>#N/A</v>
      </c>
      <c r="G54" s="30"/>
      <c r="H54" s="34" t="e">
        <f>SUM(H48:H53)</f>
        <v>#N/A</v>
      </c>
      <c r="I54" s="5"/>
    </row>
    <row r="55" spans="2:9" x14ac:dyDescent="0.25">
      <c r="I55" s="5"/>
    </row>
    <row r="56" spans="2:9" x14ac:dyDescent="0.25">
      <c r="I56" s="5"/>
    </row>
    <row r="57" spans="2:9" x14ac:dyDescent="0.25">
      <c r="I57" s="5"/>
    </row>
    <row r="58" spans="2:9" x14ac:dyDescent="0.25">
      <c r="B58" s="38" t="s">
        <v>128</v>
      </c>
      <c r="C58" s="20" t="s">
        <v>274</v>
      </c>
      <c r="D58" s="67" t="s">
        <v>3</v>
      </c>
      <c r="I58" s="5"/>
    </row>
    <row r="59" spans="2:9" x14ac:dyDescent="0.25">
      <c r="B59" s="62" t="s">
        <v>174</v>
      </c>
      <c r="C59" s="70" t="e">
        <f>VLOOKUP(Inngang!$B$11,'2022 Revekting utgiftsbehov'!$A$5:$I$15,4)</f>
        <v>#N/A</v>
      </c>
      <c r="D59" s="68">
        <v>1</v>
      </c>
      <c r="I59" s="5"/>
    </row>
    <row r="60" spans="2:9" x14ac:dyDescent="0.25">
      <c r="B60" s="62" t="s">
        <v>175</v>
      </c>
      <c r="C60" s="70" t="e">
        <f>VLOOKUP(Inngang!$B$11,'2022 Revekting utgiftsbehov'!$A$5:$I$15,5)</f>
        <v>#N/A</v>
      </c>
      <c r="D60" s="68">
        <v>1</v>
      </c>
      <c r="I60" s="5"/>
    </row>
    <row r="61" spans="2:9" x14ac:dyDescent="0.25">
      <c r="B61" s="32" t="s">
        <v>278</v>
      </c>
      <c r="C61" s="70" t="e">
        <f>VLOOKUP(Inngang!$B$11,'2022 Revekting utgiftsbehov'!$A$5:$I$15,6)</f>
        <v>#N/A</v>
      </c>
      <c r="D61" s="68">
        <v>1</v>
      </c>
      <c r="I61" s="5"/>
    </row>
    <row r="62" spans="2:9" x14ac:dyDescent="0.25">
      <c r="B62" s="32" t="s">
        <v>279</v>
      </c>
      <c r="C62" s="70" t="e">
        <f>VLOOKUP(Inngang!$B$11,'2022 Revekting utgiftsbehov'!$A$5:$I$15,7)</f>
        <v>#N/A</v>
      </c>
      <c r="D62" s="68">
        <v>1</v>
      </c>
      <c r="I62" s="5"/>
    </row>
    <row r="63" spans="2:9" x14ac:dyDescent="0.25">
      <c r="B63" s="63" t="s">
        <v>176</v>
      </c>
      <c r="C63" s="71" t="e">
        <f>VLOOKUP(Inngang!$B$11,'2022 Revekting utgiftsbehov'!$A$5:$I$15,8)</f>
        <v>#N/A</v>
      </c>
      <c r="D63" s="69">
        <v>1</v>
      </c>
      <c r="I63" s="5"/>
    </row>
    <row r="64" spans="2:9" x14ac:dyDescent="0.25">
      <c r="B64" s="80" t="s">
        <v>133</v>
      </c>
      <c r="C64" s="81" t="e">
        <f>+VLOOKUP(Inngang!$B$11,'2022 Revekting utgiftsbehov'!$A$5:$I$15,9)</f>
        <v>#N/A</v>
      </c>
      <c r="D64" s="82">
        <v>1</v>
      </c>
      <c r="I64" s="5"/>
    </row>
    <row r="65" spans="2:9" x14ac:dyDescent="0.25">
      <c r="I65" s="5"/>
    </row>
    <row r="66" spans="2:9" x14ac:dyDescent="0.25">
      <c r="I66" s="5"/>
    </row>
    <row r="67" spans="2:9" x14ac:dyDescent="0.25">
      <c r="I67" s="5"/>
    </row>
    <row r="68" spans="2:9" ht="30" x14ac:dyDescent="0.25">
      <c r="B68" s="73" t="s">
        <v>130</v>
      </c>
      <c r="C68" s="76" t="s">
        <v>275</v>
      </c>
      <c r="D68" s="76" t="s">
        <v>276</v>
      </c>
    </row>
    <row r="69" spans="2:9" x14ac:dyDescent="0.25">
      <c r="B69" s="32" t="s">
        <v>139</v>
      </c>
      <c r="C69" s="74" t="e">
        <f>SUM(C70:C78)</f>
        <v>#N/A</v>
      </c>
    </row>
    <row r="70" spans="2:9" x14ac:dyDescent="0.25">
      <c r="B70" s="32" t="s">
        <v>174</v>
      </c>
      <c r="C70" s="74" t="e">
        <f>+C31-'2022 Nto driftsutg landet'!$C5</f>
        <v>#N/A</v>
      </c>
    </row>
    <row r="71" spans="2:9" x14ac:dyDescent="0.25">
      <c r="B71" s="32" t="s">
        <v>175</v>
      </c>
      <c r="C71" s="74" t="e">
        <f>+C32-'2022 Nto driftsutg landet'!$C6</f>
        <v>#N/A</v>
      </c>
    </row>
    <row r="72" spans="2:9" x14ac:dyDescent="0.25">
      <c r="B72" s="32" t="s">
        <v>278</v>
      </c>
      <c r="C72" s="74" t="e">
        <f>+C33-'2022 Nto driftsutg landet'!$C7</f>
        <v>#N/A</v>
      </c>
    </row>
    <row r="73" spans="2:9" x14ac:dyDescent="0.25">
      <c r="B73" s="32" t="s">
        <v>279</v>
      </c>
      <c r="C73" s="74" t="e">
        <f>+C34-'2022 Nto driftsutg landet'!$C8</f>
        <v>#N/A</v>
      </c>
    </row>
    <row r="74" spans="2:9" x14ac:dyDescent="0.25">
      <c r="B74" s="32" t="s">
        <v>176</v>
      </c>
      <c r="C74" s="74" t="e">
        <f>+C35-'2022 Nto driftsutg landet'!$C9</f>
        <v>#N/A</v>
      </c>
    </row>
    <row r="75" spans="2:9" x14ac:dyDescent="0.25">
      <c r="B75" s="32" t="s">
        <v>127</v>
      </c>
      <c r="C75" s="74" t="e">
        <f>+C36-'2022 Nto driftsutg landet'!$C13</f>
        <v>#N/A</v>
      </c>
    </row>
    <row r="76" spans="2:9" x14ac:dyDescent="0.25">
      <c r="B76" s="32" t="s">
        <v>27</v>
      </c>
      <c r="C76" s="74" t="e">
        <f>+C37-'2022 Nto driftsutg landet'!$C14</f>
        <v>#N/A</v>
      </c>
    </row>
    <row r="77" spans="2:9" x14ac:dyDescent="0.25">
      <c r="B77" s="32" t="s">
        <v>24</v>
      </c>
      <c r="C77" s="74" t="e">
        <f>+C38-'2022 Nto driftsutg landet'!$C15</f>
        <v>#N/A</v>
      </c>
    </row>
    <row r="78" spans="2:9" x14ac:dyDescent="0.25">
      <c r="B78" s="33" t="s">
        <v>25</v>
      </c>
      <c r="C78" s="75" t="e">
        <f>+C39-'2022 Nto driftsutg landet'!$C16</f>
        <v>#N/A</v>
      </c>
    </row>
    <row r="80" spans="2:9" x14ac:dyDescent="0.25">
      <c r="E80" s="5"/>
    </row>
  </sheetData>
  <sheetProtection algorithmName="SHA-512" hashValue="KC3pCosrZk8INk7oDUPwyJZoWyjmse5+Lqj6IE7QM2cqbdbutZAycLpWLIlfbckvs/AwUQPYMAyQbNXiHcIIpw==" saltValue="zixVYFq3vQPqDaJaI0Bwig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3"/>
  <dimension ref="B1:I80"/>
  <sheetViews>
    <sheetView showGridLines="0" workbookViewId="0"/>
  </sheetViews>
  <sheetFormatPr baseColWidth="10" defaultRowHeight="15" x14ac:dyDescent="0.25"/>
  <cols>
    <col min="2" max="2" width="39.5703125" customWidth="1"/>
    <col min="3" max="3" width="17.42578125" customWidth="1"/>
    <col min="4" max="4" width="24" customWidth="1"/>
    <col min="5" max="5" width="24.5703125" customWidth="1"/>
    <col min="6" max="6" width="22.85546875" customWidth="1"/>
    <col min="7" max="7" width="8.85546875" customWidth="1"/>
    <col min="8" max="8" width="30.5703125" customWidth="1"/>
    <col min="9" max="9" width="16.5703125" bestFit="1" customWidth="1"/>
  </cols>
  <sheetData>
    <row r="1" spans="2:8" ht="33" customHeight="1" x14ac:dyDescent="0.4">
      <c r="B1" s="79" t="str">
        <f>+Inngang!C13</f>
        <v/>
      </c>
      <c r="C1" s="106"/>
    </row>
    <row r="3" spans="2:8" x14ac:dyDescent="0.25">
      <c r="B3" s="7" t="s">
        <v>52</v>
      </c>
    </row>
    <row r="4" spans="2:8" x14ac:dyDescent="0.25">
      <c r="B4" s="7"/>
    </row>
    <row r="5" spans="2:8" ht="45" x14ac:dyDescent="0.25">
      <c r="B5" s="38"/>
      <c r="C5" s="18" t="s">
        <v>315</v>
      </c>
      <c r="D5" s="18" t="s">
        <v>131</v>
      </c>
    </row>
    <row r="6" spans="2:8" x14ac:dyDescent="0.25">
      <c r="B6" s="39"/>
      <c r="C6" s="37" t="s">
        <v>40</v>
      </c>
      <c r="D6" s="37" t="s">
        <v>40</v>
      </c>
    </row>
    <row r="7" spans="2:8" x14ac:dyDescent="0.25">
      <c r="B7" s="62" t="s">
        <v>139</v>
      </c>
      <c r="C7" s="64" t="e">
        <f>VLOOKUP(Inngang!$B$13,'2022 Inntektsnivå'!A5:D15,4)</f>
        <v>#N/A</v>
      </c>
      <c r="D7" s="101"/>
    </row>
    <row r="8" spans="2:8" x14ac:dyDescent="0.25">
      <c r="B8" s="62" t="s">
        <v>273</v>
      </c>
      <c r="C8" s="65" t="e">
        <f>+E31+E32+E33+E34+E35</f>
        <v>#N/A</v>
      </c>
      <c r="D8" s="74" t="e">
        <f>H31+H32+H33+H34+H35</f>
        <v>#N/A</v>
      </c>
    </row>
    <row r="9" spans="2:8" x14ac:dyDescent="0.25">
      <c r="B9" s="62" t="s">
        <v>272</v>
      </c>
      <c r="C9" s="65" t="e">
        <f>+E36</f>
        <v>#N/A</v>
      </c>
      <c r="D9" s="74" t="e">
        <f t="shared" ref="D9:D12" si="0">+H36</f>
        <v>#N/A</v>
      </c>
    </row>
    <row r="10" spans="2:8" x14ac:dyDescent="0.25">
      <c r="B10" s="62" t="s">
        <v>27</v>
      </c>
      <c r="C10" s="65" t="e">
        <f>+E37</f>
        <v>#N/A</v>
      </c>
      <c r="D10" s="74" t="e">
        <f t="shared" si="0"/>
        <v>#N/A</v>
      </c>
    </row>
    <row r="11" spans="2:8" x14ac:dyDescent="0.25">
      <c r="B11" s="62" t="s">
        <v>24</v>
      </c>
      <c r="C11" s="65" t="e">
        <f t="shared" ref="C11:C12" si="1">+E38</f>
        <v>#N/A</v>
      </c>
      <c r="D11" s="74" t="e">
        <f t="shared" si="0"/>
        <v>#N/A</v>
      </c>
    </row>
    <row r="12" spans="2:8" x14ac:dyDescent="0.25">
      <c r="B12" s="63" t="s">
        <v>25</v>
      </c>
      <c r="C12" s="66" t="e">
        <f t="shared" si="1"/>
        <v>#N/A</v>
      </c>
      <c r="D12" s="75" t="e">
        <f t="shared" si="0"/>
        <v>#N/A</v>
      </c>
    </row>
    <row r="13" spans="2:8" x14ac:dyDescent="0.25">
      <c r="B13" s="7"/>
      <c r="C13" s="5"/>
      <c r="D13" s="5"/>
    </row>
    <row r="14" spans="2:8" x14ac:dyDescent="0.25">
      <c r="B14" s="7"/>
    </row>
    <row r="16" spans="2:8" ht="45" x14ac:dyDescent="0.25">
      <c r="B16" s="77"/>
      <c r="C16" s="15" t="s">
        <v>50</v>
      </c>
      <c r="D16" s="20" t="s">
        <v>51</v>
      </c>
      <c r="E16" s="18" t="s">
        <v>57</v>
      </c>
      <c r="F16" s="20" t="s">
        <v>56</v>
      </c>
      <c r="G16" s="20"/>
      <c r="H16" s="18" t="s">
        <v>58</v>
      </c>
    </row>
    <row r="17" spans="2:9" x14ac:dyDescent="0.25">
      <c r="B17" s="78"/>
      <c r="C17" s="41" t="s">
        <v>53</v>
      </c>
      <c r="D17" s="35" t="s">
        <v>54</v>
      </c>
      <c r="E17" s="37" t="s">
        <v>55</v>
      </c>
      <c r="F17" s="35" t="s">
        <v>53</v>
      </c>
      <c r="G17" s="35"/>
      <c r="H17" s="37" t="s">
        <v>55</v>
      </c>
    </row>
    <row r="18" spans="2:9" x14ac:dyDescent="0.25">
      <c r="B18" s="62" t="s">
        <v>174</v>
      </c>
      <c r="C18" s="14" t="e">
        <f>VLOOKUP(Inngang!$B$13,'2022 Nto driftsutg eks avskriv'!$A$5:$T$15,4)*1000/VLOOKUP(Inngang!$B$13,'2022 Nto driftsutg'!$A$5:$W$15,23)*100/'2022 Nto driftsutg landet'!C5-100</f>
        <v>#N/A</v>
      </c>
      <c r="D18" s="5" t="e">
        <f>('2022 Nto driftsutg landet'!$C$5+VLOOKUP(Inngang!$B$13,'2022 Korreksjoner'!$A$5:$AS$15,3)+VLOOKUP(Inngang!$B$13,'2022 Korreksjoner'!$A$5:$AS$15,5)+VLOOKUP(Inngang!$B$13,'2022 Korreksjoner'!$A$5:$AS$15,12)+VLOOKUP(Inngang!$B$13,'2022 Korreksjoner'!$A$5:$AS$15,28))*100/'2022 Nto driftsutg landet'!C5-100</f>
        <v>#N/A</v>
      </c>
      <c r="E18" s="16" t="e">
        <f>+C18-D18</f>
        <v>#N/A</v>
      </c>
      <c r="F18" s="5" t="e">
        <f>('2022 Nto driftsutg landet'!$C$5*VLOOKUP(Inngang!$B$13,'2022 Inntektsnivå'!$A$5:$C$15,3)+VLOOKUP(Inngang!$B$13,'2022 Korreksjoner'!$A$5:$AS$15,5)+VLOOKUP(Inngang!$B$13,'2022 Korreksjoner'!$A$5:$AS$15,3)+VLOOKUP(Inngang!$B$13,'2022 Korreksjoner'!$A$5:$AS$15,12)+VLOOKUP(Inngang!$B$13,'2022 Korreksjoner'!$A$5:$AS$15,28))*100/'2022 Nto driftsutg landet'!C5-100</f>
        <v>#N/A</v>
      </c>
      <c r="G18" s="5"/>
      <c r="H18" s="16" t="e">
        <f>+C18-F18</f>
        <v>#N/A</v>
      </c>
    </row>
    <row r="19" spans="2:9" x14ac:dyDescent="0.25">
      <c r="B19" s="62" t="s">
        <v>175</v>
      </c>
      <c r="C19" s="14" t="e">
        <f>VLOOKUP(Inngang!$B$13,'2022 Nto driftsutg eks avskriv'!$A$5:$T$15,5)*1000/VLOOKUP(Inngang!$B$13,'2022 Nto driftsutg'!$A$5:$W$15,23)*100/'2022 Nto driftsutg landet'!C6-100</f>
        <v>#N/A</v>
      </c>
      <c r="D19" s="5" t="e">
        <f>('2022 Nto driftsutg landet'!$C$6+VLOOKUP(Inngang!$B$13,'2022 Korreksjoner'!$A$5:$AS$15,6)+VLOOKUP(Inngang!$B$13,'2022 Korreksjoner'!$A$5:$AS$15,13)+VLOOKUP(Inngang!$B$13,'2022 Korreksjoner'!$A$5:$AS$15,29))*100/'2022 Nto driftsutg landet'!C6-100</f>
        <v>#N/A</v>
      </c>
      <c r="E19" s="16" t="e">
        <f>+C19-D19</f>
        <v>#N/A</v>
      </c>
      <c r="F19" s="5" t="e">
        <f>('2022 Nto driftsutg landet'!$C$6*VLOOKUP(Inngang!$B$13,'2022 Inntektsnivå'!$A$5:$C$15,3)+VLOOKUP(Inngang!$B$13,'2022 Korreksjoner'!$A$5:$AS$15,6)+VLOOKUP(Inngang!$B$13,'2022 Korreksjoner'!$A$5:$AS$15,13)+VLOOKUP(Inngang!$B$13,'2022 Korreksjoner'!$A$5:$AS$15,29))*100/'2022 Nto driftsutg landet'!C6-100</f>
        <v>#N/A</v>
      </c>
      <c r="G19" s="5"/>
      <c r="H19" s="16" t="e">
        <f>+C19-F19</f>
        <v>#N/A</v>
      </c>
    </row>
    <row r="20" spans="2:9" x14ac:dyDescent="0.25">
      <c r="B20" s="32" t="s">
        <v>278</v>
      </c>
      <c r="C20" s="14" t="e">
        <f>VLOOKUP(Inngang!$B$13,'2022 Nto driftsutg eks avskriv'!$A$5:$T$15,6)*1000/VLOOKUP(Inngang!$B$13,'2022 Nto driftsutg'!$A$5:$W$15,23)*100/'2022 Nto driftsutg landet'!C7-100</f>
        <v>#N/A</v>
      </c>
      <c r="D20" s="5" t="e">
        <f>('2022 Nto driftsutg landet'!$C$7+VLOOKUP(Inngang!$B$13,'2022 Korreksjoner'!$A$5:$AS$15,7)+VLOOKUP(Inngang!$B$13,'2022 Korreksjoner'!$A$5:$AS$15,14)+VLOOKUP(Inngang!$B$13,'2022 Korreksjoner'!$A$5:$AS$15,30))*100/'2022 Nto driftsutg landet'!C7-100</f>
        <v>#N/A</v>
      </c>
      <c r="E20" s="16" t="e">
        <f>+C20-D20</f>
        <v>#N/A</v>
      </c>
      <c r="F20" s="5" t="e">
        <f>('2022 Nto driftsutg landet'!$C$7*VLOOKUP(Inngang!$B$13,'2022 Inntektsnivå'!$A$5:$C$15,3)+VLOOKUP(Inngang!$B$13,'2022 Korreksjoner'!$A$5:$AS$15,7)+VLOOKUP(Inngang!$B$13,'2022 Korreksjoner'!$A$5:$AS$15,14)+VLOOKUP(Inngang!$B$13,'2022 Korreksjoner'!$A$5:$AS$15,30))*100/'2022 Nto driftsutg landet'!C7-100</f>
        <v>#N/A</v>
      </c>
      <c r="G20" s="5"/>
      <c r="H20" s="16" t="e">
        <f>+C20-F20</f>
        <v>#N/A</v>
      </c>
    </row>
    <row r="21" spans="2:9" x14ac:dyDescent="0.25">
      <c r="B21" s="32" t="s">
        <v>279</v>
      </c>
      <c r="C21" s="14" t="e">
        <f>VLOOKUP(Inngang!$B$13,'2022 Nto driftsutg eks avskriv'!$A$5:$T$15,7)*1000/VLOOKUP(Inngang!$B$13,'2022 Nto driftsutg'!$A$5:$W$15,23)*100/'2022 Nto driftsutg landet'!C9-100</f>
        <v>#N/A</v>
      </c>
      <c r="D21" s="5" t="e">
        <f>('2022 Nto driftsutg landet'!$C$8+VLOOKUP(Inngang!$B$13,'2022 Korreksjoner'!$A$5:$AS$15,8)+VLOOKUP(Inngang!$B$13,'2022 Korreksjoner'!$A$5:$AS$15,15)+VLOOKUP(Inngang!$B$13,'2022 Korreksjoner'!$A$5:$AS$15,31))*100/'2022 Nto driftsutg landet'!C8-100</f>
        <v>#N/A</v>
      </c>
      <c r="E21" s="16" t="e">
        <f>+C21-D21</f>
        <v>#N/A</v>
      </c>
      <c r="F21" s="5" t="e">
        <f>('2022 Nto driftsutg landet'!$C$8*VLOOKUP(Inngang!$B$13,'2022 Inntektsnivå'!$A$5:$C$15,3)+VLOOKUP(Inngang!$B$13,'2022 Korreksjoner'!$A$5:$AS$15,8)+VLOOKUP(Inngang!$B$13,'2022 Korreksjoner'!$A$5:$AS$15,15)+VLOOKUP(Inngang!$B$13,'2022 Korreksjoner'!$A$5:$AS$15,31))*100/'2022 Nto driftsutg landet'!C8-100</f>
        <v>#N/A</v>
      </c>
      <c r="G21" s="5"/>
      <c r="H21" s="16" t="e">
        <f>+C21-F21</f>
        <v>#N/A</v>
      </c>
    </row>
    <row r="22" spans="2:9" x14ac:dyDescent="0.25">
      <c r="B22" s="63" t="s">
        <v>176</v>
      </c>
      <c r="C22" s="26" t="e">
        <f>VLOOKUP(Inngang!$B$13,'2022 Nto driftsutg eks avskriv'!$A$5:$T$15,8)*1000/VLOOKUP(Inngang!$B$13,'2022 Nto driftsutg'!$A$5:$W$15,23)*100/'2022 Nto driftsutg landet'!C9-100</f>
        <v>#N/A</v>
      </c>
      <c r="D22" s="22" t="e">
        <f>('2022 Nto driftsutg landet'!$C$9+VLOOKUP(Inngang!$B$13,'2022 Korreksjoner'!$A$5:$AS$15,9)+VLOOKUP(Inngang!$B$13,'2022 Korreksjoner'!$A$5:$AS$15,16)+VLOOKUP(Inngang!$B$13,'2022 Korreksjoner'!$A$5:$AS$15,32))*100/'2022 Nto driftsutg landet'!C9-100</f>
        <v>#N/A</v>
      </c>
      <c r="E22" s="27" t="e">
        <f t="shared" ref="E22" si="2">+C22-D22</f>
        <v>#N/A</v>
      </c>
      <c r="F22" s="22" t="e">
        <f>('2022 Nto driftsutg landet'!$C$9*VLOOKUP(Inngang!$B$13,'2022 Inntektsnivå'!$A$5:$C$15,3)+VLOOKUP(Inngang!$B$13,'2022 Korreksjoner'!$A$5:$AS$15,9)+VLOOKUP(Inngang!$B$13,'2022 Korreksjoner'!$A$5:$AS$15,16)+VLOOKUP(Inngang!$B$13,'2022 Korreksjoner'!$A$5:$AS$15,32))*100/'2022 Nto driftsutg landet'!C9-100</f>
        <v>#N/A</v>
      </c>
      <c r="G22" s="22"/>
      <c r="H22" s="27" t="e">
        <f t="shared" ref="H22" si="3">+C22-F22</f>
        <v>#N/A</v>
      </c>
    </row>
    <row r="26" spans="2:9" x14ac:dyDescent="0.25">
      <c r="B26" s="7" t="s">
        <v>35</v>
      </c>
    </row>
    <row r="28" spans="2:9" ht="60" x14ac:dyDescent="0.25">
      <c r="B28" s="38"/>
      <c r="C28" s="20" t="s">
        <v>135</v>
      </c>
      <c r="D28" s="20" t="s">
        <v>270</v>
      </c>
      <c r="E28" s="19" t="s">
        <v>49</v>
      </c>
      <c r="F28" s="15" t="s">
        <v>43</v>
      </c>
      <c r="G28" s="20"/>
      <c r="H28" s="18" t="s">
        <v>44</v>
      </c>
    </row>
    <row r="29" spans="2:9" x14ac:dyDescent="0.25">
      <c r="B29" s="39"/>
      <c r="C29" s="35" t="s">
        <v>40</v>
      </c>
      <c r="D29" s="35" t="s">
        <v>42</v>
      </c>
      <c r="E29" s="36" t="s">
        <v>40</v>
      </c>
      <c r="F29" s="41" t="s">
        <v>40</v>
      </c>
      <c r="G29" s="35"/>
      <c r="H29" s="37" t="s">
        <v>40</v>
      </c>
    </row>
    <row r="30" spans="2:9" x14ac:dyDescent="0.25">
      <c r="B30" s="83" t="s">
        <v>140</v>
      </c>
      <c r="C30" s="84" t="e">
        <f>SUM(C31:C35)</f>
        <v>#N/A</v>
      </c>
      <c r="D30" s="84" t="e">
        <f>SUM(D31:D35)</f>
        <v>#N/A</v>
      </c>
      <c r="E30" s="85" t="e">
        <f>SUM(E31:E35)</f>
        <v>#N/A</v>
      </c>
      <c r="F30" s="87" t="e">
        <f>SUM(F31:F35)</f>
        <v>#N/A</v>
      </c>
      <c r="G30" s="84"/>
      <c r="H30" s="86" t="e">
        <f>SUM(H31:H35)</f>
        <v>#N/A</v>
      </c>
    </row>
    <row r="31" spans="2:9" x14ac:dyDescent="0.25">
      <c r="B31" s="32" t="s">
        <v>174</v>
      </c>
      <c r="C31" s="5" t="e">
        <f>VLOOKUP(Inngang!$B$13,'2022 Nto driftsutg eks avskriv'!$A$5:$T$15,4)*1000/VLOOKUP(Inngang!$B$13,'2022 Nto driftsutg'!$A$5:$W$15,23)</f>
        <v>#N/A</v>
      </c>
      <c r="D31" s="5" t="e">
        <f>+'2022 Nto driftsutg landet'!$C$5+VLOOKUP(Inngang!$B$13,'2022 Korreksjoner'!$A$5:$AS$15,5)+VLOOKUP(Inngang!$B$13,'2022 Korreksjoner'!$A$5:$I$15,3)+VLOOKUP(Inngang!$B$13,'2022 Korreksjoner'!$A$5:$AS$15,12)+VLOOKUP(Inngang!$B$13,'2022 Korreksjoner'!$A$5:$AS$15,28)</f>
        <v>#N/A</v>
      </c>
      <c r="E31" s="17" t="e">
        <f>+C31-D31</f>
        <v>#N/A</v>
      </c>
      <c r="F31" s="14" t="e">
        <f>+'2022 Nto driftsutg landet'!$C$5*VLOOKUP(Inngang!$B$13,'2022 Inntektsnivå'!$A$5:$C$15,3)+VLOOKUP(Inngang!$B$13,'2022 Korreksjoner'!$A$5:$AS$15,5)+VLOOKUP(Inngang!$B$13,'2022 Korreksjoner'!$A$5:$AS$15,3)+VLOOKUP(Inngang!$B$13,'2022 Korreksjoner'!$A$5:$AS$15,12)+VLOOKUP(Inngang!$B$13,'2022 Korreksjoner'!$A$5:$AS$15,28)</f>
        <v>#N/A</v>
      </c>
      <c r="G31" s="5"/>
      <c r="H31" s="16" t="e">
        <f>IF(F34=G34,C31-F31,(C31-F31)-(G34-F34)*C31/C30)</f>
        <v>#N/A</v>
      </c>
      <c r="I31" s="105"/>
    </row>
    <row r="32" spans="2:9" x14ac:dyDescent="0.25">
      <c r="B32" s="32" t="s">
        <v>175</v>
      </c>
      <c r="C32" s="5" t="e">
        <f>VLOOKUP(Inngang!$B$13,'2022 Nto driftsutg eks avskriv'!$A$5:$T$15,5)*1000/VLOOKUP(Inngang!$B$13,'2022 Nto driftsutg'!$A$5:$W$15,23)</f>
        <v>#N/A</v>
      </c>
      <c r="D32" s="5" t="e">
        <f>+'2022 Nto driftsutg landet'!$C$6+VLOOKUP(Inngang!$B$13,'2022 Korreksjoner'!$A$5:$AS$15,6)+VLOOKUP(Inngang!$B$13,'2022 Korreksjoner'!$A$5:$AS$15,13)+VLOOKUP(Inngang!$B$13,'2022 Korreksjoner'!$A$5:$AS$15,29)</f>
        <v>#N/A</v>
      </c>
      <c r="E32" s="17" t="e">
        <f>+C32-D32</f>
        <v>#N/A</v>
      </c>
      <c r="F32" s="14" t="e">
        <f>+'2022 Nto driftsutg landet'!$C$6*VLOOKUP(Inngang!$B$13,'2022 Inntektsnivå'!$A$5:$C$15,3)+VLOOKUP(Inngang!$B$13,'2022 Korreksjoner'!$A$5:$AS$15,6)+VLOOKUP(Inngang!$B$13,'2022 Korreksjoner'!$A$5:$AS$15,13)+VLOOKUP(Inngang!$B$13,'2022 Korreksjoner'!$A$5:$AS$15,29)</f>
        <v>#N/A</v>
      </c>
      <c r="G32" s="5"/>
      <c r="H32" s="16" t="e">
        <f>IF(F34=G34,C32-F32,(C32-F32)-(G34-F34)*C32/C30)</f>
        <v>#N/A</v>
      </c>
      <c r="I32" s="105"/>
    </row>
    <row r="33" spans="2:9" x14ac:dyDescent="0.25">
      <c r="B33" s="32" t="s">
        <v>278</v>
      </c>
      <c r="C33" s="5" t="e">
        <f>VLOOKUP(Inngang!$B$13,'2022 Nto driftsutg eks avskriv'!$A$5:$T$15,6)*1000/VLOOKUP(Inngang!$B$13,'2022 Nto driftsutg'!$A$5:$W$15,23)</f>
        <v>#N/A</v>
      </c>
      <c r="D33" s="5" t="e">
        <f>+'2022 Nto driftsutg landet'!$C$7+VLOOKUP(Inngang!$B$13,'2022 Korreksjoner'!$A$5:$AS$15,7)+VLOOKUP(Inngang!$B$13,'2022 Korreksjoner'!$A$5:$AS$15,14)+VLOOKUP(Inngang!$B$13,'2022 Korreksjoner'!$A$5:$AS$15,30)</f>
        <v>#N/A</v>
      </c>
      <c r="E33" s="17" t="e">
        <f>+C33-D33</f>
        <v>#N/A</v>
      </c>
      <c r="F33" s="14" t="e">
        <f>+'2022 Nto driftsutg landet'!$C$7*VLOOKUP(Inngang!$B$13,'2022 Inntektsnivå'!$A$5:$C$15,3)+VLOOKUP(Inngang!$B$13,'2022 Korreksjoner'!$A$5:$AS$15,7)+VLOOKUP(Inngang!$B$13,'2022 Korreksjoner'!$A$5:$AS$15,14)+VLOOKUP(Inngang!$B$13,'2022 Korreksjoner'!$A$5:$AS$15,30)</f>
        <v>#N/A</v>
      </c>
      <c r="G33" s="5"/>
      <c r="H33" s="16" t="e">
        <f>IF(F34=G34,C33-F33,(C33-F33)-(G34-F34)*(C33+C34)/C30)</f>
        <v>#N/A</v>
      </c>
      <c r="I33" s="105"/>
    </row>
    <row r="34" spans="2:9" x14ac:dyDescent="0.25">
      <c r="B34" s="32" t="s">
        <v>279</v>
      </c>
      <c r="C34" s="5" t="e">
        <f>VLOOKUP(Inngang!$B$13,'2022 Nto driftsutg eks avskriv'!$A$5:$T$15,7)*1000/VLOOKUP(Inngang!$B$13,'2022 Nto driftsutg'!$A$5:$W$15,23)</f>
        <v>#N/A</v>
      </c>
      <c r="D34" s="5" t="e">
        <f>+'2022 Nto driftsutg landet'!$C$8+VLOOKUP(Inngang!$B$13,'2022 Korreksjoner'!$A$5:$AS$15,8)+VLOOKUP(Inngang!$B$13,'2022 Korreksjoner'!$A$5:$AS$15,15)+VLOOKUP(Inngang!$B$13,'2022 Korreksjoner'!$A$5:$AS$15,31)</f>
        <v>#N/A</v>
      </c>
      <c r="E34" s="17" t="e">
        <f>+C34-D34</f>
        <v>#N/A</v>
      </c>
      <c r="F34" s="14" t="e">
        <f>IF(AND(C34&gt;=0.5,D34&gt;0),IF(G34&lt;10,C34,G34),0)</f>
        <v>#N/A</v>
      </c>
      <c r="G34" s="5" t="e">
        <f>+'2022 Nto driftsutg landet'!$C$8*VLOOKUP(Inngang!$B$13,'2022 Inntektsnivå'!$A$5:$C$15,3)+VLOOKUP(Inngang!$B$13,'2022 Korreksjoner'!$A$5:$AS$15,8)+VLOOKUP(Inngang!$B$13,'2022 Korreksjoner'!$A$5:$AS$15,15)+VLOOKUP(Inngang!$B$13,'2022 Korreksjoner'!$A$5:$AS$15,31)</f>
        <v>#N/A</v>
      </c>
      <c r="H34" s="16" t="e">
        <f>+C34-F34</f>
        <v>#N/A</v>
      </c>
      <c r="I34" s="105"/>
    </row>
    <row r="35" spans="2:9" x14ac:dyDescent="0.25">
      <c r="B35" s="33" t="s">
        <v>176</v>
      </c>
      <c r="C35" s="22" t="e">
        <f>VLOOKUP(Inngang!$B$13,'2022 Nto driftsutg eks avskriv'!$A$5:$T$15,8)*1000/VLOOKUP(Inngang!$B$13,'2022 Nto driftsutg'!$A$5:$W$15,23)</f>
        <v>#N/A</v>
      </c>
      <c r="D35" s="22" t="e">
        <f>+'2022 Nto driftsutg landet'!$C$9+VLOOKUP(Inngang!$B$13,'2022 Korreksjoner'!$A$5:$AS$15,9)+VLOOKUP(Inngang!$B$13,'2022 Korreksjoner'!$A$5:$AS$15,16)+VLOOKUP(Inngang!$B$13,'2022 Korreksjoner'!$A$5:$AS$15,32)</f>
        <v>#N/A</v>
      </c>
      <c r="E35" s="40" t="e">
        <f t="shared" ref="E35:E39" si="4">+C35-D35</f>
        <v>#N/A</v>
      </c>
      <c r="F35" s="26" t="e">
        <f>+'2022 Nto driftsutg landet'!$C$9*VLOOKUP(Inngang!$B$13,'2022 Inntektsnivå'!$A$5:$C$15,3)+VLOOKUP(Inngang!$B$13,'2022 Korreksjoner'!$A$5:$AS$15,9)+VLOOKUP(Inngang!$B$13,'2022 Korreksjoner'!$A$5:$AS$15,16)+VLOOKUP(Inngang!$B$13,'2022 Korreksjoner'!$A$5:$AS$15,32)</f>
        <v>#N/A</v>
      </c>
      <c r="G35" s="22"/>
      <c r="H35" s="27" t="e">
        <f>IF(F34=G34,C35-F35,(C35-F35)-(G34-F34)*C35/C30)</f>
        <v>#N/A</v>
      </c>
      <c r="I35" s="105"/>
    </row>
    <row r="36" spans="2:9" x14ac:dyDescent="0.25">
      <c r="B36" s="32" t="s">
        <v>272</v>
      </c>
      <c r="C36" s="5" t="e">
        <f>VLOOKUP(Inngang!$B$13,'2022 Nto driftsutg eks avskriv'!$A$5:$T$15,9)*1000/VLOOKUP(Inngang!$B$13,'2022 Nto driftsutg'!$A$5:$W$15,23)</f>
        <v>#N/A</v>
      </c>
      <c r="D36" s="5" t="e">
        <f>'2022 Nto driftsutg landet'!$C$13+VLOOKUP(Inngang!$B$13,'2022 Korreksjoner'!$A$5:$AS$15,17)+VLOOKUP(Inngang!$B$13,'2022 Korreksjoner'!$A$5:$AS$15,33)+VLOOKUP(Inngang!$B$13,'2022 Korreksjoner'!$A$5:$AW$15,46)</f>
        <v>#N/A</v>
      </c>
      <c r="E36" s="17" t="e">
        <f t="shared" si="4"/>
        <v>#N/A</v>
      </c>
      <c r="F36" s="14" t="e">
        <f>+'2022 Nto driftsutg landet'!$C$13*VLOOKUP(Inngang!$B$13,'2022 Inntektsnivå'!$A$5:$C$15,3)+VLOOKUP(Inngang!$B$13,'2022 Korreksjoner'!$A$5:$AS$15,17)+VLOOKUP(Inngang!$B$13,'2022 Korreksjoner'!$A$5:$AS$15,33)+VLOOKUP(Inngang!$B$13,'2022 Korreksjoner'!$A$5:$AV$15,46)</f>
        <v>#N/A</v>
      </c>
      <c r="G36" s="5"/>
      <c r="H36" s="16" t="e">
        <f t="shared" ref="H36:H39" si="5">+C36-F36</f>
        <v>#N/A</v>
      </c>
    </row>
    <row r="37" spans="2:9" x14ac:dyDescent="0.25">
      <c r="B37" s="32" t="s">
        <v>27</v>
      </c>
      <c r="C37" s="5" t="e">
        <f>VLOOKUP(Inngang!$B$13,'2022 Nto driftsutg eks avskriv'!$A$5:$T$15,18)*1000/VLOOKUP(Inngang!$B$13,'2022 Nto driftsutg'!$A$5:$W$15,23)</f>
        <v>#N/A</v>
      </c>
      <c r="D37" s="5" t="e">
        <f>'2022 Nto driftsutg landet'!$C$14+VLOOKUP(Inngang!$B$13,'2022 Korreksjoner'!$A$5:$AX$15,44)</f>
        <v>#N/A</v>
      </c>
      <c r="E37" s="17" t="e">
        <f t="shared" si="4"/>
        <v>#N/A</v>
      </c>
      <c r="F37" s="14" t="e">
        <f>+'2022 Nto driftsutg landet'!$C$14*VLOOKUP(Inngang!$B$13,'2022 Inntektsnivå'!$A$5:$C$15,3)+VLOOKUP(Inngang!$B$13,'2022 Korreksjoner'!$A$5:$AX$15,44)</f>
        <v>#N/A</v>
      </c>
      <c r="G37" s="5"/>
      <c r="H37" s="16" t="e">
        <f t="shared" si="5"/>
        <v>#N/A</v>
      </c>
    </row>
    <row r="38" spans="2:9" x14ac:dyDescent="0.25">
      <c r="B38" s="32" t="s">
        <v>24</v>
      </c>
      <c r="C38" s="5" t="e">
        <f>VLOOKUP(Inngang!$B$13,'2022 Nto driftsutg eks avskriv'!$A$5:$T$15,19)*1000/VLOOKUP(Inngang!$B$13,'2022 Nto driftsutg'!$A$5:$W$15,23)</f>
        <v>#N/A</v>
      </c>
      <c r="D38" s="93">
        <f>'2022 Nto driftsutg landet'!$C$15</f>
        <v>717.38946531950285</v>
      </c>
      <c r="E38" s="94" t="e">
        <f t="shared" si="4"/>
        <v>#N/A</v>
      </c>
      <c r="F38" s="95" t="e">
        <f>+'2022 Nto driftsutg landet'!$C$15*VLOOKUP(Inngang!$B$13,'2022 Inntektsnivå'!$A$5:$C$15,3)</f>
        <v>#N/A</v>
      </c>
      <c r="G38" s="93"/>
      <c r="H38" s="96" t="e">
        <f t="shared" si="5"/>
        <v>#N/A</v>
      </c>
      <c r="I38" s="5"/>
    </row>
    <row r="39" spans="2:9" x14ac:dyDescent="0.25">
      <c r="B39" s="33" t="s">
        <v>25</v>
      </c>
      <c r="C39" s="22" t="e">
        <f>VLOOKUP(Inngang!$B$13,'2022 Nto driftsutg eks avskriv'!$A$5:$T$15,20)*1000/VLOOKUP(Inngang!$B$13,'2022 Nto driftsutg'!$A$5:$W$15,23)</f>
        <v>#N/A</v>
      </c>
      <c r="D39" s="97">
        <f>'2022 Nto driftsutg landet'!$C$16</f>
        <v>1310.4241625455463</v>
      </c>
      <c r="E39" s="98" t="e">
        <f t="shared" si="4"/>
        <v>#N/A</v>
      </c>
      <c r="F39" s="99" t="e">
        <f>+'2022 Nto driftsutg landet'!$C$16*VLOOKUP(Inngang!$B$13,'2022 Inntektsnivå'!$A$5:$C$15,3)</f>
        <v>#N/A</v>
      </c>
      <c r="G39" s="93"/>
      <c r="H39" s="96" t="e">
        <f t="shared" si="5"/>
        <v>#N/A</v>
      </c>
    </row>
    <row r="40" spans="2:9" x14ac:dyDescent="0.25">
      <c r="B40" s="28" t="s">
        <v>18</v>
      </c>
      <c r="C40" s="29" t="e">
        <f>SUM(C31:C39)</f>
        <v>#N/A</v>
      </c>
      <c r="D40" s="30" t="e">
        <f>SUM(D31:D39)</f>
        <v>#N/A</v>
      </c>
      <c r="E40" s="31" t="e">
        <f>SUM(E31:E39)</f>
        <v>#N/A</v>
      </c>
      <c r="F40" s="29" t="e">
        <f>SUM(F31:F39)</f>
        <v>#N/A</v>
      </c>
      <c r="G40" s="30"/>
      <c r="H40" s="34" t="e">
        <f>SUM(H31:H39)</f>
        <v>#N/A</v>
      </c>
    </row>
    <row r="41" spans="2:9" x14ac:dyDescent="0.25">
      <c r="C41" s="5"/>
    </row>
    <row r="42" spans="2:9" x14ac:dyDescent="0.25">
      <c r="I42" s="5"/>
    </row>
    <row r="43" spans="2:9" x14ac:dyDescent="0.25">
      <c r="B43" s="7" t="s">
        <v>36</v>
      </c>
      <c r="I43" s="5"/>
    </row>
    <row r="45" spans="2:9" ht="45" x14ac:dyDescent="0.25">
      <c r="B45" s="38"/>
      <c r="C45" s="20" t="s">
        <v>41</v>
      </c>
      <c r="D45" s="20" t="s">
        <v>45</v>
      </c>
      <c r="E45" s="19" t="s">
        <v>46</v>
      </c>
      <c r="F45" s="15" t="s">
        <v>47</v>
      </c>
      <c r="G45" s="20"/>
      <c r="H45" s="18" t="s">
        <v>48</v>
      </c>
    </row>
    <row r="46" spans="2:9" x14ac:dyDescent="0.25">
      <c r="B46" s="39"/>
      <c r="C46" s="35" t="s">
        <v>40</v>
      </c>
      <c r="D46" s="35" t="s">
        <v>42</v>
      </c>
      <c r="E46" s="36" t="s">
        <v>40</v>
      </c>
      <c r="F46" s="41" t="s">
        <v>40</v>
      </c>
      <c r="G46" s="35"/>
      <c r="H46" s="37" t="s">
        <v>40</v>
      </c>
    </row>
    <row r="47" spans="2:9" x14ac:dyDescent="0.25">
      <c r="B47" s="83" t="s">
        <v>137</v>
      </c>
      <c r="C47" s="84" t="e">
        <f>SUM(C48:C53)</f>
        <v>#N/A</v>
      </c>
      <c r="D47" s="84" t="e">
        <f>SUM(D48:D53)</f>
        <v>#N/A</v>
      </c>
      <c r="E47" s="88" t="e">
        <f>SUM(E48:E53)</f>
        <v>#N/A</v>
      </c>
      <c r="F47" s="89" t="e">
        <f>SUM(F48:F53)</f>
        <v>#N/A</v>
      </c>
      <c r="G47" s="84"/>
      <c r="H47" s="90" t="e">
        <f>SUM(H48:H53)</f>
        <v>#N/A</v>
      </c>
    </row>
    <row r="48" spans="2:9" x14ac:dyDescent="0.25">
      <c r="B48" s="32" t="s">
        <v>4</v>
      </c>
      <c r="C48" s="5" t="e">
        <f>VLOOKUP(Inngang!$B$13,'2022 Nto driftsutg eks avskriv'!$A$5:$T$15,11)*1000/VLOOKUP(Inngang!$B$13,'2022 Nto driftsutg'!$A$5:$W$15,23)</f>
        <v>#N/A</v>
      </c>
      <c r="D48" s="5" t="e">
        <f>'2022 Nto driftsutg eks avskriv'!K$17*1000/'2022 Nto driftsutg'!$W$17+VLOOKUP(Inngang!$B$13,'2022 Korreksjoner'!$A$5:$AS$15,19)+VLOOKUP(Inngang!$B$13,'2022 Korreksjoner'!$A$5:$AS$15,35)</f>
        <v>#N/A</v>
      </c>
      <c r="E48" s="17" t="e">
        <f t="shared" ref="E48:E53" si="6">+C48-D48</f>
        <v>#N/A</v>
      </c>
      <c r="F48" s="14" t="e">
        <f>+'2022 Nto driftsutg landet'!$C$23*VLOOKUP(Inngang!$B$13,'2022 Inntektsnivå'!$A$5:$C$15,3)+VLOOKUP(Inngang!$B$13,'2022 Korreksjoner'!$A$5:$AS$15,19)+VLOOKUP(Inngang!$B$13,'2022 Korreksjoner'!$A$5:$AS$15,35)</f>
        <v>#N/A</v>
      </c>
      <c r="G48" s="5"/>
      <c r="H48" s="16" t="e">
        <f t="shared" ref="H48:H53" si="7">+C48-F48</f>
        <v>#N/A</v>
      </c>
    </row>
    <row r="49" spans="2:9" x14ac:dyDescent="0.25">
      <c r="B49" s="32" t="s">
        <v>271</v>
      </c>
      <c r="C49" s="5" t="e">
        <f>VLOOKUP(Inngang!$B$13,'2022 Nto driftsutg eks avskriv'!$A$5:$T$15,12)*1000/VLOOKUP(Inngang!$B$13,'2022 Nto driftsutg'!$A$5:$W$15,23)</f>
        <v>#N/A</v>
      </c>
      <c r="D49" s="5" t="e">
        <f>'2022 Nto driftsutg eks avskriv'!L$17*1000/'2022 Nto driftsutg'!$W$17+VLOOKUP(Inngang!$B$13,'2022 Korreksjoner'!$A$5:$AS$15,20)+VLOOKUP(Inngang!$B$13,'2022 Korreksjoner'!$A$5:$AS$15,36)</f>
        <v>#N/A</v>
      </c>
      <c r="E49" s="17" t="e">
        <f t="shared" si="6"/>
        <v>#N/A</v>
      </c>
      <c r="F49" s="14" t="e">
        <f>+'2022 Nto driftsutg landet'!$C$24*VLOOKUP(Inngang!$B$13,'2022 Inntektsnivå'!$A$5:$C$15,3)+VLOOKUP(Inngang!$B$13,'2022 Korreksjoner'!$A$5:$AS$15,20)+VLOOKUP(Inngang!$B$13,'2022 Korreksjoner'!$A$5:$AS$15,36)</f>
        <v>#N/A</v>
      </c>
      <c r="G49" s="5"/>
      <c r="H49" s="16" t="e">
        <f t="shared" si="7"/>
        <v>#N/A</v>
      </c>
    </row>
    <row r="50" spans="2:9" x14ac:dyDescent="0.25">
      <c r="B50" s="32" t="s">
        <v>37</v>
      </c>
      <c r="C50" s="5" t="e">
        <f>VLOOKUP(Inngang!$B$13,'2022 Nto driftsutg eks avskriv'!$A$5:$T$15,13)*1000/VLOOKUP(Inngang!$B$13,'2022 Nto driftsutg'!$A$5:$W$15,23)</f>
        <v>#N/A</v>
      </c>
      <c r="D50" s="5" t="e">
        <f>'2022 Nto driftsutg eks avskriv'!M$17*1000/'2022 Nto driftsutg'!$W$17+VLOOKUP(Inngang!$B$13,'2022 Korreksjoner'!$A$5:$AS$15,21)+VLOOKUP(Inngang!$B$13,'2022 Korreksjoner'!$A$5:$AS$15,37)</f>
        <v>#N/A</v>
      </c>
      <c r="E50" s="17" t="e">
        <f t="shared" si="6"/>
        <v>#N/A</v>
      </c>
      <c r="F50" s="14" t="e">
        <f>+'2022 Nto driftsutg landet'!$C$25*VLOOKUP(Inngang!$B$13,'2022 Inntektsnivå'!$A$5:$C$15,3)+VLOOKUP(Inngang!$B$13,'2022 Korreksjoner'!$A$5:$AS$15,21)+VLOOKUP(Inngang!$B$13,'2022 Korreksjoner'!$A$5:$AS$15,37)</f>
        <v>#N/A</v>
      </c>
      <c r="G50" s="5"/>
      <c r="H50" s="16" t="e">
        <f t="shared" si="7"/>
        <v>#N/A</v>
      </c>
    </row>
    <row r="51" spans="2:9" x14ac:dyDescent="0.25">
      <c r="B51" s="32" t="s">
        <v>178</v>
      </c>
      <c r="C51" s="5" t="e">
        <f>VLOOKUP(Inngang!$B$13,'2022 Nto driftsutg eks avskriv'!$A$5:$T$15,14)*1000/VLOOKUP(Inngang!$B$13,'2022 Nto driftsutg'!$A$5:$W$15,23)</f>
        <v>#N/A</v>
      </c>
      <c r="D51" s="5" t="e">
        <f>'2022 Nto driftsutg eks avskriv'!N$17*1000/'2022 Nto driftsutg'!$W$17+VLOOKUP(Inngang!$B$13,'2022 Korreksjoner'!$A$5:$AS$15,22)+VLOOKUP(Inngang!$B$13,'2022 Korreksjoner'!$A$5:$AS$15,38)</f>
        <v>#N/A</v>
      </c>
      <c r="E51" s="17" t="e">
        <f t="shared" si="6"/>
        <v>#N/A</v>
      </c>
      <c r="F51" s="14" t="e">
        <f>+'2022 Nto driftsutg landet'!$C$26*VLOOKUP(Inngang!$B$13,'2022 Inntektsnivå'!$A$5:$C$15,3)+VLOOKUP(Inngang!$B$13,'2022 Korreksjoner'!$A$5:$AS$15,22)+VLOOKUP(Inngang!$B$13,'2022 Korreksjoner'!$A$5:$AS$15,38)</f>
        <v>#N/A</v>
      </c>
      <c r="G51" s="5"/>
      <c r="H51" s="16" t="e">
        <f t="shared" si="7"/>
        <v>#N/A</v>
      </c>
    </row>
    <row r="52" spans="2:9" x14ac:dyDescent="0.25">
      <c r="B52" s="32" t="s">
        <v>138</v>
      </c>
      <c r="C52" s="5" t="e">
        <f>VLOOKUP(Inngang!$B$13,'2022 Nto driftsutg eks avskriv'!$A$5:$T$15,15)*1000/VLOOKUP(Inngang!$B$13,'2022 Nto driftsutg'!$A$5:$W$15,23)</f>
        <v>#N/A</v>
      </c>
      <c r="D52" s="5" t="e">
        <f>'2022 Nto driftsutg eks avskriv'!O17*1000/'2022 Nto driftsutg'!$W$17+VLOOKUP(Inngang!$B$13,'2022 Korreksjoner'!$A$5:$AS$15,23)+VLOOKUP(Inngang!$B$13,'2022 Korreksjoner'!$A$5:$AS$15,39)</f>
        <v>#N/A</v>
      </c>
      <c r="E52" s="17" t="e">
        <f t="shared" si="6"/>
        <v>#N/A</v>
      </c>
      <c r="F52" s="14" t="e">
        <f>'2022 Nto driftsutg landet'!$C$27*VLOOKUP(Inngang!$B$13,'2022 Inntektsnivå'!$A$5:$C$15,3)+VLOOKUP(Inngang!$B$13,'2022 Korreksjoner'!$A$5:$AS$15,23)+VLOOKUP(Inngang!$B$13,'2022 Korreksjoner'!$A$5:$AS$15,39)</f>
        <v>#N/A</v>
      </c>
      <c r="G52" s="5"/>
      <c r="H52" s="16" t="e">
        <f t="shared" si="7"/>
        <v>#N/A</v>
      </c>
    </row>
    <row r="53" spans="2:9" x14ac:dyDescent="0.25">
      <c r="B53" s="61" t="s">
        <v>129</v>
      </c>
      <c r="C53" s="22" t="e">
        <f>VLOOKUP(Inngang!$B$13,'2022 Nto driftsutg eks avskriv'!$A$5:$T$15,16)*1000/VLOOKUP(Inngang!$B$13,'2022 Nto driftsutg'!$A$5:$W$15,23)</f>
        <v>#N/A</v>
      </c>
      <c r="D53" s="22" t="e">
        <f>'2022 Nto driftsutg eks avskriv'!P17*1000/'2022 Nto driftsutg'!$W$17+VLOOKUP(Inngang!$B$13,'2022 Korreksjoner'!$A$5:$AS$15,24)+VLOOKUP(Inngang!$B$13,'2022 Korreksjoner'!$A$5:$AS$15,40)</f>
        <v>#N/A</v>
      </c>
      <c r="E53" s="40" t="e">
        <f t="shared" si="6"/>
        <v>#N/A</v>
      </c>
      <c r="F53" s="26" t="e">
        <f>'2022 Nto driftsutg landet'!$C$28*VLOOKUP(Inngang!$B$13,'2022 Inntektsnivå'!$A$5:$C$15,3)+VLOOKUP(Inngang!$B$13,'2022 Korreksjoner'!$A$5:$AS$15,24)+VLOOKUP(Inngang!$B$13,'2022 Korreksjoner'!$A$5:$AS$15,40)</f>
        <v>#N/A</v>
      </c>
      <c r="G53" s="22"/>
      <c r="H53" s="27" t="e">
        <f t="shared" si="7"/>
        <v>#N/A</v>
      </c>
    </row>
    <row r="54" spans="2:9" x14ac:dyDescent="0.25">
      <c r="B54" s="28" t="s">
        <v>137</v>
      </c>
      <c r="C54" s="30" t="e">
        <f>SUM(C48:C53)</f>
        <v>#N/A</v>
      </c>
      <c r="D54" s="30" t="e">
        <f>SUM(D48:D53)</f>
        <v>#N/A</v>
      </c>
      <c r="E54" s="31" t="e">
        <f>SUM(E48:E53)</f>
        <v>#N/A</v>
      </c>
      <c r="F54" s="29" t="e">
        <f>SUM(F48:F53)</f>
        <v>#N/A</v>
      </c>
      <c r="G54" s="30"/>
      <c r="H54" s="34" t="e">
        <f>SUM(H48:H53)</f>
        <v>#N/A</v>
      </c>
      <c r="I54" s="5"/>
    </row>
    <row r="55" spans="2:9" x14ac:dyDescent="0.25">
      <c r="I55" s="5"/>
    </row>
    <row r="56" spans="2:9" x14ac:dyDescent="0.25">
      <c r="I56" s="5"/>
    </row>
    <row r="57" spans="2:9" x14ac:dyDescent="0.25">
      <c r="I57" s="5"/>
    </row>
    <row r="58" spans="2:9" x14ac:dyDescent="0.25">
      <c r="B58" s="38" t="s">
        <v>128</v>
      </c>
      <c r="C58" s="20" t="s">
        <v>274</v>
      </c>
      <c r="D58" s="67" t="s">
        <v>3</v>
      </c>
      <c r="I58" s="5"/>
    </row>
    <row r="59" spans="2:9" x14ac:dyDescent="0.25">
      <c r="B59" s="62" t="s">
        <v>174</v>
      </c>
      <c r="C59" s="70" t="e">
        <f>VLOOKUP(Inngang!$B$13,'2022 Revekting utgiftsbehov'!$A$5:$I$15,4)</f>
        <v>#N/A</v>
      </c>
      <c r="D59" s="68">
        <v>1</v>
      </c>
      <c r="I59" s="5"/>
    </row>
    <row r="60" spans="2:9" x14ac:dyDescent="0.25">
      <c r="B60" s="62" t="s">
        <v>175</v>
      </c>
      <c r="C60" s="70" t="e">
        <f>VLOOKUP(Inngang!$B$13,'2022 Revekting utgiftsbehov'!$A$5:$I$15,5)</f>
        <v>#N/A</v>
      </c>
      <c r="D60" s="68">
        <v>1</v>
      </c>
      <c r="I60" s="5"/>
    </row>
    <row r="61" spans="2:9" x14ac:dyDescent="0.25">
      <c r="B61" s="32" t="s">
        <v>278</v>
      </c>
      <c r="C61" s="70" t="e">
        <f>VLOOKUP(Inngang!$B$13,'2022 Revekting utgiftsbehov'!$A$5:$I$15,6)</f>
        <v>#N/A</v>
      </c>
      <c r="D61" s="68">
        <v>1</v>
      </c>
      <c r="I61" s="5"/>
    </row>
    <row r="62" spans="2:9" x14ac:dyDescent="0.25">
      <c r="B62" s="32" t="s">
        <v>279</v>
      </c>
      <c r="C62" s="70" t="e">
        <f>VLOOKUP(Inngang!$B$13,'2022 Revekting utgiftsbehov'!$A$5:$I$15,7)</f>
        <v>#N/A</v>
      </c>
      <c r="D62" s="68">
        <v>1</v>
      </c>
      <c r="I62" s="5"/>
    </row>
    <row r="63" spans="2:9" x14ac:dyDescent="0.25">
      <c r="B63" s="63" t="s">
        <v>176</v>
      </c>
      <c r="C63" s="71" t="e">
        <f>VLOOKUP(Inngang!$B$13,'2022 Revekting utgiftsbehov'!$A$5:$I$15,8)</f>
        <v>#N/A</v>
      </c>
      <c r="D63" s="69">
        <v>1</v>
      </c>
      <c r="I63" s="5"/>
    </row>
    <row r="64" spans="2:9" x14ac:dyDescent="0.25">
      <c r="B64" s="80" t="s">
        <v>133</v>
      </c>
      <c r="C64" s="81" t="e">
        <f>+VLOOKUP(Inngang!$B$13,'2022 Revekting utgiftsbehov'!$A$5:$I$15,9)</f>
        <v>#N/A</v>
      </c>
      <c r="D64" s="82">
        <v>1</v>
      </c>
      <c r="I64" s="5"/>
    </row>
    <row r="65" spans="2:9" x14ac:dyDescent="0.25">
      <c r="I65" s="5"/>
    </row>
    <row r="66" spans="2:9" x14ac:dyDescent="0.25">
      <c r="I66" s="5"/>
    </row>
    <row r="67" spans="2:9" x14ac:dyDescent="0.25">
      <c r="I67" s="5"/>
    </row>
    <row r="68" spans="2:9" ht="30" x14ac:dyDescent="0.25">
      <c r="B68" s="73" t="s">
        <v>130</v>
      </c>
      <c r="C68" s="76" t="s">
        <v>275</v>
      </c>
      <c r="D68" s="76" t="s">
        <v>276</v>
      </c>
    </row>
    <row r="69" spans="2:9" x14ac:dyDescent="0.25">
      <c r="B69" s="32" t="s">
        <v>139</v>
      </c>
      <c r="C69" s="74" t="e">
        <f>SUM(C70:C78)</f>
        <v>#N/A</v>
      </c>
    </row>
    <row r="70" spans="2:9" x14ac:dyDescent="0.25">
      <c r="B70" s="32" t="s">
        <v>174</v>
      </c>
      <c r="C70" s="74" t="e">
        <f>+C31-'2022 Nto driftsutg landet'!$C5</f>
        <v>#N/A</v>
      </c>
    </row>
    <row r="71" spans="2:9" x14ac:dyDescent="0.25">
      <c r="B71" s="32" t="s">
        <v>175</v>
      </c>
      <c r="C71" s="74" t="e">
        <f>+C32-'2022 Nto driftsutg landet'!$C6</f>
        <v>#N/A</v>
      </c>
    </row>
    <row r="72" spans="2:9" x14ac:dyDescent="0.25">
      <c r="B72" s="32" t="s">
        <v>278</v>
      </c>
      <c r="C72" s="74" t="e">
        <f>+C33-'2022 Nto driftsutg landet'!$C7</f>
        <v>#N/A</v>
      </c>
    </row>
    <row r="73" spans="2:9" x14ac:dyDescent="0.25">
      <c r="B73" s="32" t="s">
        <v>279</v>
      </c>
      <c r="C73" s="74" t="e">
        <f>+C34-'2022 Nto driftsutg landet'!$C8</f>
        <v>#N/A</v>
      </c>
    </row>
    <row r="74" spans="2:9" x14ac:dyDescent="0.25">
      <c r="B74" s="32" t="s">
        <v>176</v>
      </c>
      <c r="C74" s="74" t="e">
        <f>+C35-'2022 Nto driftsutg landet'!$C9</f>
        <v>#N/A</v>
      </c>
    </row>
    <row r="75" spans="2:9" x14ac:dyDescent="0.25">
      <c r="B75" s="32" t="s">
        <v>127</v>
      </c>
      <c r="C75" s="74" t="e">
        <f>+C36-'2022 Nto driftsutg landet'!$C13</f>
        <v>#N/A</v>
      </c>
    </row>
    <row r="76" spans="2:9" x14ac:dyDescent="0.25">
      <c r="B76" s="32" t="s">
        <v>27</v>
      </c>
      <c r="C76" s="74" t="e">
        <f>+C37-'2022 Nto driftsutg landet'!$C14</f>
        <v>#N/A</v>
      </c>
    </row>
    <row r="77" spans="2:9" x14ac:dyDescent="0.25">
      <c r="B77" s="32" t="s">
        <v>24</v>
      </c>
      <c r="C77" s="74" t="e">
        <f>+C38-'2022 Nto driftsutg landet'!$C15</f>
        <v>#N/A</v>
      </c>
    </row>
    <row r="78" spans="2:9" x14ac:dyDescent="0.25">
      <c r="B78" s="33" t="s">
        <v>25</v>
      </c>
      <c r="C78" s="75" t="e">
        <f>+C39-'2022 Nto driftsutg landet'!$C16</f>
        <v>#N/A</v>
      </c>
    </row>
    <row r="80" spans="2:9" x14ac:dyDescent="0.25">
      <c r="E80" s="5"/>
    </row>
  </sheetData>
  <sheetProtection algorithmName="SHA-512" hashValue="cNt25rmdkEDeouL3CS9eRNBMi82YHSuMXbxqYcfRyrIgoJtK4/NTY7mqiTp2YiYcgh8UFOuofUVmePopqVzBmw==" saltValue="eaIef/27ZK/Z+rEbh/gqPw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4F1B-4AE6-4D78-B393-5A5FB4560E90}">
  <dimension ref="A2:AW22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5" x14ac:dyDescent="0.25"/>
  <cols>
    <col min="1" max="1" width="9.85546875" customWidth="1"/>
    <col min="2" max="2" width="18.5703125" customWidth="1"/>
    <col min="3" max="3" width="14.5703125" customWidth="1"/>
    <col min="4" max="4" width="4" customWidth="1"/>
    <col min="5" max="9" width="13.140625" customWidth="1"/>
    <col min="10" max="10" width="14.5703125" customWidth="1"/>
    <col min="11" max="11" width="3.5703125" customWidth="1"/>
    <col min="17" max="17" width="14.5703125" customWidth="1"/>
    <col min="26" max="26" width="14.5703125" customWidth="1"/>
    <col min="27" max="27" width="4.85546875" customWidth="1"/>
    <col min="33" max="33" width="14.5703125" customWidth="1"/>
    <col min="42" max="42" width="14.5703125" customWidth="1"/>
    <col min="43" max="43" width="5.42578125" customWidth="1"/>
    <col min="44" max="44" width="14.5703125" customWidth="1"/>
    <col min="45" max="45" width="6" customWidth="1"/>
    <col min="46" max="46" width="14.5703125" customWidth="1"/>
    <col min="47" max="47" width="6" customWidth="1"/>
    <col min="48" max="48" width="14.5703125" customWidth="1"/>
    <col min="49" max="49" width="16.42578125" customWidth="1"/>
  </cols>
  <sheetData>
    <row r="2" spans="1:49" ht="104.25" customHeight="1" x14ac:dyDescent="0.25">
      <c r="A2" s="24" t="s">
        <v>2</v>
      </c>
      <c r="B2" s="24" t="s">
        <v>1</v>
      </c>
      <c r="C2" s="13" t="s">
        <v>17</v>
      </c>
      <c r="D2" s="24"/>
      <c r="E2" s="24" t="s">
        <v>179</v>
      </c>
      <c r="F2" s="24" t="s">
        <v>180</v>
      </c>
      <c r="G2" s="24" t="s">
        <v>280</v>
      </c>
      <c r="H2" s="24" t="s">
        <v>281</v>
      </c>
      <c r="I2" s="24" t="s">
        <v>181</v>
      </c>
      <c r="J2" s="13" t="s">
        <v>90</v>
      </c>
      <c r="K2" s="24"/>
      <c r="L2" s="24" t="s">
        <v>182</v>
      </c>
      <c r="M2" s="24" t="s">
        <v>183</v>
      </c>
      <c r="N2" s="24" t="s">
        <v>282</v>
      </c>
      <c r="O2" s="24" t="s">
        <v>283</v>
      </c>
      <c r="P2" s="24" t="s">
        <v>184</v>
      </c>
      <c r="Q2" s="47" t="s">
        <v>83</v>
      </c>
      <c r="R2" s="24" t="s">
        <v>85</v>
      </c>
      <c r="S2" s="24" t="s">
        <v>185</v>
      </c>
      <c r="T2" s="24" t="s">
        <v>186</v>
      </c>
      <c r="U2" s="24" t="s">
        <v>86</v>
      </c>
      <c r="V2" s="24" t="s">
        <v>187</v>
      </c>
      <c r="W2" s="24" t="s">
        <v>87</v>
      </c>
      <c r="X2" s="24" t="s">
        <v>88</v>
      </c>
      <c r="Y2" s="24"/>
      <c r="Z2" s="13" t="s">
        <v>91</v>
      </c>
      <c r="AA2" s="24"/>
      <c r="AB2" s="24" t="s">
        <v>188</v>
      </c>
      <c r="AC2" s="24" t="s">
        <v>189</v>
      </c>
      <c r="AD2" s="24" t="s">
        <v>284</v>
      </c>
      <c r="AE2" s="24" t="s">
        <v>285</v>
      </c>
      <c r="AF2" s="24" t="s">
        <v>190</v>
      </c>
      <c r="AG2" s="47" t="s">
        <v>100</v>
      </c>
      <c r="AH2" s="24"/>
      <c r="AI2" s="24" t="s">
        <v>191</v>
      </c>
      <c r="AJ2" s="24" t="s">
        <v>192</v>
      </c>
      <c r="AK2" s="24" t="s">
        <v>101</v>
      </c>
      <c r="AL2" s="24" t="s">
        <v>193</v>
      </c>
      <c r="AM2" s="24" t="s">
        <v>102</v>
      </c>
      <c r="AN2" s="24" t="s">
        <v>103</v>
      </c>
      <c r="AO2" s="24"/>
      <c r="AP2" s="13" t="s">
        <v>104</v>
      </c>
      <c r="AQ2" s="52"/>
      <c r="AR2" s="13" t="s">
        <v>121</v>
      </c>
      <c r="AS2" s="52"/>
      <c r="AT2" s="13"/>
      <c r="AU2" s="52"/>
      <c r="AV2" s="13" t="s">
        <v>105</v>
      </c>
    </row>
    <row r="3" spans="1:49" x14ac:dyDescent="0.25">
      <c r="A3" s="107">
        <v>1</v>
      </c>
      <c r="B3" s="107">
        <f t="shared" ref="B3:AV3" si="0">+A3+1</f>
        <v>2</v>
      </c>
      <c r="C3" s="12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07">
        <f t="shared" si="0"/>
        <v>9</v>
      </c>
      <c r="J3" s="12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48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2">
        <f t="shared" si="0"/>
        <v>26</v>
      </c>
      <c r="AA3" s="107">
        <f t="shared" si="0"/>
        <v>27</v>
      </c>
      <c r="AB3" s="107">
        <f t="shared" si="0"/>
        <v>28</v>
      </c>
      <c r="AC3" s="107">
        <f t="shared" si="0"/>
        <v>29</v>
      </c>
      <c r="AD3" s="107">
        <f t="shared" si="0"/>
        <v>30</v>
      </c>
      <c r="AE3" s="107">
        <f t="shared" si="0"/>
        <v>31</v>
      </c>
      <c r="AF3" s="107">
        <f t="shared" si="0"/>
        <v>32</v>
      </c>
      <c r="AG3" s="48">
        <f t="shared" si="0"/>
        <v>33</v>
      </c>
      <c r="AH3" s="107">
        <f t="shared" si="0"/>
        <v>34</v>
      </c>
      <c r="AI3" s="107">
        <f t="shared" si="0"/>
        <v>35</v>
      </c>
      <c r="AJ3" s="107">
        <f t="shared" si="0"/>
        <v>36</v>
      </c>
      <c r="AK3" s="107">
        <f t="shared" si="0"/>
        <v>37</v>
      </c>
      <c r="AL3" s="107">
        <f t="shared" si="0"/>
        <v>38</v>
      </c>
      <c r="AM3" s="107">
        <f t="shared" si="0"/>
        <v>39</v>
      </c>
      <c r="AN3" s="107">
        <f t="shared" si="0"/>
        <v>40</v>
      </c>
      <c r="AO3" s="107">
        <f t="shared" si="0"/>
        <v>41</v>
      </c>
      <c r="AP3" s="12">
        <f t="shared" si="0"/>
        <v>42</v>
      </c>
      <c r="AQ3" s="53">
        <f t="shared" si="0"/>
        <v>43</v>
      </c>
      <c r="AR3" s="12">
        <f t="shared" si="0"/>
        <v>44</v>
      </c>
      <c r="AS3" s="53">
        <f t="shared" si="0"/>
        <v>45</v>
      </c>
      <c r="AT3" s="12">
        <f t="shared" si="0"/>
        <v>46</v>
      </c>
      <c r="AU3" s="53">
        <f t="shared" si="0"/>
        <v>47</v>
      </c>
      <c r="AV3" s="12">
        <f t="shared" si="0"/>
        <v>48</v>
      </c>
    </row>
    <row r="4" spans="1:49" x14ac:dyDescent="0.25">
      <c r="C4" s="21"/>
      <c r="J4" s="21"/>
      <c r="Q4" s="49"/>
      <c r="Z4" s="21"/>
      <c r="AG4" s="49"/>
      <c r="AP4" s="21"/>
      <c r="AR4" s="21"/>
      <c r="AT4" s="21"/>
      <c r="AV4" s="21"/>
    </row>
    <row r="5" spans="1:49" x14ac:dyDescent="0.25">
      <c r="A5" s="43">
        <v>300</v>
      </c>
      <c r="B5" s="44" t="s">
        <v>0</v>
      </c>
      <c r="C5" s="11">
        <f>+'2022 Grunnlag korreksjoner'!C5*1000/'2022 Nto driftsutg'!W5</f>
        <v>-78.023633716561378</v>
      </c>
      <c r="D5" s="1"/>
      <c r="E5" s="1">
        <f>+'2022 Nto driftsutg landet'!$C$5*'2022 Revekting utgiftsbehov'!Z5-'2022 Nto driftsutg landet'!$C$5</f>
        <v>-1868.6332413223945</v>
      </c>
      <c r="F5" s="1">
        <f>+'2022 Nto driftsutg landet'!$C$6*'2022 Revekting utgiftsbehov'!AA5-'2022 Nto driftsutg landet'!$C$6</f>
        <v>-1320.0721635140515</v>
      </c>
      <c r="G5" s="1">
        <f>+'2022 Nto driftsutg landet'!$C$7*'2022 Revekting utgiftsbehov'!AB5-'2022 Nto driftsutg landet'!$C$7</f>
        <v>1863.4960765737887</v>
      </c>
      <c r="H5" s="1">
        <f>+'2022 Nto driftsutg landet'!$C$8*'2022 Revekting utgiftsbehov'!AC5-'2022 Nto driftsutg landet'!$C$8</f>
        <v>-932.12030524140278</v>
      </c>
      <c r="I5" s="1">
        <f>+'2022 Nto driftsutg landet'!$C$9*'2022 Revekting utgiftsbehov'!AD5-'2022 Nto driftsutg landet'!$C$9</f>
        <v>-66.603460800484811</v>
      </c>
      <c r="J5" s="11">
        <f t="shared" ref="J5:J15" si="1">SUM(E5:I5)</f>
        <v>-2323.9330943045452</v>
      </c>
      <c r="L5" s="1">
        <f>'2022 Korr med revekting arbavg'!I5</f>
        <v>40.035394696705019</v>
      </c>
      <c r="M5" s="1">
        <f>'2022 Korr med revekting arbavg'!P5</f>
        <v>0</v>
      </c>
      <c r="N5" s="1">
        <f>'2022 Korr med revekting arbavg'!W5</f>
        <v>0.36668194843930335</v>
      </c>
      <c r="O5" s="1">
        <f>'2022 Korr med revekting arbavg'!AD5</f>
        <v>0</v>
      </c>
      <c r="P5" s="1">
        <f>'2022 Korr med revekting arbavg'!AK5</f>
        <v>2.9807491008090752</v>
      </c>
      <c r="Q5" s="50">
        <f t="shared" ref="Q5:Q15" si="2">SUM(R5:Y5)</f>
        <v>25.500932037394897</v>
      </c>
      <c r="R5" s="1"/>
      <c r="S5" s="1">
        <f>'2022 Korr med revekting arbavg'!AR5</f>
        <v>25.360387487953385</v>
      </c>
      <c r="T5" s="1">
        <f>'2022 Korr med revekting arbavg'!AY5</f>
        <v>0</v>
      </c>
      <c r="U5" s="1">
        <f>'2022 Korr med revekting arbavg'!BF5</f>
        <v>-2.5737700242690887E-2</v>
      </c>
      <c r="V5" s="1">
        <f>'2022 Korr med revekting arbavg'!BM5</f>
        <v>0.16628224968420138</v>
      </c>
      <c r="W5" s="1">
        <f>'2022 Korr med revekting arbavg'!BT5</f>
        <v>0</v>
      </c>
      <c r="X5" s="1">
        <f>'2022 Korr med revekting arbavg'!CA5</f>
        <v>0</v>
      </c>
      <c r="Y5" s="1"/>
      <c r="Z5" s="11">
        <f t="shared" ref="Z5:Z15" si="3">SUM(L5:P5)+Q5</f>
        <v>68.883757783348301</v>
      </c>
      <c r="AB5" s="1">
        <f>+'2022 Korr med revekting pensjon'!I5</f>
        <v>72.969050198747681</v>
      </c>
      <c r="AC5" s="1">
        <f>+'2022 Korr med revekting pensjon'!P5</f>
        <v>0</v>
      </c>
      <c r="AD5" s="1">
        <f>+'2022 Korr med revekting pensjon'!W5</f>
        <v>3.5247107746274384</v>
      </c>
      <c r="AE5" s="1">
        <f>+'2022 Korr med revekting pensjon'!AD5</f>
        <v>0</v>
      </c>
      <c r="AF5" s="1">
        <f>+'2022 Korr med revekting pensjon'!AK5</f>
        <v>45.914369074344172</v>
      </c>
      <c r="AG5" s="50">
        <f t="shared" ref="AG5:AG15" si="4">SUM(AH5:AO5)</f>
        <v>30.310753790421977</v>
      </c>
      <c r="AH5" s="1"/>
      <c r="AI5" s="1">
        <f>+'2022 Korr med revekting pensjon'!AR5</f>
        <v>26.547104988572375</v>
      </c>
      <c r="AJ5" s="1">
        <f>+'2022 Korr med revekting pensjon'!AY5</f>
        <v>0</v>
      </c>
      <c r="AK5" s="1">
        <f>+'2022 Korr med revekting pensjon'!BF5</f>
        <v>-0.32740047431171604</v>
      </c>
      <c r="AL5" s="1">
        <f>+'2022 Korr med revekting pensjon'!BM5</f>
        <v>4.0910492761613169</v>
      </c>
      <c r="AM5" s="1">
        <f>+'2022 Korr med revekting pensjon'!BT5</f>
        <v>0</v>
      </c>
      <c r="AN5" s="1">
        <f>+'2022 Korr med revekting pensjon'!CA5</f>
        <v>0</v>
      </c>
      <c r="AO5" s="1"/>
      <c r="AP5" s="11">
        <f t="shared" ref="AP5:AP15" si="5">SUM(AB5:AF5)+AG5</f>
        <v>152.71888383814127</v>
      </c>
      <c r="AQ5" s="1"/>
      <c r="AR5" s="11">
        <f>+'2022 Korr med revekt premieavv'!J5</f>
        <v>-574.25786035378133</v>
      </c>
      <c r="AT5" s="11"/>
      <c r="AV5" s="11">
        <f t="shared" ref="AV5:AV15" si="6">+C5+J5+Z5+AP5+AR5+AT5</f>
        <v>-2754.6119467533986</v>
      </c>
      <c r="AW5" s="1">
        <f>+AV5*'2022 Nto driftsutg'!W5</f>
        <v>-1927751814.8605907</v>
      </c>
    </row>
    <row r="6" spans="1:49" x14ac:dyDescent="0.25">
      <c r="A6" s="43">
        <v>1100</v>
      </c>
      <c r="B6" s="44" t="s">
        <v>141</v>
      </c>
      <c r="C6" s="11">
        <f>+'2022 Grunnlag korreksjoner'!C6*1000/'2022 Nto driftsutg'!W6</f>
        <v>-107.97156682752261</v>
      </c>
      <c r="D6" s="1"/>
      <c r="E6" s="1">
        <f>+'2022 Nto driftsutg landet'!$C$5*'2022 Revekting utgiftsbehov'!Z6-'2022 Nto driftsutg landet'!$C$5</f>
        <v>454.5102815649534</v>
      </c>
      <c r="F6" s="1">
        <f>+'2022 Nto driftsutg landet'!$C$6*'2022 Revekting utgiftsbehov'!AA6-'2022 Nto driftsutg landet'!$C$6</f>
        <v>-350.35311557752516</v>
      </c>
      <c r="G6" s="1">
        <f>+'2022 Nto driftsutg landet'!$C$7*'2022 Revekting utgiftsbehov'!AB6-'2022 Nto driftsutg landet'!$C$7</f>
        <v>51.533343917754792</v>
      </c>
      <c r="H6" s="1">
        <f>+'2022 Nto driftsutg landet'!$C$8*'2022 Revekting utgiftsbehov'!AC6-'2022 Nto driftsutg landet'!$C$8</f>
        <v>-235.9646004858422</v>
      </c>
      <c r="I6" s="1">
        <f>+'2022 Nto driftsutg landet'!$C$9*'2022 Revekting utgiftsbehov'!AD6-'2022 Nto driftsutg landet'!$C$9</f>
        <v>40.478829437114314</v>
      </c>
      <c r="J6" s="11">
        <f t="shared" si="1"/>
        <v>-39.795261143544849</v>
      </c>
      <c r="L6" s="1">
        <f>'2022 Korr med revekting arbavg'!I6</f>
        <v>48.167278581730507</v>
      </c>
      <c r="M6" s="1">
        <f>'2022 Korr med revekting arbavg'!P6</f>
        <v>-9.7444895979307091</v>
      </c>
      <c r="N6" s="1">
        <f>'2022 Korr med revekting arbavg'!W6</f>
        <v>0.23632731856414171</v>
      </c>
      <c r="O6" s="1">
        <f>'2022 Korr med revekting arbavg'!AD6</f>
        <v>0.22632913498877458</v>
      </c>
      <c r="P6" s="1">
        <f>'2022 Korr med revekting arbavg'!AK6</f>
        <v>4.9276367175813158</v>
      </c>
      <c r="Q6" s="50">
        <f t="shared" si="2"/>
        <v>9.0307407227035323</v>
      </c>
      <c r="R6" s="1"/>
      <c r="S6" s="1">
        <f>'2022 Korr med revekting arbavg'!AR6</f>
        <v>8.1071528697258426</v>
      </c>
      <c r="T6" s="1">
        <f>'2022 Korr med revekting arbavg'!AY6</f>
        <v>0.58350560740191337</v>
      </c>
      <c r="U6" s="1">
        <f>'2022 Korr med revekting arbavg'!BF6</f>
        <v>-3.6395769442737598E-2</v>
      </c>
      <c r="V6" s="1">
        <f>'2022 Korr med revekting arbavg'!BM6</f>
        <v>0.36650425504895967</v>
      </c>
      <c r="W6" s="1">
        <f>'2022 Korr med revekting arbavg'!BT6</f>
        <v>0</v>
      </c>
      <c r="X6" s="1">
        <f>'2022 Korr med revekting arbavg'!CA6</f>
        <v>9.9737599695560123E-3</v>
      </c>
      <c r="Y6" s="1"/>
      <c r="Z6" s="11">
        <f t="shared" si="3"/>
        <v>52.843822877637564</v>
      </c>
      <c r="AB6" s="1">
        <f>+'2022 Korr med revekting pensjon'!I6</f>
        <v>28.206284661426931</v>
      </c>
      <c r="AC6" s="1">
        <f>+'2022 Korr med revekting pensjon'!P6</f>
        <v>-14.163412786674304</v>
      </c>
      <c r="AD6" s="1">
        <f>+'2022 Korr med revekting pensjon'!W6</f>
        <v>-1.228826867805719</v>
      </c>
      <c r="AE6" s="1">
        <f>+'2022 Korr med revekting pensjon'!AD6</f>
        <v>-9.5010577246476373E-3</v>
      </c>
      <c r="AF6" s="1">
        <f>+'2022 Korr med revekting pensjon'!AK6</f>
        <v>-0.96831833069352768</v>
      </c>
      <c r="AG6" s="50">
        <f t="shared" si="4"/>
        <v>-105.75342659228258</v>
      </c>
      <c r="AH6" s="1"/>
      <c r="AI6" s="1">
        <f>+'2022 Korr med revekting pensjon'!AR6</f>
        <v>-105.68441678504875</v>
      </c>
      <c r="AJ6" s="1">
        <f>+'2022 Korr med revekting pensjon'!AY6</f>
        <v>0.1462921251963433</v>
      </c>
      <c r="AK6" s="1">
        <f>+'2022 Korr med revekting pensjon'!BF6</f>
        <v>2.14873258248434E-2</v>
      </c>
      <c r="AL6" s="1">
        <f>+'2022 Korr med revekting pensjon'!BM6</f>
        <v>-0.24187775853310844</v>
      </c>
      <c r="AM6" s="1">
        <f>+'2022 Korr med revekting pensjon'!BT6</f>
        <v>0</v>
      </c>
      <c r="AN6" s="1">
        <f>+'2022 Korr med revekting pensjon'!CA6</f>
        <v>5.0885002780894284E-3</v>
      </c>
      <c r="AO6" s="1"/>
      <c r="AP6" s="11">
        <f t="shared" si="5"/>
        <v>-93.91720097375385</v>
      </c>
      <c r="AQ6" s="1"/>
      <c r="AR6" s="11">
        <f>+'2022 Korr med revekt premieavv'!J6</f>
        <v>82.422310384567098</v>
      </c>
      <c r="AT6" s="11"/>
      <c r="AV6" s="11">
        <f t="shared" si="6"/>
        <v>-106.41789568261667</v>
      </c>
      <c r="AW6" s="1">
        <f>+AV6*'2022 Nto driftsutg'!W6</f>
        <v>-51697494.468928136</v>
      </c>
    </row>
    <row r="7" spans="1:49" x14ac:dyDescent="0.25">
      <c r="A7" s="43">
        <v>1500</v>
      </c>
      <c r="B7" s="44" t="s">
        <v>142</v>
      </c>
      <c r="C7" s="11">
        <f>+'2022 Grunnlag korreksjoner'!C7*1000/'2022 Nto driftsutg'!W7</f>
        <v>243.34188637616234</v>
      </c>
      <c r="D7" s="1"/>
      <c r="E7" s="1">
        <f>+'2022 Nto driftsutg landet'!$C$5*'2022 Revekting utgiftsbehov'!Z7-'2022 Nto driftsutg landet'!$C$5</f>
        <v>734.59051994295532</v>
      </c>
      <c r="F7" s="1">
        <f>+'2022 Nto driftsutg landet'!$C$6*'2022 Revekting utgiftsbehov'!AA7-'2022 Nto driftsutg landet'!$C$6</f>
        <v>989.10227721402248</v>
      </c>
      <c r="G7" s="1">
        <f>+'2022 Nto driftsutg landet'!$C$7*'2022 Revekting utgiftsbehov'!AB7-'2022 Nto driftsutg landet'!$C$7</f>
        <v>-12.103610701794423</v>
      </c>
      <c r="H7" s="1">
        <f>+'2022 Nto driftsutg landet'!$C$8*'2022 Revekting utgiftsbehov'!AC7-'2022 Nto driftsutg landet'!$C$8</f>
        <v>1937.9106653538749</v>
      </c>
      <c r="I7" s="1">
        <f>+'2022 Nto driftsutg landet'!$C$9*'2022 Revekting utgiftsbehov'!AD7-'2022 Nto driftsutg landet'!$C$9</f>
        <v>15.997700148754461</v>
      </c>
      <c r="J7" s="11">
        <f t="shared" si="1"/>
        <v>3665.4975519578129</v>
      </c>
      <c r="L7" s="1">
        <f>'2022 Korr med revekting arbavg'!I7</f>
        <v>25.924872759678721</v>
      </c>
      <c r="M7" s="1">
        <f>'2022 Korr med revekting arbavg'!P7</f>
        <v>21.580466946048265</v>
      </c>
      <c r="N7" s="1">
        <f>'2022 Korr med revekting arbavg'!W7</f>
        <v>1.307550037037533</v>
      </c>
      <c r="O7" s="1">
        <f>'2022 Korr med revekting arbavg'!AD7</f>
        <v>0.85855146406511118</v>
      </c>
      <c r="P7" s="1">
        <f>'2022 Korr med revekting arbavg'!AK7</f>
        <v>9.3527441869347236E-2</v>
      </c>
      <c r="Q7" s="50">
        <f t="shared" si="2"/>
        <v>10.215165033976572</v>
      </c>
      <c r="R7" s="1"/>
      <c r="S7" s="1">
        <f>'2022 Korr med revekting arbavg'!AR7</f>
        <v>9.6646451371245483</v>
      </c>
      <c r="T7" s="1">
        <f>'2022 Korr med revekting arbavg'!AY7</f>
        <v>0.36946776711311435</v>
      </c>
      <c r="U7" s="1">
        <f>'2022 Korr med revekting arbavg'!BF7</f>
        <v>-2.6013430920969575E-2</v>
      </c>
      <c r="V7" s="1">
        <f>'2022 Korr med revekting arbavg'!BM7</f>
        <v>0.20706556065987702</v>
      </c>
      <c r="W7" s="1">
        <f>'2022 Korr med revekting arbavg'!BT7</f>
        <v>0</v>
      </c>
      <c r="X7" s="1">
        <f>'2022 Korr med revekting arbavg'!CA7</f>
        <v>0</v>
      </c>
      <c r="Y7" s="1"/>
      <c r="Z7" s="11">
        <f t="shared" si="3"/>
        <v>59.980133682675543</v>
      </c>
      <c r="AB7" s="1">
        <f>+'2022 Korr med revekting pensjon'!I7</f>
        <v>16.573262990160959</v>
      </c>
      <c r="AC7" s="1">
        <f>+'2022 Korr med revekting pensjon'!P7</f>
        <v>32.150850458298557</v>
      </c>
      <c r="AD7" s="1">
        <f>+'2022 Korr med revekting pensjon'!W7</f>
        <v>2.2283229527754331</v>
      </c>
      <c r="AE7" s="1">
        <f>+'2022 Korr med revekting pensjon'!AD7</f>
        <v>-1.6297524226749505E-2</v>
      </c>
      <c r="AF7" s="1">
        <f>+'2022 Korr med revekting pensjon'!AK7</f>
        <v>4.441881766783097</v>
      </c>
      <c r="AG7" s="50">
        <f t="shared" si="4"/>
        <v>-91.694537426232444</v>
      </c>
      <c r="AH7" s="1"/>
      <c r="AI7" s="1">
        <f>+'2022 Korr med revekting pensjon'!AR7</f>
        <v>-93.906782777956451</v>
      </c>
      <c r="AJ7" s="1">
        <f>+'2022 Korr med revekting pensjon'!AY7</f>
        <v>1.415243373231055</v>
      </c>
      <c r="AK7" s="1">
        <f>+'2022 Korr med revekting pensjon'!BF7</f>
        <v>-3.9100457094664975E-2</v>
      </c>
      <c r="AL7" s="1">
        <f>+'2022 Korr med revekting pensjon'!BM7</f>
        <v>0.83610243558762598</v>
      </c>
      <c r="AM7" s="1">
        <f>+'2022 Korr med revekting pensjon'!BT7</f>
        <v>0</v>
      </c>
      <c r="AN7" s="1">
        <f>+'2022 Korr med revekting pensjon'!CA7</f>
        <v>0</v>
      </c>
      <c r="AO7" s="1"/>
      <c r="AP7" s="11">
        <f t="shared" si="5"/>
        <v>-36.316516782441141</v>
      </c>
      <c r="AQ7" s="1"/>
      <c r="AR7" s="11">
        <f>+'2022 Korr med revekt premieavv'!J7</f>
        <v>173.67374807967451</v>
      </c>
      <c r="AT7" s="11"/>
      <c r="AV7" s="11">
        <f t="shared" si="6"/>
        <v>4106.1768033138833</v>
      </c>
      <c r="AW7" s="1">
        <f>+AV7*'2022 Nto driftsutg'!W7</f>
        <v>1091618890.8073893</v>
      </c>
    </row>
    <row r="8" spans="1:49" x14ac:dyDescent="0.25">
      <c r="A8" s="43">
        <v>1800</v>
      </c>
      <c r="B8" s="44" t="s">
        <v>143</v>
      </c>
      <c r="C8" s="11">
        <f>+'2022 Grunnlag korreksjoner'!C8*1000/'2022 Nto driftsutg'!W8</f>
        <v>387.06359189000375</v>
      </c>
      <c r="D8" s="1"/>
      <c r="E8" s="1">
        <f>+'2022 Nto driftsutg landet'!$C$5*'2022 Revekting utgiftsbehov'!Z8-'2022 Nto driftsutg landet'!$C$5</f>
        <v>476.72286519791214</v>
      </c>
      <c r="F8" s="1">
        <f>+'2022 Nto driftsutg landet'!$C$6*'2022 Revekting utgiftsbehov'!AA8-'2022 Nto driftsutg landet'!$C$6</f>
        <v>1362.5136159893834</v>
      </c>
      <c r="G8" s="1">
        <f>+'2022 Nto driftsutg landet'!$C$7*'2022 Revekting utgiftsbehov'!AB8-'2022 Nto driftsutg landet'!$C$7</f>
        <v>49.831995522486523</v>
      </c>
      <c r="H8" s="1">
        <f>+'2022 Nto driftsutg landet'!$C$8*'2022 Revekting utgiftsbehov'!AC8-'2022 Nto driftsutg landet'!$C$8</f>
        <v>4064.1357003811454</v>
      </c>
      <c r="I8" s="1">
        <f>+'2022 Nto driftsutg landet'!$C$9*'2022 Revekting utgiftsbehov'!AD8-'2022 Nto driftsutg landet'!$C$9</f>
        <v>-9.3894557347830414</v>
      </c>
      <c r="J8" s="11">
        <f t="shared" si="1"/>
        <v>5943.8147213561442</v>
      </c>
      <c r="L8" s="1">
        <f>'2022 Korr med revekting arbavg'!I8</f>
        <v>-302.46521280612546</v>
      </c>
      <c r="M8" s="1">
        <f>'2022 Korr med revekting arbavg'!P8</f>
        <v>-33.516408331879767</v>
      </c>
      <c r="N8" s="1">
        <f>'2022 Korr med revekting arbavg'!W8</f>
        <v>-2.6124430245731354</v>
      </c>
      <c r="O8" s="1">
        <f>'2022 Korr med revekting arbavg'!AD8</f>
        <v>-0.60449589512648194</v>
      </c>
      <c r="P8" s="1">
        <f>'2022 Korr med revekting arbavg'!AK8</f>
        <v>-24.182746927325486</v>
      </c>
      <c r="Q8" s="50">
        <f t="shared" si="2"/>
        <v>-29.088030415677249</v>
      </c>
      <c r="R8" s="1"/>
      <c r="S8" s="1">
        <f>'2022 Korr med revekting arbavg'!AR8</f>
        <v>-23.661833435596954</v>
      </c>
      <c r="T8" s="1">
        <f>'2022 Korr med revekting arbavg'!AY8</f>
        <v>-3.4100664376535703</v>
      </c>
      <c r="U8" s="1">
        <f>'2022 Korr med revekting arbavg'!BF8</f>
        <v>0.14900685494373869</v>
      </c>
      <c r="V8" s="1">
        <f>'2022 Korr med revekting arbavg'!BM8</f>
        <v>-2.1651373973704655</v>
      </c>
      <c r="W8" s="1">
        <f>'2022 Korr med revekting arbavg'!BT8</f>
        <v>0</v>
      </c>
      <c r="X8" s="1">
        <f>'2022 Korr med revekting arbavg'!CA8</f>
        <v>0</v>
      </c>
      <c r="Y8" s="1"/>
      <c r="Z8" s="11">
        <f t="shared" si="3"/>
        <v>-392.4693374007075</v>
      </c>
      <c r="AB8" s="1">
        <f>+'2022 Korr med revekting pensjon'!I8</f>
        <v>80.341326806397205</v>
      </c>
      <c r="AC8" s="1">
        <f>+'2022 Korr med revekting pensjon'!P8</f>
        <v>12.327267553333954</v>
      </c>
      <c r="AD8" s="1">
        <f>+'2022 Korr med revekting pensjon'!W8</f>
        <v>1.6198527416229647</v>
      </c>
      <c r="AE8" s="1">
        <f>+'2022 Korr med revekting pensjon'!AD8</f>
        <v>0.87933475185761401</v>
      </c>
      <c r="AF8" s="1">
        <f>+'2022 Korr med revekting pensjon'!AK8</f>
        <v>11.36276104498454</v>
      </c>
      <c r="AG8" s="50">
        <f t="shared" si="4"/>
        <v>-77.432902776878947</v>
      </c>
      <c r="AH8" s="1"/>
      <c r="AI8" s="1">
        <f>+'2022 Korr med revekting pensjon'!AR8</f>
        <v>-81.967902808762346</v>
      </c>
      <c r="AJ8" s="1">
        <f>+'2022 Korr med revekting pensjon'!AY8</f>
        <v>3.325169657661402</v>
      </c>
      <c r="AK8" s="1">
        <f>+'2022 Korr med revekting pensjon'!BF8</f>
        <v>-9.6778766729163107E-2</v>
      </c>
      <c r="AL8" s="1">
        <f>+'2022 Korr med revekting pensjon'!BM8</f>
        <v>1.3066091409511535</v>
      </c>
      <c r="AM8" s="1">
        <f>+'2022 Korr med revekting pensjon'!BT8</f>
        <v>0</v>
      </c>
      <c r="AN8" s="1">
        <f>+'2022 Korr med revekting pensjon'!CA8</f>
        <v>0</v>
      </c>
      <c r="AO8" s="1"/>
      <c r="AP8" s="11">
        <f t="shared" si="5"/>
        <v>29.097640121317326</v>
      </c>
      <c r="AQ8" s="1"/>
      <c r="AR8" s="11">
        <f>+'2022 Korr med revekt premieavv'!J8</f>
        <v>31.496106589573529</v>
      </c>
      <c r="AT8" s="11"/>
      <c r="AV8" s="11">
        <f t="shared" si="6"/>
        <v>5999.0027225563308</v>
      </c>
      <c r="AW8" s="1">
        <f>+AV8*'2022 Nto driftsutg'!W8</f>
        <v>1440900463.9308052</v>
      </c>
    </row>
    <row r="9" spans="1:49" x14ac:dyDescent="0.25">
      <c r="A9" s="43">
        <v>3000</v>
      </c>
      <c r="B9" s="44" t="s">
        <v>391</v>
      </c>
      <c r="C9" s="11">
        <f>+'2022 Grunnlag korreksjoner'!C9*1000/'2022 Nto driftsutg'!W9</f>
        <v>-110.76666584070657</v>
      </c>
      <c r="D9" s="1"/>
      <c r="E9" s="1">
        <f>+'2022 Nto driftsutg landet'!$C$5*'2022 Revekting utgiftsbehov'!Z9-'2022 Nto driftsutg landet'!$C$5</f>
        <v>120.07457248466017</v>
      </c>
      <c r="F9" s="1">
        <f>+'2022 Nto driftsutg landet'!$C$6*'2022 Revekting utgiftsbehov'!AA9-'2022 Nto driftsutg landet'!$C$6</f>
        <v>-650.74392297918416</v>
      </c>
      <c r="G9" s="1">
        <f>+'2022 Nto driftsutg landet'!$C$7*'2022 Revekting utgiftsbehov'!AB9-'2022 Nto driftsutg landet'!$C$7</f>
        <v>-842.19989569438621</v>
      </c>
      <c r="H9" s="1">
        <f>+'2022 Nto driftsutg landet'!$C$8*'2022 Revekting utgiftsbehov'!AC9-'2022 Nto driftsutg landet'!$C$8</f>
        <v>-868.27891142943031</v>
      </c>
      <c r="I9" s="1">
        <f>+'2022 Nto driftsutg landet'!$C$9*'2022 Revekting utgiftsbehov'!AD9-'2022 Nto driftsutg landet'!$C$9</f>
        <v>13.171232424029313</v>
      </c>
      <c r="J9" s="11">
        <f t="shared" si="1"/>
        <v>-2227.9769251943112</v>
      </c>
      <c r="L9" s="1">
        <f>'2022 Korr med revekting arbavg'!I9</f>
        <v>46.039351986843485</v>
      </c>
      <c r="M9" s="1">
        <f>'2022 Korr med revekting arbavg'!P9</f>
        <v>4.4023882161939829</v>
      </c>
      <c r="N9" s="1">
        <f>'2022 Korr med revekting arbavg'!W9</f>
        <v>0.17930921546345202</v>
      </c>
      <c r="O9" s="1">
        <f>'2022 Korr med revekting arbavg'!AD9</f>
        <v>0</v>
      </c>
      <c r="P9" s="1">
        <f>'2022 Korr med revekting arbavg'!AK9</f>
        <v>4.7113805853414714</v>
      </c>
      <c r="Q9" s="50">
        <f t="shared" si="2"/>
        <v>7.4331262614592051</v>
      </c>
      <c r="R9" s="1"/>
      <c r="S9" s="1">
        <f>'2022 Korr med revekting arbavg'!AR9</f>
        <v>6.4936673702457623</v>
      </c>
      <c r="T9" s="1">
        <f>'2022 Korr med revekting arbavg'!AY9</f>
        <v>0.61203465031699467</v>
      </c>
      <c r="U9" s="1">
        <f>'2022 Korr med revekting arbavg'!BF9</f>
        <v>-2.2103912314933197E-2</v>
      </c>
      <c r="V9" s="1">
        <f>'2022 Korr med revekting arbavg'!BM9</f>
        <v>0.35477205339619833</v>
      </c>
      <c r="W9" s="1">
        <f>'2022 Korr med revekting arbavg'!BT9</f>
        <v>-3.4272597289338241E-3</v>
      </c>
      <c r="X9" s="1">
        <f>'2022 Korr med revekting arbavg'!CA9</f>
        <v>-1.8166404558826485E-3</v>
      </c>
      <c r="Y9" s="1"/>
      <c r="Z9" s="11">
        <f t="shared" si="3"/>
        <v>62.765556265301605</v>
      </c>
      <c r="AB9" s="1">
        <f>+'2022 Korr med revekting pensjon'!I9</f>
        <v>7.8342730576856807</v>
      </c>
      <c r="AC9" s="1">
        <f>+'2022 Korr med revekting pensjon'!P9</f>
        <v>-5.1076325652123344</v>
      </c>
      <c r="AD9" s="1">
        <f>+'2022 Korr med revekting pensjon'!W9</f>
        <v>-0.56580569114354318</v>
      </c>
      <c r="AE9" s="1">
        <f>+'2022 Korr med revekting pensjon'!AD9</f>
        <v>0</v>
      </c>
      <c r="AF9" s="1">
        <f>+'2022 Korr med revekting pensjon'!AK9</f>
        <v>-20.573334301113352</v>
      </c>
      <c r="AG9" s="50">
        <f t="shared" si="4"/>
        <v>57.814104082591463</v>
      </c>
      <c r="AH9" s="1"/>
      <c r="AI9" s="1">
        <f>+'2022 Korr med revekting pensjon'!AR9</f>
        <v>61.515421388680316</v>
      </c>
      <c r="AJ9" s="1">
        <f>+'2022 Korr med revekting pensjon'!AY9</f>
        <v>-2.2545988854501959</v>
      </c>
      <c r="AK9" s="1">
        <f>+'2022 Korr med revekting pensjon'!BF9</f>
        <v>0.14225394259671201</v>
      </c>
      <c r="AL9" s="1">
        <f>+'2022 Korr med revekting pensjon'!BM9</f>
        <v>-1.5947777559997591</v>
      </c>
      <c r="AM9" s="1">
        <f>+'2022 Korr med revekting pensjon'!BT9</f>
        <v>3.1206245743969027E-3</v>
      </c>
      <c r="AN9" s="1">
        <f>+'2022 Korr med revekting pensjon'!CA9</f>
        <v>2.6847681899885775E-3</v>
      </c>
      <c r="AO9" s="1"/>
      <c r="AP9" s="11">
        <f t="shared" si="5"/>
        <v>39.401604582807913</v>
      </c>
      <c r="AQ9" s="1"/>
      <c r="AR9" s="11">
        <f>+'2022 Korr med revekt premieavv'!J9</f>
        <v>-2.8979139098150632</v>
      </c>
      <c r="AT9" s="11"/>
      <c r="AV9" s="11">
        <f t="shared" si="6"/>
        <v>-2239.4743440967231</v>
      </c>
      <c r="AW9" s="1">
        <f>+AV9*'2022 Nto driftsutg'!W9</f>
        <v>-2842408021.757884</v>
      </c>
    </row>
    <row r="10" spans="1:49" x14ac:dyDescent="0.25">
      <c r="A10" s="43">
        <v>3400</v>
      </c>
      <c r="B10" s="44" t="s">
        <v>392</v>
      </c>
      <c r="C10" s="11">
        <f>+'2022 Grunnlag korreksjoner'!C10*1000/'2022 Nto driftsutg'!W10</f>
        <v>179.82077644229136</v>
      </c>
      <c r="D10" s="1"/>
      <c r="E10" s="1">
        <f>+'2022 Nto driftsutg landet'!$C$5*'2022 Revekting utgiftsbehov'!Z10-'2022 Nto driftsutg landet'!$C$5</f>
        <v>73.493206196697429</v>
      </c>
      <c r="F10" s="1">
        <f>+'2022 Nto driftsutg landet'!$C$6*'2022 Revekting utgiftsbehov'!AA10-'2022 Nto driftsutg landet'!$C$6</f>
        <v>977.27838373119198</v>
      </c>
      <c r="G10" s="1">
        <f>+'2022 Nto driftsutg landet'!$C$7*'2022 Revekting utgiftsbehov'!AB10-'2022 Nto driftsutg landet'!$C$7</f>
        <v>13.903194936797263</v>
      </c>
      <c r="H10" s="1">
        <f>+'2022 Nto driftsutg landet'!$C$8*'2022 Revekting utgiftsbehov'!AC10-'2022 Nto driftsutg landet'!$C$8</f>
        <v>-898.34755170637118</v>
      </c>
      <c r="I10" s="1">
        <f>+'2022 Nto driftsutg landet'!$C$9*'2022 Revekting utgiftsbehov'!AD10-'2022 Nto driftsutg landet'!$C$9</f>
        <v>-17.678801101645831</v>
      </c>
      <c r="J10" s="11">
        <f t="shared" si="1"/>
        <v>148.64843205666966</v>
      </c>
      <c r="L10" s="1">
        <f>'2022 Korr med revekting arbavg'!I10</f>
        <v>-15.723402691897826</v>
      </c>
      <c r="M10" s="1">
        <f>'2022 Korr med revekting arbavg'!P10</f>
        <v>-23.22605300440026</v>
      </c>
      <c r="N10" s="1">
        <f>'2022 Korr med revekting arbavg'!W10</f>
        <v>0.24356613673752617</v>
      </c>
      <c r="O10" s="1">
        <f>'2022 Korr med revekting arbavg'!AD10</f>
        <v>9.9759647814333177E-3</v>
      </c>
      <c r="P10" s="1">
        <f>'2022 Korr med revekting arbavg'!AK10</f>
        <v>-2.2023427458834477</v>
      </c>
      <c r="Q10" s="50">
        <f t="shared" si="2"/>
        <v>8.8717403828516375</v>
      </c>
      <c r="R10" s="1"/>
      <c r="S10" s="1">
        <f>'2022 Korr med revekting arbavg'!AR10</f>
        <v>8.0069802088014619</v>
      </c>
      <c r="T10" s="1">
        <f>'2022 Korr med revekting arbavg'!AY10</f>
        <v>0.54520014769329783</v>
      </c>
      <c r="U10" s="1">
        <f>'2022 Korr med revekting arbavg'!BF10</f>
        <v>-3.4608583293853738E-2</v>
      </c>
      <c r="V10" s="1">
        <f>'2022 Korr med revekting arbavg'!BM10</f>
        <v>0.35416860965073244</v>
      </c>
      <c r="W10" s="1">
        <f>'2022 Korr med revekting arbavg'!BT10</f>
        <v>0</v>
      </c>
      <c r="X10" s="1">
        <f>'2022 Korr med revekting arbavg'!CA10</f>
        <v>0</v>
      </c>
      <c r="Y10" s="1"/>
      <c r="Z10" s="11">
        <f t="shared" si="3"/>
        <v>-32.026515957810943</v>
      </c>
      <c r="AB10" s="1">
        <f>+'2022 Korr med revekting pensjon'!I10</f>
        <v>51.054264415918183</v>
      </c>
      <c r="AC10" s="1">
        <f>+'2022 Korr med revekting pensjon'!P10</f>
        <v>-11.132501551846218</v>
      </c>
      <c r="AD10" s="1">
        <f>+'2022 Korr med revekting pensjon'!W10</f>
        <v>1.8097774878179425</v>
      </c>
      <c r="AE10" s="1">
        <f>+'2022 Korr med revekting pensjon'!AD10</f>
        <v>-2.1297297465315061E-2</v>
      </c>
      <c r="AF10" s="1">
        <f>+'2022 Korr med revekting pensjon'!AK10</f>
        <v>11.676329182699382</v>
      </c>
      <c r="AG10" s="50">
        <f t="shared" si="4"/>
        <v>-83.036339286274952</v>
      </c>
      <c r="AH10" s="1"/>
      <c r="AI10" s="1">
        <f>+'2022 Korr med revekting pensjon'!AR10</f>
        <v>-86.500647061653538</v>
      </c>
      <c r="AJ10" s="1">
        <f>+'2022 Korr med revekting pensjon'!AY10</f>
        <v>5.2229849633699281</v>
      </c>
      <c r="AK10" s="1">
        <f>+'2022 Korr med revekting pensjon'!BF10</f>
        <v>-9.0716570309811131E-2</v>
      </c>
      <c r="AL10" s="1">
        <f>+'2022 Korr med revekting pensjon'!BM10</f>
        <v>-1.667960617681536</v>
      </c>
      <c r="AM10" s="1">
        <f>+'2022 Korr med revekting pensjon'!BT10</f>
        <v>0</v>
      </c>
      <c r="AN10" s="1">
        <f>+'2022 Korr med revekting pensjon'!CA10</f>
        <v>0</v>
      </c>
      <c r="AO10" s="1"/>
      <c r="AP10" s="11">
        <f t="shared" si="5"/>
        <v>-29.649767049150981</v>
      </c>
      <c r="AQ10" s="1"/>
      <c r="AR10" s="11">
        <f>+'2022 Korr med revekt premieavv'!J10</f>
        <v>269.82853291614538</v>
      </c>
      <c r="AT10" s="11"/>
      <c r="AV10" s="11">
        <f t="shared" si="6"/>
        <v>536.62145840814446</v>
      </c>
      <c r="AW10" s="1">
        <f>+AV10*'2022 Nto driftsutg'!W10</f>
        <v>199222326.29839885</v>
      </c>
    </row>
    <row r="11" spans="1:49" x14ac:dyDescent="0.25">
      <c r="A11" s="43">
        <v>3800</v>
      </c>
      <c r="B11" s="44" t="s">
        <v>393</v>
      </c>
      <c r="C11" s="11">
        <f>+'2022 Grunnlag korreksjoner'!C11*1000/'2022 Nto driftsutg'!W11</f>
        <v>70.556157238508405</v>
      </c>
      <c r="D11" s="1"/>
      <c r="E11" s="1">
        <f>+'2022 Nto driftsutg landet'!$C$5*'2022 Revekting utgiftsbehov'!Z11-'2022 Nto driftsutg landet'!$C$5</f>
        <v>116.40728659227261</v>
      </c>
      <c r="F11" s="1">
        <f>+'2022 Nto driftsutg landet'!$C$6*'2022 Revekting utgiftsbehov'!AA11-'2022 Nto driftsutg landet'!$C$6</f>
        <v>-89.268764889061458</v>
      </c>
      <c r="G11" s="1">
        <f>+'2022 Nto driftsutg landet'!$C$7*'2022 Revekting utgiftsbehov'!AB11-'2022 Nto driftsutg landet'!$C$7</f>
        <v>-668.9905683643176</v>
      </c>
      <c r="H11" s="1">
        <f>+'2022 Nto driftsutg landet'!$C$8*'2022 Revekting utgiftsbehov'!AC11-'2022 Nto driftsutg landet'!$C$8</f>
        <v>-808.40532847555698</v>
      </c>
      <c r="I11" s="1">
        <f>+'2022 Nto driftsutg landet'!$C$9*'2022 Revekting utgiftsbehov'!AD11-'2022 Nto driftsutg landet'!$C$9</f>
        <v>-4.0598919074564037</v>
      </c>
      <c r="J11" s="11">
        <f t="shared" si="1"/>
        <v>-1454.3172670441199</v>
      </c>
      <c r="L11" s="1">
        <f>'2022 Korr med revekting arbavg'!I11</f>
        <v>42.431659529972357</v>
      </c>
      <c r="M11" s="1">
        <f>'2022 Korr med revekting arbavg'!P11</f>
        <v>-11.350423461882921</v>
      </c>
      <c r="N11" s="1">
        <f>'2022 Korr med revekting arbavg'!W11</f>
        <v>0.30826339596772301</v>
      </c>
      <c r="O11" s="1">
        <f>'2022 Korr med revekting arbavg'!AD11</f>
        <v>0</v>
      </c>
      <c r="P11" s="1">
        <f>'2022 Korr med revekting arbavg'!AK11</f>
        <v>3.9941397564361689</v>
      </c>
      <c r="Q11" s="50">
        <f t="shared" si="2"/>
        <v>8.6083684668197638</v>
      </c>
      <c r="R11" s="1"/>
      <c r="S11" s="1">
        <f>'2022 Korr med revekting arbavg'!AR11</f>
        <v>7.905256926183144</v>
      </c>
      <c r="T11" s="1">
        <f>'2022 Korr med revekting arbavg'!AY11</f>
        <v>0.37738852348627916</v>
      </c>
      <c r="U11" s="1">
        <f>'2022 Korr med revekting arbavg'!BF11</f>
        <v>-3.7821370691761912E-2</v>
      </c>
      <c r="V11" s="1">
        <f>'2022 Korr med revekting arbavg'!BM11</f>
        <v>0.35936323198945702</v>
      </c>
      <c r="W11" s="1">
        <f>'2022 Korr med revekting arbavg'!BT11</f>
        <v>1.0239296629619851E-2</v>
      </c>
      <c r="X11" s="1">
        <f>'2022 Korr med revekting arbavg'!CA11</f>
        <v>-6.0581407769728863E-3</v>
      </c>
      <c r="Y11" s="1"/>
      <c r="Z11" s="11">
        <f t="shared" si="3"/>
        <v>43.992007687313091</v>
      </c>
      <c r="AB11" s="1">
        <f>+'2022 Korr med revekting pensjon'!I11</f>
        <v>55.206462265392609</v>
      </c>
      <c r="AC11" s="1">
        <f>+'2022 Korr med revekting pensjon'!P11</f>
        <v>-10.3814272661866</v>
      </c>
      <c r="AD11" s="1">
        <f>+'2022 Korr med revekting pensjon'!W11</f>
        <v>0.65116636025781216</v>
      </c>
      <c r="AE11" s="1">
        <f>+'2022 Korr med revekting pensjon'!AD11</f>
        <v>0</v>
      </c>
      <c r="AF11" s="1">
        <f>+'2022 Korr med revekting pensjon'!AK11</f>
        <v>11.272175724685425</v>
      </c>
      <c r="AG11" s="50">
        <f t="shared" si="4"/>
        <v>-84.828588042651305</v>
      </c>
      <c r="AH11" s="1"/>
      <c r="AI11" s="1">
        <f>+'2022 Korr med revekting pensjon'!AR11</f>
        <v>-89.074939718168281</v>
      </c>
      <c r="AJ11" s="1">
        <f>+'2022 Korr med revekting pensjon'!AY11</f>
        <v>2.743845699474377</v>
      </c>
      <c r="AK11" s="1">
        <f>+'2022 Korr med revekting pensjon'!BF11</f>
        <v>-8.3402362916407707E-2</v>
      </c>
      <c r="AL11" s="1">
        <f>+'2022 Korr med revekting pensjon'!BM11</f>
        <v>1.6060548254304545</v>
      </c>
      <c r="AM11" s="1">
        <f>+'2022 Korr med revekting pensjon'!BT11</f>
        <v>-9.3231920584178601E-3</v>
      </c>
      <c r="AN11" s="1">
        <f>+'2022 Korr med revekting pensjon'!CA11</f>
        <v>-1.0823294413032675E-2</v>
      </c>
      <c r="AO11" s="1"/>
      <c r="AP11" s="11">
        <f t="shared" si="5"/>
        <v>-28.080210958502057</v>
      </c>
      <c r="AQ11" s="1"/>
      <c r="AR11" s="11">
        <f>+'2022 Korr med revekt premieavv'!J11</f>
        <v>31.248815898776275</v>
      </c>
      <c r="AT11" s="11"/>
      <c r="AV11" s="11">
        <f t="shared" si="6"/>
        <v>-1336.6004971780242</v>
      </c>
      <c r="AW11" s="1">
        <f>+AV11*'2022 Nto driftsutg'!W11</f>
        <v>-567830662.4171344</v>
      </c>
    </row>
    <row r="12" spans="1:49" x14ac:dyDescent="0.25">
      <c r="A12" s="43">
        <v>4200</v>
      </c>
      <c r="B12" s="44" t="s">
        <v>394</v>
      </c>
      <c r="C12" s="11">
        <f>+'2022 Grunnlag korreksjoner'!C12*1000/'2022 Nto driftsutg'!W12</f>
        <v>78.322451894907019</v>
      </c>
      <c r="D12" s="1"/>
      <c r="E12" s="1">
        <f>+'2022 Nto driftsutg landet'!$C$5*'2022 Revekting utgiftsbehov'!Z12-'2022 Nto driftsutg landet'!$C$5</f>
        <v>442.38818315413846</v>
      </c>
      <c r="F12" s="1">
        <f>+'2022 Nto driftsutg landet'!$C$6*'2022 Revekting utgiftsbehov'!AA12-'2022 Nto driftsutg landet'!$C$6</f>
        <v>272.63824509219262</v>
      </c>
      <c r="G12" s="1">
        <f>+'2022 Nto driftsutg landet'!$C$7*'2022 Revekting utgiftsbehov'!AB12-'2022 Nto driftsutg landet'!$C$7</f>
        <v>-432.56403802924478</v>
      </c>
      <c r="H12" s="1">
        <f>+'2022 Nto driftsutg landet'!$C$8*'2022 Revekting utgiftsbehov'!AC12-'2022 Nto driftsutg landet'!$C$8</f>
        <v>-719.77645337631213</v>
      </c>
      <c r="I12" s="1">
        <f>+'2022 Nto driftsutg landet'!$C$9*'2022 Revekting utgiftsbehov'!AD12-'2022 Nto driftsutg landet'!$C$9</f>
        <v>26.797491214998104</v>
      </c>
      <c r="J12" s="11">
        <f t="shared" si="1"/>
        <v>-410.51657194422774</v>
      </c>
      <c r="L12" s="1">
        <f>'2022 Korr med revekting arbavg'!I12</f>
        <v>48.147932407849062</v>
      </c>
      <c r="M12" s="1">
        <f>'2022 Korr med revekting arbavg'!P12</f>
        <v>-3.6039729665316607</v>
      </c>
      <c r="N12" s="1">
        <f>'2022 Korr med revekting arbavg'!W12</f>
        <v>-4.9580114509258991E-2</v>
      </c>
      <c r="O12" s="1">
        <f>'2022 Korr med revekting arbavg'!AD12</f>
        <v>-2.4337401089058647E-2</v>
      </c>
      <c r="P12" s="1">
        <f>'2022 Korr med revekting arbavg'!AK12</f>
        <v>0.80613939626141551</v>
      </c>
      <c r="Q12" s="50">
        <f t="shared" si="2"/>
        <v>-10.209053655272303</v>
      </c>
      <c r="R12" s="1"/>
      <c r="S12" s="1">
        <f>'2022 Korr med revekting arbavg'!AR12</f>
        <v>-10.392629257608922</v>
      </c>
      <c r="T12" s="1">
        <f>'2022 Korr med revekting arbavg'!AY12</f>
        <v>0.24126218641331956</v>
      </c>
      <c r="U12" s="1">
        <f>'2022 Korr med revekting arbavg'!BF12</f>
        <v>7.2403528651835358E-2</v>
      </c>
      <c r="V12" s="1">
        <f>'2022 Korr med revekting arbavg'!BM12</f>
        <v>-0.12465044536780442</v>
      </c>
      <c r="W12" s="1">
        <f>'2022 Korr med revekting arbavg'!BT12</f>
        <v>0</v>
      </c>
      <c r="X12" s="1">
        <f>'2022 Korr med revekting arbavg'!CA12</f>
        <v>-5.4396673607316108E-3</v>
      </c>
      <c r="Y12" s="1"/>
      <c r="Z12" s="11">
        <f t="shared" si="3"/>
        <v>35.067127666708188</v>
      </c>
      <c r="AB12" s="1">
        <f>+'2022 Korr med revekting pensjon'!I12</f>
        <v>-91.905184320613316</v>
      </c>
      <c r="AC12" s="1">
        <f>+'2022 Korr med revekting pensjon'!P12</f>
        <v>-4.7478570368626283</v>
      </c>
      <c r="AD12" s="1">
        <f>+'2022 Korr med revekting pensjon'!W12</f>
        <v>-0.5449110968072699</v>
      </c>
      <c r="AE12" s="1">
        <f>+'2022 Korr med revekting pensjon'!AD12</f>
        <v>-2.1476266652544342E-2</v>
      </c>
      <c r="AF12" s="1">
        <f>+'2022 Korr med revekting pensjon'!AK12</f>
        <v>0.51984514907232093</v>
      </c>
      <c r="AG12" s="50">
        <f t="shared" si="4"/>
        <v>52.859539984006638</v>
      </c>
      <c r="AH12" s="1"/>
      <c r="AI12" s="1">
        <f>+'2022 Korr med revekting pensjon'!AR12</f>
        <v>51.8781593309645</v>
      </c>
      <c r="AJ12" s="1">
        <f>+'2022 Korr med revekting pensjon'!AY12</f>
        <v>0.83074649648977261</v>
      </c>
      <c r="AK12" s="1">
        <f>+'2022 Korr med revekting pensjon'!BF12</f>
        <v>1.6333539343726896E-3</v>
      </c>
      <c r="AL12" s="1">
        <f>+'2022 Korr med revekting pensjon'!BM12</f>
        <v>0.13841313956419582</v>
      </c>
      <c r="AM12" s="1">
        <f>+'2022 Korr med revekting pensjon'!BT12</f>
        <v>0</v>
      </c>
      <c r="AN12" s="1">
        <f>+'2022 Korr med revekting pensjon'!CA12</f>
        <v>1.0587663053796839E-2</v>
      </c>
      <c r="AO12" s="1"/>
      <c r="AP12" s="11">
        <f t="shared" si="5"/>
        <v>-43.84004358785679</v>
      </c>
      <c r="AQ12" s="1"/>
      <c r="AR12" s="11">
        <f>+'2022 Korr med revekt premieavv'!J12</f>
        <v>148.86126690456453</v>
      </c>
      <c r="AT12" s="11"/>
      <c r="AV12" s="11">
        <f t="shared" si="6"/>
        <v>-192.10576906590475</v>
      </c>
      <c r="AW12" s="1">
        <f>+AV12*'2022 Nto driftsutg'!W12</f>
        <v>-59770636.352551207</v>
      </c>
    </row>
    <row r="13" spans="1:49" x14ac:dyDescent="0.25">
      <c r="A13" s="43">
        <v>4600</v>
      </c>
      <c r="B13" s="44" t="s">
        <v>395</v>
      </c>
      <c r="C13" s="11">
        <f>+'2022 Grunnlag korreksjoner'!C13*1000/'2022 Nto driftsutg'!W13</f>
        <v>-158.93874257187053</v>
      </c>
      <c r="D13" s="1"/>
      <c r="E13" s="1">
        <f>+'2022 Nto driftsutg landet'!$C$5*'2022 Revekting utgiftsbehov'!Z13-'2022 Nto driftsutg landet'!$C$5</f>
        <v>386.81619498464352</v>
      </c>
      <c r="F13" s="1">
        <f>+'2022 Nto driftsutg landet'!$C$6*'2022 Revekting utgiftsbehov'!AA13-'2022 Nto driftsutg landet'!$C$6</f>
        <v>334.15444767178792</v>
      </c>
      <c r="G13" s="1">
        <f>+'2022 Nto driftsutg landet'!$C$7*'2022 Revekting utgiftsbehov'!AB13-'2022 Nto driftsutg landet'!$C$7</f>
        <v>0.58858672829182979</v>
      </c>
      <c r="H13" s="1">
        <f>+'2022 Nto driftsutg landet'!$C$8*'2022 Revekting utgiftsbehov'!AC13-'2022 Nto driftsutg landet'!$C$8</f>
        <v>1073.4984236889397</v>
      </c>
      <c r="I13" s="1">
        <f>+'2022 Nto driftsutg landet'!$C$9*'2022 Revekting utgiftsbehov'!AD13-'2022 Nto driftsutg landet'!$C$9</f>
        <v>16.767626251326419</v>
      </c>
      <c r="J13" s="11">
        <f t="shared" si="1"/>
        <v>1811.8252793249894</v>
      </c>
      <c r="L13" s="1">
        <f>'2022 Korr med revekting arbavg'!I13</f>
        <v>29.217579937279538</v>
      </c>
      <c r="M13" s="1">
        <f>'2022 Korr med revekting arbavg'!P13</f>
        <v>36.369913657883103</v>
      </c>
      <c r="N13" s="1">
        <f>'2022 Korr med revekting arbavg'!W13</f>
        <v>0.2355209126095949</v>
      </c>
      <c r="O13" s="1">
        <f>'2022 Korr med revekting arbavg'!AD13</f>
        <v>0</v>
      </c>
      <c r="P13" s="1">
        <f>'2022 Korr med revekting arbavg'!AK13</f>
        <v>2.3074614445668487</v>
      </c>
      <c r="Q13" s="50">
        <f t="shared" si="2"/>
        <v>-14.314694075297723</v>
      </c>
      <c r="R13" s="1"/>
      <c r="S13" s="1">
        <f>'2022 Korr med revekting arbavg'!AR13</f>
        <v>-14.474379554194043</v>
      </c>
      <c r="T13" s="1">
        <f>'2022 Korr med revekting arbavg'!AY13</f>
        <v>0.18389823973910716</v>
      </c>
      <c r="U13" s="1">
        <f>'2022 Korr med revekting arbavg'!BF13</f>
        <v>-1.7208185114453205E-2</v>
      </c>
      <c r="V13" s="1">
        <f>'2022 Korr med revekting arbavg'!BM13</f>
        <v>-5.1240317572005525E-3</v>
      </c>
      <c r="W13" s="1">
        <f>'2022 Korr med revekting arbavg'!BT13</f>
        <v>0</v>
      </c>
      <c r="X13" s="1">
        <f>'2022 Korr med revekting arbavg'!CA13</f>
        <v>-1.8805439711355187E-3</v>
      </c>
      <c r="Y13" s="1"/>
      <c r="Z13" s="11">
        <f t="shared" si="3"/>
        <v>53.815781877041374</v>
      </c>
      <c r="AB13" s="1">
        <f>+'2022 Korr med revekting pensjon'!I13</f>
        <v>-199.48485609115687</v>
      </c>
      <c r="AC13" s="1">
        <f>+'2022 Korr med revekting pensjon'!P13</f>
        <v>22.376840207688268</v>
      </c>
      <c r="AD13" s="1">
        <f>+'2022 Korr med revekting pensjon'!W13</f>
        <v>-3.3783631109078525</v>
      </c>
      <c r="AE13" s="1">
        <f>+'2022 Korr med revekting pensjon'!AD13</f>
        <v>0</v>
      </c>
      <c r="AF13" s="1">
        <f>+'2022 Korr med revekting pensjon'!AK13</f>
        <v>-21.86840325130763</v>
      </c>
      <c r="AG13" s="50">
        <f t="shared" si="4"/>
        <v>23.717350207552258</v>
      </c>
      <c r="AH13" s="1"/>
      <c r="AI13" s="1">
        <f>+'2022 Korr med revekting pensjon'!AR13</f>
        <v>27.845549086105681</v>
      </c>
      <c r="AJ13" s="1">
        <f>+'2022 Korr med revekting pensjon'!AY13</f>
        <v>-2.657281244804953</v>
      </c>
      <c r="AK13" s="1">
        <f>+'2022 Korr med revekting pensjon'!BF13</f>
        <v>0.14755744164885165</v>
      </c>
      <c r="AL13" s="1">
        <f>+'2022 Korr med revekting pensjon'!BM13</f>
        <v>-1.6194691086069433</v>
      </c>
      <c r="AM13" s="1">
        <f>+'2022 Korr med revekting pensjon'!BT13</f>
        <v>0</v>
      </c>
      <c r="AN13" s="1">
        <f>+'2022 Korr med revekting pensjon'!CA13</f>
        <v>9.940332096209255E-4</v>
      </c>
      <c r="AO13" s="1"/>
      <c r="AP13" s="11">
        <f t="shared" si="5"/>
        <v>-178.63743203813181</v>
      </c>
      <c r="AQ13" s="1"/>
      <c r="AR13" s="11">
        <f>+'2022 Korr med revekt premieavv'!J13</f>
        <v>200.17855768872795</v>
      </c>
      <c r="AT13" s="11"/>
      <c r="AV13" s="11">
        <f t="shared" si="6"/>
        <v>1728.2434442807564</v>
      </c>
      <c r="AW13" s="1">
        <f>+AV13*'2022 Nto driftsutg'!W13</f>
        <v>1108308694.8696949</v>
      </c>
    </row>
    <row r="14" spans="1:49" x14ac:dyDescent="0.25">
      <c r="A14" s="43">
        <v>5000</v>
      </c>
      <c r="B14" s="44" t="s">
        <v>390</v>
      </c>
      <c r="C14" s="11">
        <f>+'2022 Grunnlag korreksjoner'!C14*1000/'2022 Nto driftsutg'!W14</f>
        <v>24.588236856459499</v>
      </c>
      <c r="D14" s="1"/>
      <c r="E14" s="1">
        <f>+'2022 Nto driftsutg landet'!$C$5*'2022 Revekting utgiftsbehov'!Z14-'2022 Nto driftsutg landet'!$C$5</f>
        <v>131.13930344730397</v>
      </c>
      <c r="F14" s="1">
        <f>+'2022 Nto driftsutg landet'!$C$6*'2022 Revekting utgiftsbehov'!AA14-'2022 Nto driftsutg landet'!$C$6</f>
        <v>505.92046786156629</v>
      </c>
      <c r="G14" s="1">
        <f>+'2022 Nto driftsutg landet'!$C$7*'2022 Revekting utgiftsbehov'!AB14-'2022 Nto driftsutg landet'!$C$7</f>
        <v>151.47476001212863</v>
      </c>
      <c r="H14" s="1">
        <f>+'2022 Nto driftsutg landet'!$C$8*'2022 Revekting utgiftsbehov'!AC14-'2022 Nto driftsutg landet'!$C$8</f>
        <v>210.47979404371313</v>
      </c>
      <c r="I14" s="1">
        <f>+'2022 Nto driftsutg landet'!$C$9*'2022 Revekting utgiftsbehov'!AD14-'2022 Nto driftsutg landet'!$C$9</f>
        <v>2.3471430164789808</v>
      </c>
      <c r="J14" s="11">
        <f t="shared" si="1"/>
        <v>1001.361468381191</v>
      </c>
      <c r="L14" s="1">
        <f>'2022 Korr med revekting arbavg'!I14</f>
        <v>-1.2433413764553691</v>
      </c>
      <c r="M14" s="1">
        <f>'2022 Korr med revekting arbavg'!P14</f>
        <v>13.104209245474539</v>
      </c>
      <c r="N14" s="1">
        <f>'2022 Korr med revekting arbavg'!W14</f>
        <v>0.3795089734806647</v>
      </c>
      <c r="O14" s="1">
        <f>'2022 Korr med revekting arbavg'!AD14</f>
        <v>0.21042606647899464</v>
      </c>
      <c r="P14" s="1">
        <f>'2022 Korr med revekting arbavg'!AK14</f>
        <v>-0.36106876395803478</v>
      </c>
      <c r="Q14" s="50">
        <f t="shared" si="2"/>
        <v>-25.379264069465769</v>
      </c>
      <c r="R14" s="1"/>
      <c r="S14" s="1">
        <f>'2022 Korr med revekting arbavg'!AR14</f>
        <v>-26.197366003971002</v>
      </c>
      <c r="T14" s="1">
        <f>'2022 Korr med revekting arbavg'!AY14</f>
        <v>0.40586810504034165</v>
      </c>
      <c r="U14" s="1">
        <f>'2022 Korr med revekting arbavg'!BF14</f>
        <v>1.0064756933471405E-2</v>
      </c>
      <c r="V14" s="1">
        <f>'2022 Korr med revekting arbavg'!BM14</f>
        <v>0.40216907253141976</v>
      </c>
      <c r="W14" s="1">
        <f>'2022 Korr med revekting arbavg'!BT14</f>
        <v>0</v>
      </c>
      <c r="X14" s="1">
        <f>'2022 Korr med revekting arbavg'!CA14</f>
        <v>0</v>
      </c>
      <c r="Y14" s="1"/>
      <c r="Z14" s="11">
        <f t="shared" si="3"/>
        <v>-13.289529924444974</v>
      </c>
      <c r="AB14" s="1">
        <f>+'2022 Korr med revekting pensjon'!I14</f>
        <v>-11.892328680976629</v>
      </c>
      <c r="AC14" s="1">
        <f>+'2022 Korr med revekting pensjon'!P14</f>
        <v>-2.4273087703997498</v>
      </c>
      <c r="AD14" s="1">
        <f>+'2022 Korr med revekting pensjon'!W14</f>
        <v>-2.0887494060065532</v>
      </c>
      <c r="AE14" s="1">
        <f>+'2022 Korr med revekting pensjon'!AD14</f>
        <v>-0.50503710042929806</v>
      </c>
      <c r="AF14" s="1">
        <f>+'2022 Korr med revekting pensjon'!AK14</f>
        <v>-15.220276536311303</v>
      </c>
      <c r="AG14" s="50">
        <f t="shared" si="4"/>
        <v>116.27937736314134</v>
      </c>
      <c r="AH14" s="1"/>
      <c r="AI14" s="1">
        <f>+'2022 Korr med revekting pensjon'!AR14</f>
        <v>119.10392752688222</v>
      </c>
      <c r="AJ14" s="1">
        <f>+'2022 Korr med revekting pensjon'!AY14</f>
        <v>-1.6010198870799646</v>
      </c>
      <c r="AK14" s="1">
        <f>+'2022 Korr med revekting pensjon'!BF14</f>
        <v>0.14409935065920537</v>
      </c>
      <c r="AL14" s="1">
        <f>+'2022 Korr med revekting pensjon'!BM14</f>
        <v>-1.3676296273201123</v>
      </c>
      <c r="AM14" s="1">
        <f>+'2022 Korr med revekting pensjon'!BT14</f>
        <v>0</v>
      </c>
      <c r="AN14" s="1">
        <f>+'2022 Korr med revekting pensjon'!CA14</f>
        <v>0</v>
      </c>
      <c r="AO14" s="1"/>
      <c r="AP14" s="11">
        <f t="shared" si="5"/>
        <v>84.145676869017805</v>
      </c>
      <c r="AQ14" s="1"/>
      <c r="AR14" s="11">
        <f>+'2022 Korr med revekt premieavv'!J14</f>
        <v>77.436772209780173</v>
      </c>
      <c r="AT14" s="11"/>
      <c r="AV14" s="11">
        <f t="shared" si="6"/>
        <v>1174.2426243920036</v>
      </c>
      <c r="AW14" s="1">
        <f>+AV14*'2022 Nto driftsutg'!W14</f>
        <v>556744829.74560499</v>
      </c>
    </row>
    <row r="15" spans="1:49" x14ac:dyDescent="0.25">
      <c r="A15" s="43">
        <v>5400</v>
      </c>
      <c r="B15" s="44" t="s">
        <v>396</v>
      </c>
      <c r="C15" s="11">
        <f>+'2022 Grunnlag korreksjoner'!C15*1000/'2022 Nto driftsutg'!W15</f>
        <v>244.68317097474102</v>
      </c>
      <c r="D15" s="1"/>
      <c r="E15" s="1">
        <f>+'2022 Nto driftsutg landet'!$C$5*'2022 Revekting utgiftsbehov'!Z15-'2022 Nto driftsutg landet'!$C$5</f>
        <v>414.10906905498905</v>
      </c>
      <c r="F15" s="1">
        <f>+'2022 Nto driftsutg landet'!$C$6*'2022 Revekting utgiftsbehov'!AA15-'2022 Nto driftsutg landet'!$C$6</f>
        <v>1927.1844209667577</v>
      </c>
      <c r="G15" s="1">
        <f>+'2022 Nto driftsutg landet'!$C$7*'2022 Revekting utgiftsbehov'!AB15-'2022 Nto driftsutg landet'!$C$7</f>
        <v>299.79141281427792</v>
      </c>
      <c r="H15" s="1">
        <f>+'2022 Nto driftsutg landet'!$C$8*'2022 Revekting utgiftsbehov'!AC15-'2022 Nto driftsutg landet'!$C$8</f>
        <v>2028.3355520308066</v>
      </c>
      <c r="I15" s="1">
        <f>+'2022 Nto driftsutg landet'!$C$9*'2022 Revekting utgiftsbehov'!AD15-'2022 Nto driftsutg landet'!$C$9</f>
        <v>-15.239553956305599</v>
      </c>
      <c r="J15" s="11">
        <f t="shared" si="1"/>
        <v>4654.1809009105255</v>
      </c>
      <c r="L15" s="1">
        <f>'2022 Korr med revekting arbavg'!I15</f>
        <v>-369.87362732889073</v>
      </c>
      <c r="M15" s="1">
        <f>'2022 Korr med revekting arbavg'!P15</f>
        <v>-55.893124168348727</v>
      </c>
      <c r="N15" s="1">
        <f>'2022 Korr med revekting arbavg'!W15</f>
        <v>-3.5413258218411658</v>
      </c>
      <c r="O15" s="1">
        <f>'2022 Korr med revekting arbavg'!AD15</f>
        <v>-1.1951106603352577</v>
      </c>
      <c r="P15" s="1">
        <f>'2022 Korr med revekting arbavg'!AK15</f>
        <v>-29.431560006609136</v>
      </c>
      <c r="Q15" s="50">
        <f t="shared" si="2"/>
        <v>-41.24268820754768</v>
      </c>
      <c r="R15" s="1"/>
      <c r="S15" s="1">
        <f>'2022 Korr med revekting arbavg'!AR15</f>
        <v>-34.004969957763834</v>
      </c>
      <c r="T15" s="1">
        <f>'2022 Korr med revekting arbavg'!AY15</f>
        <v>-4.4991326210859155</v>
      </c>
      <c r="U15" s="1">
        <f>'2022 Korr med revekting arbavg'!BF15</f>
        <v>0.19660303595777684</v>
      </c>
      <c r="V15" s="1">
        <f>'2022 Korr med revekting arbavg'!BM15</f>
        <v>-2.9473202761054083</v>
      </c>
      <c r="W15" s="1">
        <f>'2022 Korr med revekting arbavg'!BT15</f>
        <v>0</v>
      </c>
      <c r="X15" s="1">
        <f>'2022 Korr med revekting arbavg'!CA15</f>
        <v>1.2131611449696308E-2</v>
      </c>
      <c r="Y15" s="1"/>
      <c r="Z15" s="11">
        <f t="shared" si="3"/>
        <v>-501.1774361935727</v>
      </c>
      <c r="AB15" s="1">
        <f>+'2022 Korr med revekting pensjon'!I15</f>
        <v>88.273921034417853</v>
      </c>
      <c r="AC15" s="1">
        <f>+'2022 Korr med revekting pensjon'!P15</f>
        <v>-5.4749444913775598</v>
      </c>
      <c r="AD15" s="1">
        <f>+'2022 Korr med revekting pensjon'!W15</f>
        <v>1.0127551821912988</v>
      </c>
      <c r="AE15" s="1">
        <f>+'2022 Korr med revekting pensjon'!AD15</f>
        <v>0.21421411498337042</v>
      </c>
      <c r="AF15" s="1">
        <f>+'2022 Korr med revekting pensjon'!AK15</f>
        <v>10.323408204429892</v>
      </c>
      <c r="AG15" s="50">
        <f t="shared" si="4"/>
        <v>-83.54238809271402</v>
      </c>
      <c r="AH15" s="1"/>
      <c r="AI15" s="1">
        <f>+'2022 Korr med revekting pensjon'!AR15</f>
        <v>-87.725414629999221</v>
      </c>
      <c r="AJ15" s="1">
        <f>+'2022 Korr med revekting pensjon'!AY15</f>
        <v>2.9603151303743092</v>
      </c>
      <c r="AK15" s="1">
        <f>+'2022 Korr med revekting pensjon'!BF15</f>
        <v>-9.3384785351751681E-2</v>
      </c>
      <c r="AL15" s="1">
        <f>+'2022 Korr med revekting pensjon'!BM15</f>
        <v>1.3376615866968082</v>
      </c>
      <c r="AM15" s="1">
        <f>+'2022 Korr med revekting pensjon'!BT15</f>
        <v>0</v>
      </c>
      <c r="AN15" s="1">
        <f>+'2022 Korr med revekting pensjon'!CA15</f>
        <v>-2.1565394434180117E-2</v>
      </c>
      <c r="AO15" s="1"/>
      <c r="AP15" s="11">
        <f t="shared" si="5"/>
        <v>10.806965951930835</v>
      </c>
      <c r="AQ15" s="1"/>
      <c r="AR15" s="11">
        <f>+'2022 Korr med revekt premieavv'!J15</f>
        <v>-53.952148498800696</v>
      </c>
      <c r="AT15" s="11"/>
      <c r="AV15" s="11">
        <f t="shared" si="6"/>
        <v>4354.5414531448241</v>
      </c>
      <c r="AW15" s="1">
        <f>+AV15*'2022 Nto driftsutg'!W15</f>
        <v>1052649432.7174172</v>
      </c>
    </row>
    <row r="16" spans="1:49" x14ac:dyDescent="0.25">
      <c r="C16" s="10"/>
      <c r="E16" s="4"/>
      <c r="F16" s="4"/>
      <c r="G16" s="4"/>
      <c r="H16" s="1"/>
      <c r="I16" s="4"/>
      <c r="J16" s="10"/>
      <c r="Q16" s="51"/>
      <c r="Z16" s="11"/>
      <c r="AG16" s="51"/>
      <c r="AP16" s="10"/>
      <c r="AQ16" s="4"/>
      <c r="AR16" s="11"/>
      <c r="AT16" s="11"/>
      <c r="AV16" s="11"/>
    </row>
    <row r="17" spans="2:49" x14ac:dyDescent="0.25">
      <c r="B17" s="1" t="s">
        <v>3</v>
      </c>
      <c r="C17" s="11">
        <v>0</v>
      </c>
      <c r="D17" s="1"/>
      <c r="E17" s="1">
        <v>0</v>
      </c>
      <c r="F17" s="1">
        <f>+'2022 Nto driftsutg landet'!$C$6*'2022 Nøkkel revektet'!E17-'2022 Nto driftsutg landet'!$C$6</f>
        <v>0</v>
      </c>
      <c r="G17" s="1">
        <f>+'2022 Nto driftsutg landet'!$C$6*'2022 Nøkkel revektet'!F17-'2022 Nto driftsutg landet'!$C$6</f>
        <v>0</v>
      </c>
      <c r="H17" s="1">
        <f>+'2022 Nto driftsutg landet'!$C$8*'2022 Nøkkel revektet'!G17-'2022 Nto driftsutg landet'!$C$8</f>
        <v>0</v>
      </c>
      <c r="I17" s="1">
        <f>+'2022 Nto driftsutg landet'!$C$6*'2022 Nøkkel revektet'!H17-'2022 Nto driftsutg landet'!$C$6</f>
        <v>0</v>
      </c>
      <c r="J17" s="11">
        <f>SUM(E17:I17)</f>
        <v>0</v>
      </c>
      <c r="K17" s="1"/>
      <c r="L17" s="1">
        <f>+'2022 Korr med revekting arbavg'!J17</f>
        <v>-1.7462298274040222E-10</v>
      </c>
      <c r="M17" s="1">
        <f>+'2022 Korr med revekting arbavg'!Q17</f>
        <v>-2.0008883439004421E-11</v>
      </c>
      <c r="N17" s="1">
        <f>+'2022 Korr med revekting arbavg'!X17</f>
        <v>-3.4106051316484809E-12</v>
      </c>
      <c r="O17" s="1">
        <f>+'2022 Korr med revekting arbavg'!AE17</f>
        <v>0</v>
      </c>
      <c r="P17" s="1">
        <f>+'2022 Korr med revekting arbavg'!AL17</f>
        <v>2.3646862246096134E-11</v>
      </c>
      <c r="Q17" s="50">
        <f>SUM(R17:Y17)</f>
        <v>-5.9490190551514388E-12</v>
      </c>
      <c r="R17" s="1"/>
      <c r="S17" s="1">
        <f>'2022 Korr med revekting arbavg'!AR17</f>
        <v>0</v>
      </c>
      <c r="T17" s="1">
        <f>'2022 Korr med revekting arbavg'!AZ17</f>
        <v>-3.865352482534945E-12</v>
      </c>
      <c r="U17" s="1">
        <f>'2022 Korr med revekting arbavg'!BG17</f>
        <v>2.0605739337042905E-13</v>
      </c>
      <c r="V17" s="1">
        <f>'2022 Korr med revekting arbavg'!BN17</f>
        <v>-2.2737367544323206E-12</v>
      </c>
      <c r="W17" s="1">
        <f>'2022 Korr med revekting arbavg'!BU17</f>
        <v>-1.5987211554602254E-14</v>
      </c>
      <c r="X17" s="1">
        <f>'2022 Korr med revekting arbavg'!CB17</f>
        <v>0</v>
      </c>
      <c r="Y17" s="1"/>
      <c r="Z17" s="11">
        <f>SUM(L17:P17)+Q17</f>
        <v>-1.8034462812011043E-10</v>
      </c>
      <c r="AB17" s="1">
        <f>+'2022 Korr med revekting pensjon'!J17</f>
        <v>-3.4924596548080444E-10</v>
      </c>
      <c r="AC17" s="1">
        <f>+'2022 Korr med revekting pensjon'!Q17</f>
        <v>-2.2282620193436742E-11</v>
      </c>
      <c r="AD17" s="1">
        <f>+'2022 Korr med revekting pensjon'!X17</f>
        <v>-2.3305801732931286E-12</v>
      </c>
      <c r="AE17" s="1">
        <f>+'2022 Korr med revekting pensjon'!AE17</f>
        <v>-7.1054273576010019E-14</v>
      </c>
      <c r="AF17" s="1">
        <f>+'2022 Korr med revekting pensjon'!AL17</f>
        <v>2.0463630789890885E-11</v>
      </c>
      <c r="AG17" s="50"/>
      <c r="AH17" s="1"/>
      <c r="AI17" s="1">
        <f>+'2022 Korr med revekting pensjon'!AS17</f>
        <v>-31.223445395800809</v>
      </c>
      <c r="AJ17" s="1">
        <f>+'2022 Korr med revekting pensjon'!AZ17</f>
        <v>-3.979039320256561E-12</v>
      </c>
      <c r="AK17" s="1">
        <f>+'2022 Korr med revekting pensjon'!BG17</f>
        <v>2.8421709430404007E-13</v>
      </c>
      <c r="AL17" s="1">
        <f>+'2022 Korr med revekting pensjon'!BN17</f>
        <v>-2.3874235921539366E-12</v>
      </c>
      <c r="AM17" s="1">
        <f>+'2022 Korr med revekting pensjon'!BU17</f>
        <v>4.4408920985006262E-15</v>
      </c>
      <c r="AN17" s="1">
        <f>+'2022 Korr med revekting pensjon'!CB17</f>
        <v>0</v>
      </c>
      <c r="AO17" s="1"/>
      <c r="AP17" s="11">
        <f>SUM(AB17:AF17)+AG17</f>
        <v>-3.5346658933121944E-10</v>
      </c>
      <c r="AQ17" s="1"/>
      <c r="AR17" s="11">
        <f>+'2022 Korr med revekt premieavv'!K17</f>
        <v>28960.625686587766</v>
      </c>
      <c r="AT17" s="11"/>
      <c r="AV17" s="11">
        <f>+C17+J17+Z17+AP17+AR17</f>
        <v>28960.625686587231</v>
      </c>
      <c r="AW17" s="5">
        <f>SUM(AW5:AW15)</f>
        <v>-13991.487777471542</v>
      </c>
    </row>
    <row r="19" spans="2:49" x14ac:dyDescent="0.25">
      <c r="E19" s="5"/>
      <c r="F19" s="5"/>
      <c r="G19" s="5"/>
      <c r="H19" s="5"/>
      <c r="I19" s="5"/>
      <c r="AB19" s="5"/>
      <c r="AC19" s="5"/>
      <c r="AD19" s="5"/>
      <c r="AE19" s="5"/>
      <c r="AF19" s="5"/>
      <c r="AH19" s="5"/>
      <c r="AI19" s="5"/>
      <c r="AJ19" s="5"/>
      <c r="AK19" s="5"/>
      <c r="AL19" s="5"/>
      <c r="AM19" s="5"/>
      <c r="AN19" s="5"/>
      <c r="AO19" s="5"/>
    </row>
    <row r="21" spans="2:49" x14ac:dyDescent="0.25">
      <c r="E21" t="s">
        <v>316</v>
      </c>
    </row>
    <row r="22" spans="2:49" x14ac:dyDescent="0.25">
      <c r="C22" t="s">
        <v>317</v>
      </c>
      <c r="E22" s="5">
        <f>+C6+E6+L6+AB6</f>
        <v>422.91227798058821</v>
      </c>
    </row>
  </sheetData>
  <sheetProtection algorithmName="SHA-512" hashValue="W9R84j/rB5eanx44ZIYr/FEYu165ClfHAA6YMBFEIXhJPM7A74oyeYwPLvFs3WoWKJun4nNuhbAzGrp93G8OnA==" saltValue="uv/zq0pfVni6stexOuTsa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15799-0EC6-47A6-8084-C32A0509BCF2}">
  <dimension ref="A2:F36"/>
  <sheetViews>
    <sheetView workbookViewId="0">
      <selection activeCell="G30" sqref="G30"/>
    </sheetView>
  </sheetViews>
  <sheetFormatPr baseColWidth="10" defaultRowHeight="15" x14ac:dyDescent="0.25"/>
  <cols>
    <col min="1" max="1" width="39.140625" customWidth="1"/>
    <col min="2" max="3" width="21" customWidth="1"/>
  </cols>
  <sheetData>
    <row r="2" spans="1:5" ht="26.25" x14ac:dyDescent="0.25">
      <c r="A2" s="24" t="s">
        <v>10</v>
      </c>
      <c r="B2" s="24" t="s">
        <v>34</v>
      </c>
      <c r="C2" s="24" t="s">
        <v>34</v>
      </c>
    </row>
    <row r="3" spans="1:5" x14ac:dyDescent="0.25">
      <c r="A3" s="6"/>
      <c r="B3" s="6" t="s">
        <v>11</v>
      </c>
      <c r="C3" s="6" t="s">
        <v>12</v>
      </c>
    </row>
    <row r="4" spans="1:5" x14ac:dyDescent="0.25">
      <c r="A4" s="107">
        <v>1</v>
      </c>
      <c r="B4" s="107">
        <f>+A4+1</f>
        <v>2</v>
      </c>
      <c r="C4" s="107">
        <f>+B4+1</f>
        <v>3</v>
      </c>
    </row>
    <row r="5" spans="1:5" x14ac:dyDescent="0.25">
      <c r="A5" t="s">
        <v>174</v>
      </c>
      <c r="B5" s="5">
        <f>+'2022 Nto driftsutg eks avskriv'!D17</f>
        <v>34985082</v>
      </c>
      <c r="C5" s="5">
        <f>+B5*1000/'2022 Nto driftsutg'!$W$17</f>
        <v>6448.5421002088378</v>
      </c>
      <c r="E5" s="5"/>
    </row>
    <row r="6" spans="1:5" x14ac:dyDescent="0.25">
      <c r="A6" t="s">
        <v>175</v>
      </c>
      <c r="B6" s="5">
        <f>+'2022 Nto driftsutg eks avskriv'!E17</f>
        <v>9821690</v>
      </c>
      <c r="C6" s="5">
        <f>+B6*1000/'2022 Nto driftsutg'!$W$17</f>
        <v>1810.3596687353809</v>
      </c>
      <c r="E6" s="5"/>
    </row>
    <row r="7" spans="1:5" x14ac:dyDescent="0.25">
      <c r="A7" t="s">
        <v>278</v>
      </c>
      <c r="B7" s="5">
        <f>+'2022 Nto driftsutg eks avskriv'!F17</f>
        <v>13408301</v>
      </c>
      <c r="C7" s="5">
        <f>+B7*1000/'2022 Nto driftsutg'!$W$17</f>
        <v>2471.4532179965236</v>
      </c>
      <c r="E7" s="5"/>
    </row>
    <row r="8" spans="1:5" x14ac:dyDescent="0.25">
      <c r="A8" t="s">
        <v>279</v>
      </c>
      <c r="B8" s="5">
        <f>+'2022 Nto driftsutg eks avskriv'!G17</f>
        <v>5051662</v>
      </c>
      <c r="C8" s="5">
        <f>+B8*1000/'2022 Nto driftsutg'!$W$17</f>
        <v>931.13559325158008</v>
      </c>
      <c r="E8" s="5"/>
    </row>
    <row r="9" spans="1:5" x14ac:dyDescent="0.25">
      <c r="A9" s="23" t="s">
        <v>176</v>
      </c>
      <c r="B9" s="22">
        <f>+'2022 Nto driftsutg eks avskriv'!H17</f>
        <v>2885206</v>
      </c>
      <c r="C9" s="22">
        <f>+B9*1000/'2022 Nto driftsutg'!$W$17</f>
        <v>531.80873947287421</v>
      </c>
      <c r="E9" s="5"/>
    </row>
    <row r="10" spans="1:5" x14ac:dyDescent="0.25">
      <c r="A10" s="9" t="s">
        <v>31</v>
      </c>
      <c r="B10" s="8">
        <f>SUM(B5:B9)</f>
        <v>66151941</v>
      </c>
      <c r="C10" s="8">
        <f>SUM(C5:C9)</f>
        <v>12193.299319665197</v>
      </c>
      <c r="D10" s="8"/>
      <c r="E10" s="8"/>
    </row>
    <row r="11" spans="1:5" x14ac:dyDescent="0.25">
      <c r="A11" s="9"/>
      <c r="B11" s="8"/>
      <c r="C11" s="8"/>
    </row>
    <row r="12" spans="1:5" x14ac:dyDescent="0.25">
      <c r="A12" s="9"/>
      <c r="B12" s="8"/>
      <c r="C12" s="8"/>
    </row>
    <row r="13" spans="1:5" x14ac:dyDescent="0.25">
      <c r="A13" t="s">
        <v>23</v>
      </c>
      <c r="B13" s="54">
        <f>+'2022 Nto driftsutg eks avskriv'!I17</f>
        <v>7697296</v>
      </c>
      <c r="C13" s="5">
        <f>+B13*1000/'2022 Nto driftsutg'!$W$17</f>
        <v>1418.7857931494655</v>
      </c>
      <c r="E13" s="5"/>
    </row>
    <row r="14" spans="1:5" x14ac:dyDescent="0.25">
      <c r="A14" t="s">
        <v>27</v>
      </c>
      <c r="B14" s="5">
        <f>+'2022 Nto driftsutg eks avskriv'!R17</f>
        <v>-608659.14792834804</v>
      </c>
      <c r="C14" s="5">
        <f>+B14*1000/'2022 Nto driftsutg'!$W$17</f>
        <v>-112.18965100876972</v>
      </c>
      <c r="E14" s="5"/>
    </row>
    <row r="15" spans="1:5" x14ac:dyDescent="0.25">
      <c r="A15" t="s">
        <v>24</v>
      </c>
      <c r="B15" s="5">
        <f>+'2022 Nto driftsutg eks avskriv'!S17</f>
        <v>3892031.5445139389</v>
      </c>
      <c r="C15" s="5">
        <f>+B15*1000/'2022 Nto driftsutg'!$W$17</f>
        <v>717.38946531950285</v>
      </c>
      <c r="E15" s="5"/>
    </row>
    <row r="16" spans="1:5" x14ac:dyDescent="0.25">
      <c r="A16" s="23" t="s">
        <v>25</v>
      </c>
      <c r="B16" s="22">
        <f>+'2022 Nto driftsutg eks avskriv'!T17</f>
        <v>7109404.8963334756</v>
      </c>
      <c r="C16" s="22">
        <f>+B16*1000/'2022 Nto driftsutg'!$W$17</f>
        <v>1310.4241625455463</v>
      </c>
      <c r="E16" s="5"/>
    </row>
    <row r="17" spans="1:6" x14ac:dyDescent="0.25">
      <c r="A17" s="9" t="s">
        <v>32</v>
      </c>
      <c r="B17" s="8">
        <f>SUM(B13:B16)</f>
        <v>18090073.292919066</v>
      </c>
      <c r="C17" s="8">
        <f>SUM(C13:C16)</f>
        <v>3334.4097700057446</v>
      </c>
      <c r="D17" s="8"/>
      <c r="E17" s="8"/>
    </row>
    <row r="19" spans="1:6" x14ac:dyDescent="0.25">
      <c r="A19" s="7" t="s">
        <v>33</v>
      </c>
      <c r="B19" s="25">
        <f>+B10+B17</f>
        <v>84242014.29291907</v>
      </c>
      <c r="C19" s="25">
        <f>+B19*1000/'2022 Nto driftsutg'!$W$17</f>
        <v>15527.709089670941</v>
      </c>
      <c r="D19" s="25"/>
      <c r="E19" s="5"/>
      <c r="F19" s="5"/>
    </row>
    <row r="22" spans="1:6" x14ac:dyDescent="0.25">
      <c r="A22" s="7" t="s">
        <v>84</v>
      </c>
    </row>
    <row r="23" spans="1:6" x14ac:dyDescent="0.25">
      <c r="A23" t="s">
        <v>4</v>
      </c>
      <c r="B23" s="5">
        <f>+'2022 Nto driftsutg eks avskriv'!K17</f>
        <v>4707694</v>
      </c>
      <c r="C23" s="5">
        <f>+B23*1000/'2022 Nto driftsutg'!$W$17</f>
        <v>867.73450906590824</v>
      </c>
    </row>
    <row r="24" spans="1:6" x14ac:dyDescent="0.25">
      <c r="A24" t="s">
        <v>177</v>
      </c>
      <c r="B24" s="5">
        <f>+'2022 Nto driftsutg eks avskriv'!L17</f>
        <v>1245084</v>
      </c>
      <c r="C24" s="5">
        <f>+B24*1000/'2022 Nto driftsutg'!$W$17</f>
        <v>229.49714945062641</v>
      </c>
    </row>
    <row r="25" spans="1:6" x14ac:dyDescent="0.25">
      <c r="A25" t="s">
        <v>37</v>
      </c>
      <c r="B25" s="5">
        <f>+'2022 Nto driftsutg eks avskriv'!M17</f>
        <v>-183703</v>
      </c>
      <c r="C25" s="5">
        <f>+B25*1000/'2022 Nto driftsutg'!$W$17</f>
        <v>-33.860618918505438</v>
      </c>
    </row>
    <row r="26" spans="1:6" x14ac:dyDescent="0.25">
      <c r="A26" t="s">
        <v>178</v>
      </c>
      <c r="B26" s="5">
        <f>+'2022 Nto driftsutg eks avskriv'!N17</f>
        <v>1939984</v>
      </c>
      <c r="C26" s="5">
        <f>+B26*1000/'2022 Nto driftsutg'!$W$17</f>
        <v>357.58294057254295</v>
      </c>
    </row>
    <row r="27" spans="1:6" x14ac:dyDescent="0.25">
      <c r="A27" t="s">
        <v>38</v>
      </c>
      <c r="B27" s="5">
        <f>+'2022 Nto driftsutg eks avskriv'!O17</f>
        <v>-4225</v>
      </c>
      <c r="C27" s="5">
        <f>+B27*1000/'2022 Nto driftsutg'!$W$17</f>
        <v>-0.77876308460224097</v>
      </c>
    </row>
    <row r="28" spans="1:6" x14ac:dyDescent="0.25">
      <c r="A28" s="23" t="s">
        <v>39</v>
      </c>
      <c r="B28" s="22">
        <f>+'2022 Nto driftsutg eks avskriv'!P17</f>
        <v>-7538</v>
      </c>
      <c r="C28" s="22">
        <f>+B28*1000/'2022 Nto driftsutg'!$W$17</f>
        <v>-1.3894239365045427</v>
      </c>
    </row>
    <row r="29" spans="1:6" x14ac:dyDescent="0.25">
      <c r="A29" t="s">
        <v>18</v>
      </c>
      <c r="B29" s="54">
        <f>SUM(B23:B28)</f>
        <v>7697296</v>
      </c>
      <c r="C29" s="5">
        <f>SUM(C23:C28)</f>
        <v>1418.7857931494657</v>
      </c>
    </row>
    <row r="33" spans="1:3" x14ac:dyDescent="0.25">
      <c r="A33" s="7"/>
    </row>
    <row r="34" spans="1:3" x14ac:dyDescent="0.25">
      <c r="B34" s="5"/>
      <c r="C34" s="5"/>
    </row>
    <row r="35" spans="1:3" x14ac:dyDescent="0.25">
      <c r="B35" s="5"/>
      <c r="C35" s="5"/>
    </row>
    <row r="36" spans="1:3" x14ac:dyDescent="0.25">
      <c r="B36" s="5"/>
      <c r="C36" s="5"/>
    </row>
  </sheetData>
  <sheetProtection password="F91D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760E3-8605-471D-9CEF-9CBAFAF682E2}">
  <sheetPr>
    <tabColor rgb="FF92D050"/>
  </sheetPr>
  <dimension ref="A1:AA38"/>
  <sheetViews>
    <sheetView zoomScale="90" zoomScaleNormal="90"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5" x14ac:dyDescent="0.25"/>
  <cols>
    <col min="1" max="1" width="9.85546875" customWidth="1"/>
    <col min="2" max="3" width="18.5703125" customWidth="1"/>
    <col min="4" max="8" width="13.140625" customWidth="1"/>
    <col min="9" max="9" width="14.5703125" customWidth="1"/>
    <col min="10" max="20" width="13.140625" customWidth="1"/>
    <col min="21" max="21" width="7.140625" customWidth="1"/>
    <col min="22" max="23" width="13.140625" customWidth="1"/>
    <col min="24" max="24" width="4.5703125" customWidth="1"/>
    <col min="26" max="26" width="14" customWidth="1"/>
    <col min="27" max="27" width="14.140625" customWidth="1"/>
  </cols>
  <sheetData>
    <row r="1" spans="1:27" x14ac:dyDescent="0.25">
      <c r="D1" s="5"/>
      <c r="E1" s="5"/>
      <c r="F1" s="5"/>
      <c r="G1" s="5"/>
      <c r="H1" s="5"/>
      <c r="J1" s="5"/>
      <c r="K1" s="5"/>
      <c r="L1" s="5"/>
      <c r="M1" s="5"/>
    </row>
    <row r="2" spans="1:27" ht="104.25" customHeight="1" x14ac:dyDescent="0.25">
      <c r="A2" s="24" t="s">
        <v>2</v>
      </c>
      <c r="B2" s="24" t="s">
        <v>1</v>
      </c>
      <c r="C2" s="24" t="s">
        <v>21</v>
      </c>
      <c r="D2" s="24" t="s">
        <v>144</v>
      </c>
      <c r="E2" s="24" t="s">
        <v>145</v>
      </c>
      <c r="F2" s="24" t="s">
        <v>286</v>
      </c>
      <c r="G2" s="24" t="s">
        <v>287</v>
      </c>
      <c r="H2" s="24" t="s">
        <v>146</v>
      </c>
      <c r="I2" s="13" t="s">
        <v>29</v>
      </c>
      <c r="J2" s="24" t="s">
        <v>147</v>
      </c>
      <c r="K2" s="24" t="s">
        <v>148</v>
      </c>
      <c r="L2" s="24" t="s">
        <v>149</v>
      </c>
      <c r="M2" s="24" t="s">
        <v>150</v>
      </c>
      <c r="N2" s="24" t="s">
        <v>151</v>
      </c>
      <c r="O2" s="24" t="s">
        <v>152</v>
      </c>
      <c r="P2" s="24" t="s">
        <v>153</v>
      </c>
      <c r="Q2" s="24" t="s">
        <v>154</v>
      </c>
      <c r="R2" s="24" t="s">
        <v>6</v>
      </c>
      <c r="S2" s="24" t="s">
        <v>19</v>
      </c>
      <c r="T2" s="24" t="s">
        <v>20</v>
      </c>
      <c r="U2" s="24"/>
      <c r="V2" s="24" t="s">
        <v>400</v>
      </c>
      <c r="W2" s="24" t="s">
        <v>400</v>
      </c>
      <c r="X2" s="24"/>
      <c r="Y2" s="24"/>
      <c r="Z2" s="24"/>
      <c r="AA2" s="24"/>
    </row>
    <row r="3" spans="1:27" x14ac:dyDescent="0.25">
      <c r="A3" s="107">
        <v>1</v>
      </c>
      <c r="B3" s="107">
        <f t="shared" ref="B3:Y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  <c r="V3" s="107">
        <f t="shared" si="0"/>
        <v>22</v>
      </c>
      <c r="W3" s="107">
        <f t="shared" si="0"/>
        <v>23</v>
      </c>
      <c r="X3" s="107">
        <f t="shared" si="0"/>
        <v>24</v>
      </c>
      <c r="Y3" s="107">
        <f t="shared" si="0"/>
        <v>25</v>
      </c>
      <c r="Z3" s="107"/>
      <c r="AA3" s="107"/>
    </row>
    <row r="4" spans="1:27" x14ac:dyDescent="0.25">
      <c r="C4" s="5"/>
      <c r="I4" s="21"/>
    </row>
    <row r="5" spans="1:27" x14ac:dyDescent="0.25">
      <c r="A5" s="43">
        <v>300</v>
      </c>
      <c r="B5" s="44" t="s">
        <v>0</v>
      </c>
      <c r="C5" s="1">
        <f t="shared" ref="C5:C15" si="1">SUM(D5:I5)+R5+S5+T5</f>
        <v>7966598.2929190667</v>
      </c>
      <c r="D5" s="1">
        <v>3657177</v>
      </c>
      <c r="E5" s="1">
        <v>0</v>
      </c>
      <c r="F5" s="114">
        <f>3064139+129450+27576+361839</f>
        <v>3583004</v>
      </c>
      <c r="G5" s="114">
        <f>24877+3855</f>
        <v>28732</v>
      </c>
      <c r="H5" s="1">
        <v>249736</v>
      </c>
      <c r="I5" s="11">
        <f t="shared" ref="I5:I15" si="2">SUM(J5:Q5)</f>
        <v>228248</v>
      </c>
      <c r="J5" s="1"/>
      <c r="K5" s="1">
        <v>133259</v>
      </c>
      <c r="L5" s="1">
        <v>0</v>
      </c>
      <c r="M5" s="1">
        <v>14963</v>
      </c>
      <c r="N5" s="1">
        <v>80026</v>
      </c>
      <c r="O5" s="1">
        <v>0</v>
      </c>
      <c r="P5" s="1">
        <v>0</v>
      </c>
      <c r="Q5" s="1"/>
      <c r="R5" s="112">
        <v>-405955.14792834799</v>
      </c>
      <c r="S5" s="112">
        <v>81265.544513938818</v>
      </c>
      <c r="T5" s="112">
        <v>544390.89633347548</v>
      </c>
      <c r="U5" s="1"/>
      <c r="V5" s="1">
        <f t="shared" ref="V5:V15" si="3">IF(C5&gt;0,W5,0)</f>
        <v>699827</v>
      </c>
      <c r="W5" s="1">
        <v>699827</v>
      </c>
      <c r="Y5" s="5"/>
      <c r="Z5" s="1"/>
      <c r="AA5" s="1"/>
    </row>
    <row r="6" spans="1:27" x14ac:dyDescent="0.25">
      <c r="A6" s="43">
        <v>1100</v>
      </c>
      <c r="B6" s="44" t="s">
        <v>141</v>
      </c>
      <c r="C6" s="1">
        <f t="shared" si="1"/>
        <v>7805255</v>
      </c>
      <c r="D6" s="1">
        <v>3532169</v>
      </c>
      <c r="E6" s="1">
        <v>1146112</v>
      </c>
      <c r="F6" s="1">
        <v>991650</v>
      </c>
      <c r="G6" s="1">
        <v>473299</v>
      </c>
      <c r="H6" s="1">
        <v>311305</v>
      </c>
      <c r="I6" s="11">
        <f t="shared" si="2"/>
        <v>117162</v>
      </c>
      <c r="J6" s="1"/>
      <c r="K6" s="1">
        <v>322239</v>
      </c>
      <c r="L6" s="1">
        <v>72438</v>
      </c>
      <c r="M6" s="1">
        <v>-445959</v>
      </c>
      <c r="N6" s="1">
        <v>159740</v>
      </c>
      <c r="O6" s="1">
        <v>0</v>
      </c>
      <c r="P6" s="1">
        <v>8704</v>
      </c>
      <c r="Q6" s="1"/>
      <c r="R6" s="1">
        <v>-20762</v>
      </c>
      <c r="S6" s="1">
        <v>522086</v>
      </c>
      <c r="T6" s="1">
        <v>732234</v>
      </c>
      <c r="U6" s="1"/>
      <c r="V6" s="1">
        <f t="shared" si="3"/>
        <v>485797</v>
      </c>
      <c r="W6" s="1">
        <v>485797</v>
      </c>
      <c r="Z6" s="1"/>
      <c r="AA6" s="1"/>
    </row>
    <row r="7" spans="1:27" x14ac:dyDescent="0.25">
      <c r="A7" s="43">
        <v>1500</v>
      </c>
      <c r="B7" s="44" t="s">
        <v>142</v>
      </c>
      <c r="C7" s="1">
        <f t="shared" si="1"/>
        <v>6007572</v>
      </c>
      <c r="D7" s="1">
        <v>1955715</v>
      </c>
      <c r="E7" s="1">
        <v>1161383</v>
      </c>
      <c r="F7" s="1">
        <v>577139</v>
      </c>
      <c r="G7" s="1">
        <v>914852</v>
      </c>
      <c r="H7" s="1">
        <v>183464</v>
      </c>
      <c r="I7" s="11">
        <f t="shared" si="2"/>
        <v>573999</v>
      </c>
      <c r="J7" s="1"/>
      <c r="K7" s="1">
        <v>237785</v>
      </c>
      <c r="L7" s="1">
        <v>144581</v>
      </c>
      <c r="M7" s="1">
        <v>71157</v>
      </c>
      <c r="N7" s="1">
        <v>110848</v>
      </c>
      <c r="O7" s="1">
        <v>1137</v>
      </c>
      <c r="P7" s="1">
        <v>8491</v>
      </c>
      <c r="Q7" s="1"/>
      <c r="R7" s="1">
        <v>12462</v>
      </c>
      <c r="S7" s="1">
        <v>415425</v>
      </c>
      <c r="T7" s="1">
        <v>213133</v>
      </c>
      <c r="U7" s="1"/>
      <c r="V7" s="1">
        <f t="shared" si="3"/>
        <v>265848</v>
      </c>
      <c r="W7" s="1">
        <v>265848</v>
      </c>
      <c r="Z7" s="1"/>
      <c r="AA7" s="1"/>
    </row>
    <row r="8" spans="1:27" x14ac:dyDescent="0.25">
      <c r="A8" s="43">
        <v>1800</v>
      </c>
      <c r="B8" s="44" t="s">
        <v>143</v>
      </c>
      <c r="C8" s="1">
        <f t="shared" si="1"/>
        <v>6510844</v>
      </c>
      <c r="D8" s="1">
        <v>2045152</v>
      </c>
      <c r="E8" s="1">
        <v>977050</v>
      </c>
      <c r="F8" s="1">
        <v>478057</v>
      </c>
      <c r="G8" s="1">
        <v>1136858</v>
      </c>
      <c r="H8" s="1">
        <v>214108</v>
      </c>
      <c r="I8" s="11">
        <f t="shared" si="2"/>
        <v>631630</v>
      </c>
      <c r="J8" s="1"/>
      <c r="K8" s="1">
        <v>330212</v>
      </c>
      <c r="L8" s="1">
        <v>26364</v>
      </c>
      <c r="M8" s="1">
        <v>101743</v>
      </c>
      <c r="N8" s="1">
        <v>172931</v>
      </c>
      <c r="O8" s="1">
        <v>14</v>
      </c>
      <c r="P8" s="1">
        <v>366</v>
      </c>
      <c r="Q8" s="1"/>
      <c r="R8" s="1">
        <v>-32019</v>
      </c>
      <c r="S8" s="1">
        <v>269896</v>
      </c>
      <c r="T8" s="1">
        <v>790112</v>
      </c>
      <c r="U8" s="1"/>
      <c r="V8" s="1">
        <f t="shared" si="3"/>
        <v>240190</v>
      </c>
      <c r="W8" s="1">
        <v>240190</v>
      </c>
      <c r="Z8" s="1"/>
      <c r="AA8" s="1"/>
    </row>
    <row r="9" spans="1:27" x14ac:dyDescent="0.25">
      <c r="A9" s="43">
        <v>3000</v>
      </c>
      <c r="B9" s="44" t="s">
        <v>391</v>
      </c>
      <c r="C9" s="1">
        <f t="shared" si="1"/>
        <v>17204341</v>
      </c>
      <c r="D9" s="1">
        <v>8753484</v>
      </c>
      <c r="E9" s="1">
        <v>1908174</v>
      </c>
      <c r="F9" s="1">
        <v>2500839</v>
      </c>
      <c r="G9" s="1">
        <v>15229</v>
      </c>
      <c r="H9" s="1">
        <v>552469</v>
      </c>
      <c r="I9" s="11">
        <f t="shared" si="2"/>
        <v>1854675</v>
      </c>
      <c r="J9" s="1"/>
      <c r="K9" s="1">
        <v>1130837</v>
      </c>
      <c r="L9" s="1">
        <v>223474</v>
      </c>
      <c r="M9" s="1">
        <v>122951</v>
      </c>
      <c r="N9" s="1">
        <v>383503</v>
      </c>
      <c r="O9" s="1">
        <v>-5935</v>
      </c>
      <c r="P9" s="1">
        <v>-155</v>
      </c>
      <c r="Q9" s="1"/>
      <c r="R9" s="1">
        <v>-156821</v>
      </c>
      <c r="S9" s="1">
        <v>169385</v>
      </c>
      <c r="T9" s="1">
        <v>1606907</v>
      </c>
      <c r="U9" s="1"/>
      <c r="V9" s="1">
        <f t="shared" si="3"/>
        <v>1269230</v>
      </c>
      <c r="W9" s="1">
        <v>1269230</v>
      </c>
      <c r="Z9" s="1"/>
      <c r="AA9" s="1"/>
    </row>
    <row r="10" spans="1:27" x14ac:dyDescent="0.25">
      <c r="A10" s="43">
        <v>3400</v>
      </c>
      <c r="B10" s="44" t="s">
        <v>392</v>
      </c>
      <c r="C10" s="1">
        <f t="shared" si="1"/>
        <v>6173422</v>
      </c>
      <c r="D10" s="1">
        <v>2683963</v>
      </c>
      <c r="E10" s="1">
        <v>1199066</v>
      </c>
      <c r="F10" s="1">
        <v>799326</v>
      </c>
      <c r="G10" s="1">
        <v>14937</v>
      </c>
      <c r="H10" s="1">
        <v>220471</v>
      </c>
      <c r="I10" s="11">
        <f t="shared" si="2"/>
        <v>703165</v>
      </c>
      <c r="J10" s="1"/>
      <c r="K10" s="1">
        <v>372662</v>
      </c>
      <c r="L10" s="1">
        <v>76480</v>
      </c>
      <c r="M10" s="1">
        <v>123873</v>
      </c>
      <c r="N10" s="1">
        <v>130146</v>
      </c>
      <c r="O10" s="1">
        <v>0</v>
      </c>
      <c r="P10" s="1">
        <v>4</v>
      </c>
      <c r="Q10" s="1"/>
      <c r="R10" s="1">
        <v>68682</v>
      </c>
      <c r="S10" s="1">
        <v>138440</v>
      </c>
      <c r="T10" s="1">
        <v>345372</v>
      </c>
      <c r="U10" s="1"/>
      <c r="V10" s="1">
        <f t="shared" si="3"/>
        <v>371253</v>
      </c>
      <c r="W10" s="1">
        <v>371253</v>
      </c>
      <c r="Z10" s="1"/>
      <c r="AA10" s="1"/>
    </row>
    <row r="11" spans="1:27" x14ac:dyDescent="0.25">
      <c r="A11" s="43">
        <v>3800</v>
      </c>
      <c r="B11" s="44" t="s">
        <v>393</v>
      </c>
      <c r="C11" s="1">
        <f t="shared" si="1"/>
        <v>6235322</v>
      </c>
      <c r="D11" s="1">
        <v>3041051</v>
      </c>
      <c r="E11" s="1">
        <v>952925</v>
      </c>
      <c r="F11" s="1">
        <v>682787</v>
      </c>
      <c r="G11" s="1">
        <v>41405</v>
      </c>
      <c r="H11" s="1">
        <v>225659</v>
      </c>
      <c r="I11" s="11">
        <f t="shared" si="2"/>
        <v>924351</v>
      </c>
      <c r="J11" s="1"/>
      <c r="K11" s="1">
        <v>396314</v>
      </c>
      <c r="L11" s="1">
        <v>204415</v>
      </c>
      <c r="M11" s="1">
        <v>102200</v>
      </c>
      <c r="N11" s="1">
        <v>210080</v>
      </c>
      <c r="O11" s="1">
        <v>559</v>
      </c>
      <c r="P11" s="1">
        <v>10783</v>
      </c>
      <c r="Q11" s="1"/>
      <c r="R11" s="1">
        <v>-43725</v>
      </c>
      <c r="S11" s="1">
        <v>253513</v>
      </c>
      <c r="T11" s="1">
        <v>157356</v>
      </c>
      <c r="U11" s="1"/>
      <c r="V11" s="1">
        <f t="shared" si="3"/>
        <v>424832</v>
      </c>
      <c r="W11" s="1">
        <v>424832</v>
      </c>
      <c r="Z11" s="1"/>
      <c r="AA11" s="1"/>
    </row>
    <row r="12" spans="1:27" x14ac:dyDescent="0.25">
      <c r="A12" s="43">
        <v>4200</v>
      </c>
      <c r="B12" s="44" t="s">
        <v>394</v>
      </c>
      <c r="C12" s="1">
        <f t="shared" si="1"/>
        <v>5099389</v>
      </c>
      <c r="D12" s="1">
        <v>2409450</v>
      </c>
      <c r="E12" s="1">
        <v>873792</v>
      </c>
      <c r="F12" s="1">
        <v>574531</v>
      </c>
      <c r="G12" s="1">
        <v>54088</v>
      </c>
      <c r="H12" s="1">
        <v>177578</v>
      </c>
      <c r="I12" s="11">
        <f t="shared" si="2"/>
        <v>440874</v>
      </c>
      <c r="J12" s="1"/>
      <c r="K12" s="1">
        <v>349136</v>
      </c>
      <c r="L12" s="1">
        <v>190825</v>
      </c>
      <c r="M12" s="1">
        <v>-182577</v>
      </c>
      <c r="N12" s="1">
        <v>82479</v>
      </c>
      <c r="O12" s="1">
        <v>0</v>
      </c>
      <c r="P12" s="1">
        <v>1011</v>
      </c>
      <c r="Q12" s="1"/>
      <c r="R12" s="1">
        <v>9271</v>
      </c>
      <c r="S12" s="1">
        <v>237954</v>
      </c>
      <c r="T12" s="1">
        <v>321851</v>
      </c>
      <c r="U12" s="1"/>
      <c r="V12" s="1">
        <f t="shared" si="3"/>
        <v>311134</v>
      </c>
      <c r="W12" s="1">
        <v>311134</v>
      </c>
      <c r="Z12" s="1"/>
      <c r="AA12" s="1"/>
    </row>
    <row r="13" spans="1:27" x14ac:dyDescent="0.25">
      <c r="A13" s="43">
        <v>4600</v>
      </c>
      <c r="B13" s="44" t="s">
        <v>395</v>
      </c>
      <c r="C13" s="1">
        <f t="shared" si="1"/>
        <v>12895174</v>
      </c>
      <c r="D13" s="1">
        <v>4025549</v>
      </c>
      <c r="E13" s="1">
        <v>2106761</v>
      </c>
      <c r="F13" s="1">
        <v>2025424</v>
      </c>
      <c r="G13" s="1">
        <v>1244841</v>
      </c>
      <c r="H13" s="1">
        <v>344470</v>
      </c>
      <c r="I13" s="11">
        <f t="shared" si="2"/>
        <v>880322</v>
      </c>
      <c r="J13" s="1"/>
      <c r="K13" s="1">
        <v>793685</v>
      </c>
      <c r="L13" s="1">
        <v>167110</v>
      </c>
      <c r="M13" s="1">
        <v>-298054</v>
      </c>
      <c r="N13" s="1">
        <v>217581</v>
      </c>
      <c r="O13" s="1">
        <v>0</v>
      </c>
      <c r="P13" s="1">
        <v>0</v>
      </c>
      <c r="Q13" s="1"/>
      <c r="R13" s="1">
        <v>49969</v>
      </c>
      <c r="S13" s="1">
        <v>939129</v>
      </c>
      <c r="T13" s="1">
        <v>1278709</v>
      </c>
      <c r="U13" s="1"/>
      <c r="V13" s="1">
        <f t="shared" si="3"/>
        <v>641292</v>
      </c>
      <c r="W13" s="1">
        <v>641292</v>
      </c>
      <c r="Z13" s="1"/>
      <c r="AA13" s="1"/>
    </row>
    <row r="14" spans="1:27" x14ac:dyDescent="0.25">
      <c r="A14" s="43">
        <v>5000</v>
      </c>
      <c r="B14" s="44" t="s">
        <v>390</v>
      </c>
      <c r="C14" s="1">
        <f t="shared" si="1"/>
        <v>8472751</v>
      </c>
      <c r="D14" s="1">
        <v>3406480</v>
      </c>
      <c r="E14" s="1">
        <v>1574017</v>
      </c>
      <c r="F14" s="1">
        <v>889006</v>
      </c>
      <c r="G14" s="1">
        <v>439723</v>
      </c>
      <c r="H14" s="1">
        <v>275290</v>
      </c>
      <c r="I14" s="11">
        <f t="shared" si="2"/>
        <v>936000</v>
      </c>
      <c r="J14" s="1"/>
      <c r="K14" s="1">
        <v>458848</v>
      </c>
      <c r="L14" s="1">
        <v>111099</v>
      </c>
      <c r="M14" s="1">
        <v>119056</v>
      </c>
      <c r="N14" s="1">
        <v>246997</v>
      </c>
      <c r="O14" s="1">
        <v>0</v>
      </c>
      <c r="P14" s="1">
        <v>0</v>
      </c>
      <c r="Q14" s="1"/>
      <c r="R14" s="1">
        <v>-22019</v>
      </c>
      <c r="S14" s="1">
        <v>595466</v>
      </c>
      <c r="T14" s="1">
        <v>378788</v>
      </c>
      <c r="U14" s="1"/>
      <c r="V14" s="1">
        <f t="shared" si="3"/>
        <v>474131</v>
      </c>
      <c r="W14" s="1">
        <v>474131</v>
      </c>
      <c r="Z14" s="1"/>
      <c r="AA14" s="1"/>
    </row>
    <row r="15" spans="1:27" x14ac:dyDescent="0.25">
      <c r="A15" s="43">
        <v>5400</v>
      </c>
      <c r="B15" s="44" t="s">
        <v>396</v>
      </c>
      <c r="C15" s="1">
        <f t="shared" si="1"/>
        <v>6306573</v>
      </c>
      <c r="D15" s="1">
        <v>1957038</v>
      </c>
      <c r="E15" s="1">
        <v>1107607</v>
      </c>
      <c r="F15" s="1">
        <v>662884</v>
      </c>
      <c r="G15" s="1">
        <v>702739</v>
      </c>
      <c r="H15" s="1">
        <v>267385</v>
      </c>
      <c r="I15" s="11">
        <f t="shared" si="2"/>
        <v>666638</v>
      </c>
      <c r="J15" s="1"/>
      <c r="K15" s="1">
        <v>394504</v>
      </c>
      <c r="L15" s="1">
        <v>38077</v>
      </c>
      <c r="M15" s="1">
        <v>105461</v>
      </c>
      <c r="N15" s="1">
        <v>159106</v>
      </c>
      <c r="O15" s="1">
        <v>0</v>
      </c>
      <c r="P15" s="1">
        <v>-30510</v>
      </c>
      <c r="Q15" s="1"/>
      <c r="R15" s="1">
        <v>-67742</v>
      </c>
      <c r="S15" s="1">
        <v>269472</v>
      </c>
      <c r="T15" s="1">
        <v>740552</v>
      </c>
      <c r="U15" s="1"/>
      <c r="V15" s="1">
        <f t="shared" si="3"/>
        <v>241736</v>
      </c>
      <c r="W15" s="1">
        <v>241736</v>
      </c>
      <c r="Z15" s="1"/>
      <c r="AA15" s="1"/>
    </row>
    <row r="16" spans="1:27" x14ac:dyDescent="0.25"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Z16" s="4"/>
      <c r="AA16" s="4"/>
    </row>
    <row r="17" spans="2:27" x14ac:dyDescent="0.25">
      <c r="B17" s="1" t="s">
        <v>3</v>
      </c>
      <c r="C17" s="1">
        <f t="shared" ref="C17:T17" si="4">SUM(C5:C15)</f>
        <v>90677241.29291907</v>
      </c>
      <c r="D17" s="1">
        <f t="shared" si="4"/>
        <v>37467228</v>
      </c>
      <c r="E17" s="1">
        <f t="shared" si="4"/>
        <v>13006887</v>
      </c>
      <c r="F17" s="1">
        <f t="shared" si="4"/>
        <v>13764647</v>
      </c>
      <c r="G17" s="1">
        <f t="shared" si="4"/>
        <v>5066703</v>
      </c>
      <c r="H17" s="1">
        <f t="shared" si="4"/>
        <v>3021935</v>
      </c>
      <c r="I17" s="11">
        <f t="shared" si="4"/>
        <v>7957064</v>
      </c>
      <c r="J17" s="1">
        <f t="shared" si="4"/>
        <v>0</v>
      </c>
      <c r="K17" s="1">
        <f t="shared" si="4"/>
        <v>4919481</v>
      </c>
      <c r="L17" s="1">
        <f t="shared" si="4"/>
        <v>1254863</v>
      </c>
      <c r="M17" s="1">
        <f t="shared" si="4"/>
        <v>-165186</v>
      </c>
      <c r="N17" s="1">
        <f t="shared" si="4"/>
        <v>1953437</v>
      </c>
      <c r="O17" s="1">
        <f t="shared" si="4"/>
        <v>-4225</v>
      </c>
      <c r="P17" s="1">
        <f t="shared" si="4"/>
        <v>-1306</v>
      </c>
      <c r="Q17" s="1">
        <f t="shared" si="4"/>
        <v>0</v>
      </c>
      <c r="R17" s="1">
        <f t="shared" si="4"/>
        <v>-608659.14792834804</v>
      </c>
      <c r="S17" s="1">
        <f t="shared" si="4"/>
        <v>3892031.5445139389</v>
      </c>
      <c r="T17" s="1">
        <f t="shared" si="4"/>
        <v>7109404.8963334756</v>
      </c>
      <c r="U17" s="1"/>
      <c r="V17" s="1">
        <f>SUM(V5:V15)</f>
        <v>5425270</v>
      </c>
      <c r="W17" s="1">
        <f>SUM(W5:W15)</f>
        <v>5425270</v>
      </c>
      <c r="Z17" s="1"/>
      <c r="AA17" s="1"/>
    </row>
    <row r="18" spans="2:27" x14ac:dyDescent="0.25">
      <c r="AA18" s="5"/>
    </row>
    <row r="20" spans="2:27" x14ac:dyDescent="0.25">
      <c r="V20" s="5"/>
    </row>
    <row r="21" spans="2:27" x14ac:dyDescent="0.25">
      <c r="V21" s="5"/>
    </row>
    <row r="22" spans="2:27" x14ac:dyDescent="0.25">
      <c r="V22" s="5"/>
      <c r="W22" s="5"/>
    </row>
    <row r="23" spans="2:27" x14ac:dyDescent="0.25">
      <c r="V23" s="5"/>
    </row>
    <row r="24" spans="2:27" x14ac:dyDescent="0.25">
      <c r="V24" s="5"/>
    </row>
    <row r="25" spans="2:27" x14ac:dyDescent="0.25">
      <c r="V25" s="5"/>
    </row>
    <row r="26" spans="2:27" x14ac:dyDescent="0.25">
      <c r="V26" s="5"/>
    </row>
    <row r="27" spans="2:27" x14ac:dyDescent="0.25">
      <c r="V27" s="5"/>
    </row>
    <row r="28" spans="2:27" x14ac:dyDescent="0.25">
      <c r="V28" s="5"/>
    </row>
    <row r="29" spans="2:27" x14ac:dyDescent="0.25">
      <c r="V29" s="5"/>
    </row>
    <row r="30" spans="2:27" x14ac:dyDescent="0.25">
      <c r="V30" s="5"/>
    </row>
    <row r="31" spans="2:27" x14ac:dyDescent="0.25">
      <c r="V31" s="5"/>
    </row>
    <row r="32" spans="2:27" x14ac:dyDescent="0.25">
      <c r="V32" s="5"/>
    </row>
    <row r="33" spans="22:22" x14ac:dyDescent="0.25">
      <c r="V33" s="5"/>
    </row>
    <row r="34" spans="22:22" x14ac:dyDescent="0.25">
      <c r="V34" s="5"/>
    </row>
    <row r="35" spans="22:22" x14ac:dyDescent="0.25">
      <c r="V35" s="5"/>
    </row>
    <row r="36" spans="22:22" x14ac:dyDescent="0.25">
      <c r="V36" s="5"/>
    </row>
    <row r="37" spans="22:22" x14ac:dyDescent="0.25">
      <c r="V37" s="5"/>
    </row>
    <row r="38" spans="22:22" x14ac:dyDescent="0.25">
      <c r="V38" s="5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5F032-9AF1-48D8-A360-2D4861C99267}">
  <sheetPr>
    <tabColor rgb="FF92D050"/>
  </sheetPr>
  <dimension ref="A2:U17"/>
  <sheetViews>
    <sheetView workbookViewId="0">
      <pane xSplit="2" ySplit="3" topLeftCell="C4" activePane="bottomRight" state="frozen"/>
      <selection activeCell="G30" sqref="G30"/>
      <selection pane="topRight" activeCell="G30" sqref="G30"/>
      <selection pane="bottomLeft" activeCell="G30" sqref="G30"/>
      <selection pane="bottomRight" activeCell="G30" sqref="G30"/>
    </sheetView>
  </sheetViews>
  <sheetFormatPr baseColWidth="10" defaultRowHeight="15" x14ac:dyDescent="0.25"/>
  <cols>
    <col min="1" max="1" width="9.85546875" customWidth="1"/>
    <col min="2" max="3" width="18.5703125" customWidth="1"/>
    <col min="4" max="8" width="13.140625" customWidth="1"/>
    <col min="9" max="9" width="14.140625" customWidth="1"/>
    <col min="10" max="18" width="13.140625" customWidth="1"/>
    <col min="19" max="19" width="6.42578125" customWidth="1"/>
    <col min="20" max="20" width="13.140625" customWidth="1"/>
  </cols>
  <sheetData>
    <row r="2" spans="1:21" ht="104.25" customHeight="1" x14ac:dyDescent="0.25">
      <c r="A2" s="24" t="s">
        <v>2</v>
      </c>
      <c r="B2" s="24" t="s">
        <v>1</v>
      </c>
      <c r="C2" s="24" t="s">
        <v>7</v>
      </c>
      <c r="D2" s="24" t="s">
        <v>155</v>
      </c>
      <c r="E2" s="24" t="s">
        <v>156</v>
      </c>
      <c r="F2" s="24" t="s">
        <v>288</v>
      </c>
      <c r="G2" s="24" t="s">
        <v>289</v>
      </c>
      <c r="H2" s="24" t="s">
        <v>157</v>
      </c>
      <c r="I2" s="13" t="s">
        <v>30</v>
      </c>
      <c r="J2" s="24" t="s">
        <v>158</v>
      </c>
      <c r="K2" s="24" t="s">
        <v>159</v>
      </c>
      <c r="L2" s="24" t="s">
        <v>160</v>
      </c>
      <c r="M2" s="24" t="s">
        <v>161</v>
      </c>
      <c r="N2" s="24" t="s">
        <v>162</v>
      </c>
      <c r="O2" s="24" t="s">
        <v>163</v>
      </c>
      <c r="P2" s="24" t="s">
        <v>164</v>
      </c>
      <c r="Q2" s="24" t="s">
        <v>165</v>
      </c>
      <c r="R2" s="24" t="s">
        <v>8</v>
      </c>
      <c r="S2" s="24"/>
      <c r="T2" s="24"/>
      <c r="U2" s="24"/>
    </row>
    <row r="3" spans="1:21" x14ac:dyDescent="0.25">
      <c r="A3" s="107">
        <v>1</v>
      </c>
      <c r="B3" s="107">
        <f t="shared" ref="B3:U3" si="0">+A3+1</f>
        <v>2</v>
      </c>
      <c r="C3" s="107">
        <f t="shared" si="0"/>
        <v>3</v>
      </c>
      <c r="D3" s="107">
        <f t="shared" si="0"/>
        <v>4</v>
      </c>
      <c r="E3" s="107">
        <f t="shared" si="0"/>
        <v>5</v>
      </c>
      <c r="F3" s="107">
        <f t="shared" si="0"/>
        <v>6</v>
      </c>
      <c r="G3" s="107">
        <f t="shared" si="0"/>
        <v>7</v>
      </c>
      <c r="H3" s="107">
        <f t="shared" si="0"/>
        <v>8</v>
      </c>
      <c r="I3" s="12">
        <f t="shared" si="0"/>
        <v>9</v>
      </c>
      <c r="J3" s="107">
        <f t="shared" si="0"/>
        <v>10</v>
      </c>
      <c r="K3" s="107">
        <f t="shared" si="0"/>
        <v>11</v>
      </c>
      <c r="L3" s="107">
        <f t="shared" si="0"/>
        <v>12</v>
      </c>
      <c r="M3" s="107">
        <f t="shared" si="0"/>
        <v>13</v>
      </c>
      <c r="N3" s="107">
        <f t="shared" si="0"/>
        <v>14</v>
      </c>
      <c r="O3" s="107">
        <f t="shared" si="0"/>
        <v>15</v>
      </c>
      <c r="P3" s="107">
        <f t="shared" si="0"/>
        <v>16</v>
      </c>
      <c r="Q3" s="107">
        <f t="shared" si="0"/>
        <v>17</v>
      </c>
      <c r="R3" s="107">
        <f t="shared" si="0"/>
        <v>18</v>
      </c>
      <c r="S3" s="107">
        <f t="shared" si="0"/>
        <v>19</v>
      </c>
      <c r="T3" s="107">
        <f t="shared" si="0"/>
        <v>20</v>
      </c>
      <c r="U3" s="107">
        <f t="shared" si="0"/>
        <v>21</v>
      </c>
    </row>
    <row r="4" spans="1:21" x14ac:dyDescent="0.25">
      <c r="I4" s="21"/>
    </row>
    <row r="5" spans="1:21" x14ac:dyDescent="0.25">
      <c r="A5" s="43">
        <v>300</v>
      </c>
      <c r="B5" s="44" t="s">
        <v>0</v>
      </c>
      <c r="C5" s="1">
        <f t="shared" ref="C5:C15" si="1">SUM(D5:I5)+R5</f>
        <v>245445</v>
      </c>
      <c r="D5" s="1">
        <v>234379</v>
      </c>
      <c r="E5" s="1">
        <v>0</v>
      </c>
      <c r="F5" s="1">
        <v>1563</v>
      </c>
      <c r="G5" s="1">
        <v>0</v>
      </c>
      <c r="H5" s="1">
        <v>5111</v>
      </c>
      <c r="I5" s="11">
        <f t="shared" ref="I5:I15" si="2">SUM(J5:Q5)</f>
        <v>4392</v>
      </c>
      <c r="J5" s="1"/>
      <c r="K5" s="1">
        <v>4392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/>
      <c r="R5" s="1">
        <v>0</v>
      </c>
      <c r="T5" s="1"/>
      <c r="U5" s="1"/>
    </row>
    <row r="6" spans="1:21" x14ac:dyDescent="0.25">
      <c r="A6" s="43">
        <v>1100</v>
      </c>
      <c r="B6" s="44" t="s">
        <v>141</v>
      </c>
      <c r="C6" s="1">
        <f t="shared" si="1"/>
        <v>650823</v>
      </c>
      <c r="D6" s="1">
        <v>224122</v>
      </c>
      <c r="E6" s="1">
        <v>373420</v>
      </c>
      <c r="F6" s="1">
        <v>0</v>
      </c>
      <c r="G6" s="1">
        <v>0</v>
      </c>
      <c r="H6" s="1">
        <v>20103</v>
      </c>
      <c r="I6" s="11">
        <f t="shared" si="2"/>
        <v>33178</v>
      </c>
      <c r="J6" s="1"/>
      <c r="K6" s="1">
        <v>33140</v>
      </c>
      <c r="L6" s="1">
        <v>38</v>
      </c>
      <c r="M6" s="1">
        <v>0</v>
      </c>
      <c r="N6" s="1">
        <v>0</v>
      </c>
      <c r="O6" s="1">
        <v>0</v>
      </c>
      <c r="P6" s="1">
        <v>0</v>
      </c>
      <c r="Q6" s="1"/>
      <c r="R6" s="1">
        <v>0</v>
      </c>
      <c r="T6" s="1"/>
      <c r="U6" s="1"/>
    </row>
    <row r="7" spans="1:21" x14ac:dyDescent="0.25">
      <c r="A7" s="43">
        <v>1500</v>
      </c>
      <c r="B7" s="44" t="s">
        <v>142</v>
      </c>
      <c r="C7" s="1">
        <f t="shared" si="1"/>
        <v>481777</v>
      </c>
      <c r="D7" s="1">
        <v>121013</v>
      </c>
      <c r="E7" s="1">
        <v>340254</v>
      </c>
      <c r="F7" s="1">
        <v>6634</v>
      </c>
      <c r="G7" s="1">
        <v>750</v>
      </c>
      <c r="H7" s="1">
        <v>9612</v>
      </c>
      <c r="I7" s="11">
        <f t="shared" si="2"/>
        <v>3514</v>
      </c>
      <c r="J7" s="1"/>
      <c r="K7" s="1">
        <v>2782</v>
      </c>
      <c r="L7" s="1">
        <v>62</v>
      </c>
      <c r="M7" s="1">
        <v>65</v>
      </c>
      <c r="N7" s="1">
        <v>605</v>
      </c>
      <c r="O7" s="1">
        <v>0</v>
      </c>
      <c r="P7" s="1">
        <v>0</v>
      </c>
      <c r="Q7" s="1"/>
      <c r="R7" s="1">
        <v>0</v>
      </c>
      <c r="T7" s="1"/>
      <c r="U7" s="1"/>
    </row>
    <row r="8" spans="1:21" x14ac:dyDescent="0.25">
      <c r="A8" s="43">
        <v>1800</v>
      </c>
      <c r="B8" s="44" t="s">
        <v>143</v>
      </c>
      <c r="C8" s="1">
        <f t="shared" si="1"/>
        <v>445454</v>
      </c>
      <c r="D8" s="1">
        <v>170421</v>
      </c>
      <c r="E8" s="1">
        <v>240144</v>
      </c>
      <c r="F8" s="1">
        <v>3737</v>
      </c>
      <c r="G8" s="1">
        <v>2248</v>
      </c>
      <c r="H8" s="1">
        <v>13507</v>
      </c>
      <c r="I8" s="11">
        <f t="shared" si="2"/>
        <v>15397</v>
      </c>
      <c r="J8" s="1"/>
      <c r="K8" s="1">
        <v>5670</v>
      </c>
      <c r="L8" s="1">
        <v>327</v>
      </c>
      <c r="M8" s="1">
        <v>5357</v>
      </c>
      <c r="N8" s="1">
        <v>3677</v>
      </c>
      <c r="O8" s="1">
        <v>0</v>
      </c>
      <c r="P8" s="1">
        <v>366</v>
      </c>
      <c r="Q8" s="1"/>
      <c r="R8" s="1">
        <v>0</v>
      </c>
      <c r="T8" s="1"/>
      <c r="U8" s="1"/>
    </row>
    <row r="9" spans="1:21" x14ac:dyDescent="0.25">
      <c r="A9" s="43">
        <v>3000</v>
      </c>
      <c r="B9" s="44" t="s">
        <v>391</v>
      </c>
      <c r="C9" s="1">
        <f t="shared" si="1"/>
        <v>1068945</v>
      </c>
      <c r="D9" s="1">
        <v>484719</v>
      </c>
      <c r="E9" s="1">
        <v>425362</v>
      </c>
      <c r="F9" s="1">
        <v>66329</v>
      </c>
      <c r="G9" s="1">
        <v>0</v>
      </c>
      <c r="H9" s="1">
        <v>28848</v>
      </c>
      <c r="I9" s="11">
        <f t="shared" si="2"/>
        <v>63687</v>
      </c>
      <c r="J9" s="1"/>
      <c r="K9" s="1">
        <v>61617</v>
      </c>
      <c r="L9" s="1">
        <v>268</v>
      </c>
      <c r="M9" s="1">
        <v>0</v>
      </c>
      <c r="N9" s="1">
        <v>1802</v>
      </c>
      <c r="O9" s="1">
        <v>0</v>
      </c>
      <c r="P9" s="1">
        <v>0</v>
      </c>
      <c r="Q9" s="1"/>
      <c r="R9" s="1">
        <v>0</v>
      </c>
      <c r="T9" s="1"/>
      <c r="U9" s="1"/>
    </row>
    <row r="10" spans="1:21" x14ac:dyDescent="0.25">
      <c r="A10" s="43">
        <v>3400</v>
      </c>
      <c r="B10" s="44" t="s">
        <v>392</v>
      </c>
      <c r="C10" s="1">
        <f t="shared" si="1"/>
        <v>403486</v>
      </c>
      <c r="D10" s="1">
        <v>197977</v>
      </c>
      <c r="E10" s="1">
        <v>183568</v>
      </c>
      <c r="F10" s="1">
        <v>4774</v>
      </c>
      <c r="G10" s="1">
        <v>722</v>
      </c>
      <c r="H10" s="1">
        <v>7053</v>
      </c>
      <c r="I10" s="11">
        <f t="shared" si="2"/>
        <v>9392</v>
      </c>
      <c r="J10" s="1"/>
      <c r="K10" s="1">
        <v>7930</v>
      </c>
      <c r="L10" s="1">
        <v>7</v>
      </c>
      <c r="M10" s="1">
        <v>885</v>
      </c>
      <c r="N10" s="1">
        <v>570</v>
      </c>
      <c r="O10" s="1">
        <v>0</v>
      </c>
      <c r="P10" s="1">
        <v>0</v>
      </c>
      <c r="Q10" s="1"/>
      <c r="R10" s="1">
        <v>0</v>
      </c>
      <c r="T10" s="1"/>
      <c r="U10" s="1"/>
    </row>
    <row r="11" spans="1:21" x14ac:dyDescent="0.25">
      <c r="A11" s="43">
        <v>3800</v>
      </c>
      <c r="B11" s="44" t="s">
        <v>393</v>
      </c>
      <c r="C11" s="1">
        <f t="shared" si="1"/>
        <v>359940</v>
      </c>
      <c r="D11" s="1">
        <v>175458</v>
      </c>
      <c r="E11" s="1">
        <v>152560</v>
      </c>
      <c r="F11" s="1">
        <v>2007</v>
      </c>
      <c r="G11" s="1">
        <v>0</v>
      </c>
      <c r="H11" s="1">
        <v>4266</v>
      </c>
      <c r="I11" s="11">
        <f t="shared" si="2"/>
        <v>25649</v>
      </c>
      <c r="J11" s="1"/>
      <c r="K11" s="1">
        <v>16629</v>
      </c>
      <c r="L11" s="1">
        <v>6944</v>
      </c>
      <c r="M11" s="1">
        <v>0</v>
      </c>
      <c r="N11" s="1">
        <v>2076</v>
      </c>
      <c r="O11" s="1">
        <v>0</v>
      </c>
      <c r="P11" s="1">
        <v>0</v>
      </c>
      <c r="Q11" s="1"/>
      <c r="R11" s="1">
        <v>0</v>
      </c>
      <c r="T11" s="1"/>
      <c r="U11" s="1"/>
    </row>
    <row r="12" spans="1:21" x14ac:dyDescent="0.25">
      <c r="A12" s="43">
        <v>4200</v>
      </c>
      <c r="B12" s="44" t="s">
        <v>394</v>
      </c>
      <c r="C12" s="1">
        <f t="shared" si="1"/>
        <v>395533</v>
      </c>
      <c r="D12" s="1">
        <v>171280</v>
      </c>
      <c r="E12" s="1">
        <v>188358</v>
      </c>
      <c r="F12" s="1">
        <v>5056</v>
      </c>
      <c r="G12" s="1">
        <v>0</v>
      </c>
      <c r="H12" s="1">
        <v>8788</v>
      </c>
      <c r="I12" s="11">
        <f t="shared" si="2"/>
        <v>22051</v>
      </c>
      <c r="J12" s="1"/>
      <c r="K12" s="1">
        <v>15309</v>
      </c>
      <c r="L12" s="1">
        <v>1945</v>
      </c>
      <c r="M12" s="1">
        <v>4598</v>
      </c>
      <c r="N12" s="1">
        <v>0</v>
      </c>
      <c r="O12" s="1">
        <v>0</v>
      </c>
      <c r="P12" s="1">
        <v>199</v>
      </c>
      <c r="Q12" s="1"/>
      <c r="R12" s="1">
        <v>0</v>
      </c>
      <c r="T12" s="1"/>
      <c r="U12" s="1"/>
    </row>
    <row r="13" spans="1:21" x14ac:dyDescent="0.25">
      <c r="A13" s="43">
        <v>4600</v>
      </c>
      <c r="B13" s="44" t="s">
        <v>395</v>
      </c>
      <c r="C13" s="1">
        <f t="shared" si="1"/>
        <v>1259652</v>
      </c>
      <c r="D13" s="1">
        <v>303698</v>
      </c>
      <c r="E13" s="1">
        <v>647701</v>
      </c>
      <c r="F13" s="1">
        <v>250255</v>
      </c>
      <c r="G13" s="1">
        <v>969</v>
      </c>
      <c r="H13" s="1">
        <v>15009</v>
      </c>
      <c r="I13" s="11">
        <f t="shared" si="2"/>
        <v>42020</v>
      </c>
      <c r="J13" s="1"/>
      <c r="K13" s="1">
        <v>38935</v>
      </c>
      <c r="L13" s="1">
        <v>56</v>
      </c>
      <c r="M13" s="1">
        <v>117</v>
      </c>
      <c r="N13" s="1">
        <v>2912</v>
      </c>
      <c r="O13" s="1">
        <v>0</v>
      </c>
      <c r="P13" s="1">
        <v>0</v>
      </c>
      <c r="Q13" s="1"/>
      <c r="R13" s="1">
        <v>0</v>
      </c>
      <c r="T13" s="1"/>
      <c r="U13" s="1"/>
    </row>
    <row r="14" spans="1:21" x14ac:dyDescent="0.25">
      <c r="A14" s="43">
        <v>5000</v>
      </c>
      <c r="B14" s="44" t="s">
        <v>390</v>
      </c>
      <c r="C14" s="1">
        <f t="shared" si="1"/>
        <v>743722</v>
      </c>
      <c r="D14" s="1">
        <v>296538</v>
      </c>
      <c r="E14" s="1">
        <v>417336</v>
      </c>
      <c r="F14" s="1">
        <v>6065</v>
      </c>
      <c r="G14" s="1">
        <v>4708</v>
      </c>
      <c r="H14" s="1">
        <v>7199</v>
      </c>
      <c r="I14" s="11">
        <f t="shared" si="2"/>
        <v>11876</v>
      </c>
      <c r="J14" s="1"/>
      <c r="K14" s="1">
        <v>3654</v>
      </c>
      <c r="L14" s="1">
        <v>132</v>
      </c>
      <c r="M14" s="1">
        <v>7495</v>
      </c>
      <c r="N14" s="1">
        <v>595</v>
      </c>
      <c r="O14" s="1">
        <v>0</v>
      </c>
      <c r="P14" s="1">
        <v>0</v>
      </c>
      <c r="Q14" s="1"/>
      <c r="R14" s="1">
        <v>0</v>
      </c>
      <c r="T14" s="1"/>
      <c r="U14" s="1"/>
    </row>
    <row r="15" spans="1:21" x14ac:dyDescent="0.25">
      <c r="A15" s="43">
        <v>5400</v>
      </c>
      <c r="B15" s="44" t="s">
        <v>396</v>
      </c>
      <c r="C15" s="1">
        <f t="shared" si="1"/>
        <v>380450</v>
      </c>
      <c r="D15" s="1">
        <v>102541</v>
      </c>
      <c r="E15" s="1">
        <v>216494</v>
      </c>
      <c r="F15" s="1">
        <v>9926</v>
      </c>
      <c r="G15" s="1">
        <v>5644</v>
      </c>
      <c r="H15" s="1">
        <v>17233</v>
      </c>
      <c r="I15" s="11">
        <f t="shared" si="2"/>
        <v>28612</v>
      </c>
      <c r="J15" s="1"/>
      <c r="K15" s="1">
        <v>21729</v>
      </c>
      <c r="L15" s="1">
        <v>0</v>
      </c>
      <c r="M15" s="1">
        <v>0</v>
      </c>
      <c r="N15" s="1">
        <v>1216</v>
      </c>
      <c r="O15" s="1">
        <v>0</v>
      </c>
      <c r="P15" s="1">
        <v>5667</v>
      </c>
      <c r="Q15" s="1"/>
      <c r="R15" s="1">
        <v>0</v>
      </c>
      <c r="T15" s="1"/>
      <c r="U15" s="1"/>
    </row>
    <row r="16" spans="1:21" x14ac:dyDescent="0.25">
      <c r="D16" s="4"/>
      <c r="E16" s="4"/>
      <c r="F16" s="4"/>
      <c r="G16" s="4"/>
      <c r="H16" s="4"/>
      <c r="I16" s="10"/>
      <c r="J16" s="4"/>
      <c r="K16" s="4"/>
      <c r="L16" s="4"/>
      <c r="M16" s="4"/>
      <c r="N16" s="4"/>
      <c r="O16" s="4"/>
      <c r="P16" s="4"/>
      <c r="Q16" s="4"/>
      <c r="R16" s="4"/>
    </row>
    <row r="17" spans="2:21" x14ac:dyDescent="0.25">
      <c r="B17" s="1" t="s">
        <v>3</v>
      </c>
      <c r="C17" s="1">
        <f t="shared" ref="C17:R17" si="3">SUM(C5:C15)</f>
        <v>6435227</v>
      </c>
      <c r="D17" s="1">
        <f t="shared" si="3"/>
        <v>2482146</v>
      </c>
      <c r="E17" s="1">
        <f t="shared" si="3"/>
        <v>3185197</v>
      </c>
      <c r="F17" s="1">
        <f t="shared" si="3"/>
        <v>356346</v>
      </c>
      <c r="G17" s="1">
        <f t="shared" si="3"/>
        <v>15041</v>
      </c>
      <c r="H17" s="1">
        <f t="shared" si="3"/>
        <v>136729</v>
      </c>
      <c r="I17" s="11">
        <f t="shared" si="3"/>
        <v>259768</v>
      </c>
      <c r="J17" s="1">
        <f t="shared" si="3"/>
        <v>0</v>
      </c>
      <c r="K17" s="1">
        <f t="shared" si="3"/>
        <v>211787</v>
      </c>
      <c r="L17" s="1">
        <f t="shared" si="3"/>
        <v>9779</v>
      </c>
      <c r="M17" s="1">
        <f t="shared" si="3"/>
        <v>18517</v>
      </c>
      <c r="N17" s="1">
        <f t="shared" si="3"/>
        <v>13453</v>
      </c>
      <c r="O17" s="1">
        <f t="shared" si="3"/>
        <v>0</v>
      </c>
      <c r="P17" s="1">
        <f t="shared" si="3"/>
        <v>6232</v>
      </c>
      <c r="Q17" s="1">
        <f t="shared" si="3"/>
        <v>0</v>
      </c>
      <c r="R17" s="1">
        <f t="shared" si="3"/>
        <v>0</v>
      </c>
      <c r="S17" s="1"/>
      <c r="T17" s="1"/>
      <c r="U17" s="1"/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27</vt:i4>
      </vt:variant>
      <vt:variant>
        <vt:lpstr>Diagrammer</vt:lpstr>
      </vt:variant>
      <vt:variant>
        <vt:i4>10</vt:i4>
      </vt:variant>
    </vt:vector>
  </HeadingPairs>
  <TitlesOfParts>
    <vt:vector size="37" baseType="lpstr">
      <vt:lpstr>Inngang</vt:lpstr>
      <vt:lpstr>Tabeller fylkeskom 1</vt:lpstr>
      <vt:lpstr>Tabeller fylkeskom 2</vt:lpstr>
      <vt:lpstr>Tabeller fylkeskom 3</vt:lpstr>
      <vt:lpstr>Tabeller fylkeskom 4</vt:lpstr>
      <vt:lpstr>2022 Korreksjoner</vt:lpstr>
      <vt:lpstr>2022 Nto driftsutg landet</vt:lpstr>
      <vt:lpstr>2022 Nto driftsutg</vt:lpstr>
      <vt:lpstr>2022 Avskrivning</vt:lpstr>
      <vt:lpstr>2022 Nto driftsutg eks avskriv</vt:lpstr>
      <vt:lpstr>2022 Inntektsnivå</vt:lpstr>
      <vt:lpstr>2022 Lønnsand og arbavg landet</vt:lpstr>
      <vt:lpstr>2022 Lønnsand og pensjon landet</vt:lpstr>
      <vt:lpstr>2022 Lønnsgr arbavg tjeneste</vt:lpstr>
      <vt:lpstr>2022 Arbavg tjeneste</vt:lpstr>
      <vt:lpstr>2022 Lønnsgr pensjon tjeneste</vt:lpstr>
      <vt:lpstr>2022 Pensjon tjeneste</vt:lpstr>
      <vt:lpstr>2022 Revekting utgiftsbehov</vt:lpstr>
      <vt:lpstr>2022 Korr med revekting pensjon</vt:lpstr>
      <vt:lpstr>2022 Korr med revekting arbavg</vt:lpstr>
      <vt:lpstr>2022 Korr med revekt premieavv</vt:lpstr>
      <vt:lpstr>2022 Korr med revekting eiendom</vt:lpstr>
      <vt:lpstr>2022 Grunnlag korreksjoner</vt:lpstr>
      <vt:lpstr>2022 Bto driftsutg</vt:lpstr>
      <vt:lpstr>2022 Bto driftsutg eks avskriv</vt:lpstr>
      <vt:lpstr>2022 Nøkkel revektet</vt:lpstr>
      <vt:lpstr>Fylkeskommuner</vt:lpstr>
      <vt:lpstr>1. Kostratall</vt:lpstr>
      <vt:lpstr>2. Inntektssyst kostnadsnøkler</vt:lpstr>
      <vt:lpstr>Utgiftskorrigering</vt:lpstr>
      <vt:lpstr>3. Disp inntekt og ressursbruk</vt:lpstr>
      <vt:lpstr>4. Ressursbr tjenest i INNTSYS</vt:lpstr>
      <vt:lpstr>Ressurbruk øvrige tjenester</vt:lpstr>
      <vt:lpstr>Inntekts og utgiftskorrigering</vt:lpstr>
      <vt:lpstr>5. Inntektskorr ressursbruk</vt:lpstr>
      <vt:lpstr>6. Inntkorr ressursb  INNTSYS </vt:lpstr>
      <vt:lpstr>7. Inntkorr ressursb øvr tjenes</vt:lpstr>
    </vt:vector>
  </TitlesOfParts>
  <Company>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Sigmund Engdal</dc:creator>
  <cp:lastModifiedBy>Sigmund Engdal</cp:lastModifiedBy>
  <cp:lastPrinted>2014-09-30T11:03:57Z</cp:lastPrinted>
  <dcterms:created xsi:type="dcterms:W3CDTF">2014-09-26T17:14:53Z</dcterms:created>
  <dcterms:modified xsi:type="dcterms:W3CDTF">2024-05-02T10:17:30Z</dcterms:modified>
</cp:coreProperties>
</file>