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iskyen-my.sharepoint.com/personal/sigmund_engdal_ks_no/Documents/Dokumenter/Modell sammenligning mellom kommuner/Fylkeskommune/2023 - Kostrapublisering 15032024/Publisert/"/>
    </mc:Choice>
  </mc:AlternateContent>
  <xr:revisionPtr revIDLastSave="26" documentId="8_{113C4D4F-9C81-4C2C-B85B-74188F6F0CB3}" xr6:coauthVersionLast="47" xr6:coauthVersionMax="47" xr10:uidLastSave="{206B7360-B229-43D3-8652-ACB09315676B}"/>
  <bookViews>
    <workbookView xWindow="-108" yWindow="-108" windowWidth="41496" windowHeight="16896" tabRatio="855" xr2:uid="{00000000-000D-0000-FFFF-FFFF00000000}"/>
  </bookViews>
  <sheets>
    <sheet name="Inngang" sheetId="10" r:id="rId1"/>
    <sheet name="1 Kostratall" sheetId="47" r:id="rId2"/>
    <sheet name="2 Inntektssyst kostnadsnøkler " sheetId="40" r:id="rId3"/>
    <sheet name=" Utgiftskorrigering" sheetId="51" r:id="rId4"/>
    <sheet name="3 Disp inntekt og ressursbruk" sheetId="39" r:id="rId5"/>
    <sheet name="4 Ressursbruk tjenest INNTSYS" sheetId="41" r:id="rId6"/>
    <sheet name="Ressursbruk øvrige tjenester" sheetId="42" state="hidden" r:id="rId7"/>
    <sheet name=" Inntekts og utgiftskorrigering" sheetId="50" r:id="rId8"/>
    <sheet name="5 Inntektskorr ressursbruk" sheetId="48" r:id="rId9"/>
    <sheet name="6 Inntektskorr ressursb INNTSY" sheetId="12" r:id="rId10"/>
    <sheet name="7 Inntkorr ressursbr øvr tjenes" sheetId="11" r:id="rId11"/>
    <sheet name="Tabeller fylkeskom 1" sheetId="94" state="hidden" r:id="rId12"/>
    <sheet name="Tabeller fylkeskom 2" sheetId="1" state="hidden" r:id="rId13"/>
    <sheet name="Tabeller fylkeskom 3" sheetId="44" state="hidden" r:id="rId14"/>
    <sheet name="Tabeller fylkeskom 4" sheetId="96" state="hidden" r:id="rId15"/>
    <sheet name="2021 Korreksjoner" sheetId="73" state="hidden" r:id="rId16"/>
    <sheet name="2021 Nto driftsutg landet" sheetId="74" state="hidden" r:id="rId17"/>
    <sheet name="2021 Nto driftsutg" sheetId="75" state="hidden" r:id="rId18"/>
    <sheet name="2021 Avskrivning" sheetId="76" state="hidden" r:id="rId19"/>
    <sheet name="2021 Nto driftsutg eks avskriv" sheetId="77" state="hidden" r:id="rId20"/>
    <sheet name="2021 Inntektsnivå" sheetId="78" state="hidden" r:id="rId21"/>
    <sheet name="2021 Lønnsand og arbavg landet" sheetId="79" state="hidden" r:id="rId22"/>
    <sheet name="2021 Lønnsand og pensjon land" sheetId="80" state="hidden" r:id="rId23"/>
    <sheet name="2021 Lønnsgr arbavg tjeneste" sheetId="81" state="hidden" r:id="rId24"/>
    <sheet name="2021 Arbavg tjeneste" sheetId="82" state="hidden" r:id="rId25"/>
    <sheet name="2021 Lønnsgr pensjon tjeneste" sheetId="83" state="hidden" r:id="rId26"/>
    <sheet name="2021 Pensjon tjeneste" sheetId="84" state="hidden" r:id="rId27"/>
    <sheet name="2021 Revekting utgiftsbehov" sheetId="85" state="hidden" r:id="rId28"/>
    <sheet name="2021 Korr med revekting pensj" sheetId="86" state="hidden" r:id="rId29"/>
    <sheet name="2021 Korr med revekting arbavg" sheetId="95" state="hidden" r:id="rId30"/>
    <sheet name="2021 Korr med revekt premieavv" sheetId="88" state="hidden" r:id="rId31"/>
    <sheet name="2021 Korr med revekting eiend" sheetId="89" state="hidden" r:id="rId32"/>
    <sheet name="2021 Grunnlag korreksjoner" sheetId="90" state="hidden" r:id="rId33"/>
    <sheet name="2021 Bto driftsutg" sheetId="91" state="hidden" r:id="rId34"/>
    <sheet name="2021 Bto driftsutg eks avskriv" sheetId="92" state="hidden" r:id="rId35"/>
    <sheet name="2021 Nøkkel revektet" sheetId="93" state="hidden" r:id="rId36"/>
    <sheet name="Fylkeskommuner" sheetId="97" state="hidden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7" l="1"/>
  <c r="R6" i="92" l="1"/>
  <c r="R7" i="92"/>
  <c r="R8" i="92"/>
  <c r="R9" i="92"/>
  <c r="R10" i="92"/>
  <c r="R11" i="92"/>
  <c r="R12" i="92"/>
  <c r="R13" i="92"/>
  <c r="R14" i="92"/>
  <c r="R15" i="92"/>
  <c r="R5" i="92"/>
  <c r="D17" i="91" l="1"/>
  <c r="E17" i="91"/>
  <c r="F17" i="91"/>
  <c r="G17" i="91"/>
  <c r="H17" i="91"/>
  <c r="I1" i="10" l="1"/>
  <c r="C5" i="10" l="1"/>
  <c r="C6" i="10" s="1"/>
  <c r="C11" i="10"/>
  <c r="C12" i="10" s="1"/>
  <c r="C9" i="10"/>
  <c r="C10" i="10" s="1"/>
  <c r="C13" i="10"/>
  <c r="C14" i="10" s="1"/>
  <c r="AM15" i="90" l="1"/>
  <c r="AL15" i="90"/>
  <c r="AK15" i="90"/>
  <c r="AJ15" i="90"/>
  <c r="AI15" i="90"/>
  <c r="AH15" i="90"/>
  <c r="AG15" i="90"/>
  <c r="AF15" i="90"/>
  <c r="AD15" i="90"/>
  <c r="AC15" i="90"/>
  <c r="AB15" i="90"/>
  <c r="AA15" i="90"/>
  <c r="Z15" i="90"/>
  <c r="AM14" i="90"/>
  <c r="AL14" i="90"/>
  <c r="AK14" i="90"/>
  <c r="AJ14" i="90"/>
  <c r="AI14" i="90"/>
  <c r="AH14" i="90"/>
  <c r="AG14" i="90"/>
  <c r="AF14" i="90"/>
  <c r="AD14" i="90"/>
  <c r="AC14" i="90"/>
  <c r="AB14" i="90"/>
  <c r="AA14" i="90"/>
  <c r="Z14" i="90"/>
  <c r="AM13" i="90"/>
  <c r="AL13" i="90"/>
  <c r="AK13" i="90"/>
  <c r="AJ13" i="90"/>
  <c r="AI13" i="90"/>
  <c r="AH13" i="90"/>
  <c r="AG13" i="90"/>
  <c r="AF13" i="90"/>
  <c r="AD13" i="90"/>
  <c r="AC13" i="90"/>
  <c r="AB13" i="90"/>
  <c r="AA13" i="90"/>
  <c r="Z13" i="90"/>
  <c r="AM12" i="90"/>
  <c r="AL12" i="90"/>
  <c r="AK12" i="90"/>
  <c r="AJ12" i="90"/>
  <c r="AI12" i="90"/>
  <c r="AH12" i="90"/>
  <c r="AG12" i="90"/>
  <c r="AF12" i="90"/>
  <c r="AD12" i="90"/>
  <c r="AC12" i="90"/>
  <c r="AB12" i="90"/>
  <c r="AA12" i="90"/>
  <c r="Z12" i="90"/>
  <c r="AM11" i="90"/>
  <c r="AL11" i="90"/>
  <c r="AK11" i="90"/>
  <c r="AJ11" i="90"/>
  <c r="AI11" i="90"/>
  <c r="AH11" i="90"/>
  <c r="AG11" i="90"/>
  <c r="AF11" i="90"/>
  <c r="AD11" i="90"/>
  <c r="AC11" i="90"/>
  <c r="AB11" i="90"/>
  <c r="AA11" i="90"/>
  <c r="Z11" i="90"/>
  <c r="AM10" i="90"/>
  <c r="AL10" i="90"/>
  <c r="AK10" i="90"/>
  <c r="AJ10" i="90"/>
  <c r="AI10" i="90"/>
  <c r="AH10" i="90"/>
  <c r="AG10" i="90"/>
  <c r="AF10" i="90"/>
  <c r="AD10" i="90"/>
  <c r="AC10" i="90"/>
  <c r="AB10" i="90"/>
  <c r="AA10" i="90"/>
  <c r="Z10" i="90"/>
  <c r="AM9" i="90"/>
  <c r="AL9" i="90"/>
  <c r="AK9" i="90"/>
  <c r="AJ9" i="90"/>
  <c r="AI9" i="90"/>
  <c r="AH9" i="90"/>
  <c r="AG9" i="90"/>
  <c r="AF9" i="90"/>
  <c r="AD9" i="90"/>
  <c r="AC9" i="90"/>
  <c r="AB9" i="90"/>
  <c r="AA9" i="90"/>
  <c r="Z9" i="90"/>
  <c r="AM8" i="90"/>
  <c r="AL8" i="90"/>
  <c r="AK8" i="90"/>
  <c r="AJ8" i="90"/>
  <c r="AI8" i="90"/>
  <c r="AH8" i="90"/>
  <c r="AG8" i="90"/>
  <c r="AF8" i="90"/>
  <c r="AD8" i="90"/>
  <c r="AC8" i="90"/>
  <c r="AB8" i="90"/>
  <c r="AA8" i="90"/>
  <c r="Z8" i="90"/>
  <c r="AM7" i="90"/>
  <c r="AL7" i="90"/>
  <c r="AK7" i="90"/>
  <c r="AJ7" i="90"/>
  <c r="AI7" i="90"/>
  <c r="AH7" i="90"/>
  <c r="AG7" i="90"/>
  <c r="AF7" i="90"/>
  <c r="AD7" i="90"/>
  <c r="AC7" i="90"/>
  <c r="AB7" i="90"/>
  <c r="AA7" i="90"/>
  <c r="Z7" i="90"/>
  <c r="AM6" i="90"/>
  <c r="AL6" i="90"/>
  <c r="AK6" i="90"/>
  <c r="AJ6" i="90"/>
  <c r="AI6" i="90"/>
  <c r="AH6" i="90"/>
  <c r="AG6" i="90"/>
  <c r="AF6" i="90"/>
  <c r="AD6" i="90"/>
  <c r="AC6" i="90"/>
  <c r="AB6" i="90"/>
  <c r="AA6" i="90"/>
  <c r="Z6" i="90"/>
  <c r="AM5" i="90"/>
  <c r="AL5" i="90"/>
  <c r="AK5" i="90"/>
  <c r="AJ5" i="90"/>
  <c r="AI5" i="90"/>
  <c r="AH5" i="90"/>
  <c r="AG5" i="90"/>
  <c r="AF5" i="90"/>
  <c r="AD5" i="90"/>
  <c r="AC5" i="90"/>
  <c r="AB5" i="90"/>
  <c r="AA5" i="90"/>
  <c r="Z5" i="90"/>
  <c r="C64" i="96" l="1"/>
  <c r="C63" i="96"/>
  <c r="C62" i="96"/>
  <c r="C61" i="96"/>
  <c r="C60" i="96"/>
  <c r="C59" i="96"/>
  <c r="C53" i="96"/>
  <c r="C52" i="96"/>
  <c r="C51" i="96"/>
  <c r="C50" i="96"/>
  <c r="C49" i="96"/>
  <c r="C48" i="96"/>
  <c r="C39" i="96"/>
  <c r="C38" i="96"/>
  <c r="C37" i="96"/>
  <c r="C36" i="96"/>
  <c r="C35" i="96"/>
  <c r="C34" i="96"/>
  <c r="C33" i="96"/>
  <c r="C32" i="96"/>
  <c r="C31" i="96"/>
  <c r="C7" i="96"/>
  <c r="C64" i="44"/>
  <c r="C63" i="44"/>
  <c r="C62" i="44"/>
  <c r="C61" i="44"/>
  <c r="C60" i="44"/>
  <c r="C59" i="44"/>
  <c r="C53" i="44"/>
  <c r="C52" i="44"/>
  <c r="C51" i="44"/>
  <c r="C50" i="44"/>
  <c r="C49" i="44"/>
  <c r="C48" i="44"/>
  <c r="C39" i="44"/>
  <c r="C38" i="44"/>
  <c r="C37" i="44"/>
  <c r="C36" i="44"/>
  <c r="C35" i="44"/>
  <c r="C34" i="44"/>
  <c r="C33" i="44"/>
  <c r="C32" i="44"/>
  <c r="C31" i="44"/>
  <c r="C7" i="44"/>
  <c r="C64" i="1"/>
  <c r="C63" i="1"/>
  <c r="C62" i="1"/>
  <c r="C61" i="1"/>
  <c r="C60" i="1"/>
  <c r="C59" i="1"/>
  <c r="C53" i="1"/>
  <c r="C52" i="1"/>
  <c r="C51" i="1"/>
  <c r="C50" i="1"/>
  <c r="C49" i="1"/>
  <c r="C48" i="1"/>
  <c r="C39" i="1"/>
  <c r="C38" i="1"/>
  <c r="C37" i="1"/>
  <c r="C36" i="1"/>
  <c r="C35" i="1"/>
  <c r="C34" i="1"/>
  <c r="C33" i="1"/>
  <c r="C32" i="1"/>
  <c r="C31" i="1"/>
  <c r="C7" i="1"/>
  <c r="C64" i="94"/>
  <c r="C54" i="96" l="1"/>
  <c r="C30" i="96"/>
  <c r="C47" i="96"/>
  <c r="C40" i="96"/>
  <c r="B1" i="96"/>
  <c r="B1" i="44"/>
  <c r="B1" i="1"/>
  <c r="B1" i="94"/>
  <c r="S17" i="73" l="1"/>
  <c r="BP15" i="95" l="1"/>
  <c r="BS15" i="95" s="1"/>
  <c r="BO15" i="95"/>
  <c r="BW14" i="95"/>
  <c r="BZ14" i="95" s="1"/>
  <c r="BV14" i="95"/>
  <c r="BP14" i="95"/>
  <c r="BS14" i="95" s="1"/>
  <c r="BO14" i="95"/>
  <c r="BP13" i="95"/>
  <c r="BT13" i="95" s="1"/>
  <c r="W13" i="73" s="1"/>
  <c r="BO13" i="95"/>
  <c r="Z13" i="95"/>
  <c r="AD13" i="95" s="1"/>
  <c r="O13" i="73" s="1"/>
  <c r="Y13" i="95"/>
  <c r="BW12" i="95"/>
  <c r="CA12" i="95" s="1"/>
  <c r="BV12" i="95"/>
  <c r="BP12" i="95"/>
  <c r="BT12" i="95" s="1"/>
  <c r="BO12" i="95"/>
  <c r="BW11" i="95"/>
  <c r="BV11" i="95"/>
  <c r="Z11" i="95"/>
  <c r="AD11" i="95" s="1"/>
  <c r="Y11" i="95"/>
  <c r="BW10" i="95"/>
  <c r="CA10" i="95" s="1"/>
  <c r="BV10" i="95"/>
  <c r="BW9" i="95"/>
  <c r="BV9" i="95"/>
  <c r="BP9" i="95"/>
  <c r="BS9" i="95" s="1"/>
  <c r="BO9" i="95"/>
  <c r="BW8" i="95"/>
  <c r="BZ8" i="95" s="1"/>
  <c r="BV8" i="95"/>
  <c r="BP8" i="95"/>
  <c r="BS8" i="95" s="1"/>
  <c r="BO8" i="95"/>
  <c r="BW7" i="95"/>
  <c r="CA7" i="95" s="1"/>
  <c r="BV7" i="95"/>
  <c r="BP7" i="95"/>
  <c r="BT7" i="95" s="1"/>
  <c r="W7" i="73" s="1"/>
  <c r="BO7" i="95"/>
  <c r="BP6" i="95"/>
  <c r="BT6" i="95" s="1"/>
  <c r="BO6" i="95"/>
  <c r="BW5" i="95"/>
  <c r="CA5" i="95" s="1"/>
  <c r="BV5" i="95"/>
  <c r="Z5" i="95"/>
  <c r="AD5" i="95" s="1"/>
  <c r="O5" i="73" s="1"/>
  <c r="Y5" i="95"/>
  <c r="L5" i="95"/>
  <c r="O5" i="95" s="1"/>
  <c r="K5" i="95"/>
  <c r="B3" i="95"/>
  <c r="C3" i="95" s="1"/>
  <c r="D3" i="95" s="1"/>
  <c r="E3" i="95" s="1"/>
  <c r="F3" i="95" s="1"/>
  <c r="G3" i="95" s="1"/>
  <c r="H3" i="95" s="1"/>
  <c r="I3" i="95" s="1"/>
  <c r="J3" i="95" s="1"/>
  <c r="K3" i="95" s="1"/>
  <c r="L3" i="95" s="1"/>
  <c r="M3" i="95" s="1"/>
  <c r="N3" i="95" s="1"/>
  <c r="O3" i="95" s="1"/>
  <c r="P3" i="95" s="1"/>
  <c r="Q3" i="95" s="1"/>
  <c r="R3" i="95" s="1"/>
  <c r="S3" i="95" s="1"/>
  <c r="T3" i="95" s="1"/>
  <c r="U3" i="95" s="1"/>
  <c r="V3" i="95" s="1"/>
  <c r="W3" i="95" s="1"/>
  <c r="X3" i="95" s="1"/>
  <c r="Y3" i="95" s="1"/>
  <c r="Z3" i="95" s="1"/>
  <c r="AA3" i="95" s="1"/>
  <c r="AB3" i="95" s="1"/>
  <c r="AC3" i="95" s="1"/>
  <c r="AD3" i="95" s="1"/>
  <c r="AE3" i="95" s="1"/>
  <c r="AF3" i="95" s="1"/>
  <c r="AG3" i="95" s="1"/>
  <c r="AH3" i="95" s="1"/>
  <c r="AI3" i="95" s="1"/>
  <c r="AJ3" i="95" s="1"/>
  <c r="AK3" i="95" s="1"/>
  <c r="AL3" i="95" s="1"/>
  <c r="AM3" i="95" s="1"/>
  <c r="AN3" i="95" s="1"/>
  <c r="AO3" i="95" s="1"/>
  <c r="AP3" i="95" s="1"/>
  <c r="AQ3" i="95" s="1"/>
  <c r="AR3" i="95" s="1"/>
  <c r="AS3" i="95" s="1"/>
  <c r="AT3" i="95" s="1"/>
  <c r="AU3" i="95" s="1"/>
  <c r="AV3" i="95" s="1"/>
  <c r="AW3" i="95" s="1"/>
  <c r="AX3" i="95" s="1"/>
  <c r="AY3" i="95" s="1"/>
  <c r="AZ3" i="95" s="1"/>
  <c r="BA3" i="95" s="1"/>
  <c r="BB3" i="95" s="1"/>
  <c r="BC3" i="95" s="1"/>
  <c r="BD3" i="95" s="1"/>
  <c r="BE3" i="95" s="1"/>
  <c r="BF3" i="95" s="1"/>
  <c r="BG3" i="95" s="1"/>
  <c r="BH3" i="95" s="1"/>
  <c r="BI3" i="95" s="1"/>
  <c r="BJ3" i="95" s="1"/>
  <c r="BK3" i="95" s="1"/>
  <c r="BL3" i="95" s="1"/>
  <c r="BM3" i="95" s="1"/>
  <c r="BN3" i="95" s="1"/>
  <c r="BW7" i="86"/>
  <c r="BZ7" i="86" s="1"/>
  <c r="BW8" i="86"/>
  <c r="BW9" i="86"/>
  <c r="BW10" i="86"/>
  <c r="BW11" i="86"/>
  <c r="BW12" i="86"/>
  <c r="BW14" i="86"/>
  <c r="BW5" i="86"/>
  <c r="BV7" i="86"/>
  <c r="BV8" i="86"/>
  <c r="BV9" i="86"/>
  <c r="BV10" i="86"/>
  <c r="BV11" i="86"/>
  <c r="BV12" i="86"/>
  <c r="BV14" i="86"/>
  <c r="BV5" i="86"/>
  <c r="BP6" i="86"/>
  <c r="BT6" i="86" s="1"/>
  <c r="AM6" i="73" s="1"/>
  <c r="BP7" i="86"/>
  <c r="BT7" i="86" s="1"/>
  <c r="BP8" i="86"/>
  <c r="BP9" i="86"/>
  <c r="BT9" i="86" s="1"/>
  <c r="AM9" i="73" s="1"/>
  <c r="BP12" i="86"/>
  <c r="BP13" i="86"/>
  <c r="BT13" i="86" s="1"/>
  <c r="AM13" i="73" s="1"/>
  <c r="BP14" i="86"/>
  <c r="BS14" i="86" s="1"/>
  <c r="BP15" i="86"/>
  <c r="BT15" i="86" s="1"/>
  <c r="BO6" i="86"/>
  <c r="BO7" i="86"/>
  <c r="BO8" i="86"/>
  <c r="BO9" i="86"/>
  <c r="BO12" i="86"/>
  <c r="BO13" i="86"/>
  <c r="BO14" i="86"/>
  <c r="BO15" i="86"/>
  <c r="Z5" i="86"/>
  <c r="AC5" i="86" s="1"/>
  <c r="Y5" i="86"/>
  <c r="Z11" i="86"/>
  <c r="AC11" i="86" s="1"/>
  <c r="Z13" i="86"/>
  <c r="Y11" i="86"/>
  <c r="Y13" i="86"/>
  <c r="L5" i="86"/>
  <c r="O5" i="86" s="1"/>
  <c r="K5" i="86"/>
  <c r="CA8" i="95" l="1"/>
  <c r="X8" i="73" s="1"/>
  <c r="BT14" i="95"/>
  <c r="W14" i="73" s="1"/>
  <c r="CA7" i="86"/>
  <c r="AN7" i="73" s="1"/>
  <c r="BT15" i="95"/>
  <c r="W15" i="73" s="1"/>
  <c r="BT8" i="95"/>
  <c r="W8" i="73" s="1"/>
  <c r="BT9" i="95"/>
  <c r="W9" i="73" s="1"/>
  <c r="CA14" i="95"/>
  <c r="X14" i="73" s="1"/>
  <c r="P5" i="95"/>
  <c r="M5" i="73" s="1"/>
  <c r="BT14" i="86"/>
  <c r="AM14" i="73" s="1"/>
  <c r="AC11" i="95"/>
  <c r="AC13" i="95"/>
  <c r="BS13" i="95"/>
  <c r="AC5" i="95"/>
  <c r="BS7" i="95"/>
  <c r="BS12" i="95"/>
  <c r="BS6" i="95"/>
  <c r="BZ5" i="95"/>
  <c r="BZ7" i="95"/>
  <c r="BZ10" i="95"/>
  <c r="BZ12" i="95"/>
  <c r="CA14" i="86"/>
  <c r="BZ14" i="86"/>
  <c r="CA10" i="86"/>
  <c r="BZ10" i="86"/>
  <c r="W12" i="73"/>
  <c r="CA5" i="86"/>
  <c r="BZ5" i="86"/>
  <c r="X7" i="73"/>
  <c r="X10" i="73"/>
  <c r="CA12" i="86"/>
  <c r="BZ12" i="86"/>
  <c r="CA8" i="86"/>
  <c r="BZ8" i="86"/>
  <c r="W6" i="73"/>
  <c r="BS9" i="86"/>
  <c r="X5" i="73"/>
  <c r="X12" i="73"/>
  <c r="BS6" i="86"/>
  <c r="O11" i="73"/>
  <c r="BS13" i="86"/>
  <c r="BS3" i="95"/>
  <c r="BT3" i="95" s="1"/>
  <c r="BU3" i="95" s="1"/>
  <c r="BV3" i="95" s="1"/>
  <c r="BW3" i="95" s="1"/>
  <c r="BX3" i="95" s="1"/>
  <c r="BY3" i="95" s="1"/>
  <c r="BZ3" i="95" s="1"/>
  <c r="CA3" i="95" s="1"/>
  <c r="CB3" i="95" s="1"/>
  <c r="CC3" i="95" s="1"/>
  <c r="CD3" i="95" s="1"/>
  <c r="CE3" i="95" s="1"/>
  <c r="BO3" i="95"/>
  <c r="BP3" i="95" s="1"/>
  <c r="BQ3" i="95" s="1"/>
  <c r="BR3" i="95" s="1"/>
  <c r="AM15" i="73"/>
  <c r="AM7" i="73"/>
  <c r="BS12" i="86"/>
  <c r="BS8" i="86"/>
  <c r="BT12" i="86"/>
  <c r="BT8" i="86"/>
  <c r="BS15" i="86"/>
  <c r="BS7" i="86"/>
  <c r="AD5" i="86"/>
  <c r="AC13" i="86"/>
  <c r="AD13" i="86"/>
  <c r="AD11" i="86"/>
  <c r="P5" i="86"/>
  <c r="AC5" i="73" s="1"/>
  <c r="AN5" i="73" l="1"/>
  <c r="AN12" i="73"/>
  <c r="AN8" i="73"/>
  <c r="AN10" i="73"/>
  <c r="AN14" i="73"/>
  <c r="AM12" i="73"/>
  <c r="AM8" i="73"/>
  <c r="AE5" i="73"/>
  <c r="AE13" i="73"/>
  <c r="AE11" i="73"/>
  <c r="B3" i="93" l="1"/>
  <c r="C3" i="93" s="1"/>
  <c r="D3" i="93" s="1"/>
  <c r="E3" i="93" s="1"/>
  <c r="F3" i="93" s="1"/>
  <c r="G3" i="93" s="1"/>
  <c r="H3" i="93" s="1"/>
  <c r="R17" i="92"/>
  <c r="Q15" i="92"/>
  <c r="P15" i="92"/>
  <c r="O15" i="92"/>
  <c r="N15" i="92"/>
  <c r="M15" i="92"/>
  <c r="L15" i="92"/>
  <c r="K15" i="92"/>
  <c r="J15" i="92"/>
  <c r="H15" i="92"/>
  <c r="G15" i="92"/>
  <c r="F15" i="92"/>
  <c r="E15" i="92"/>
  <c r="D15" i="92"/>
  <c r="Q14" i="92"/>
  <c r="P14" i="92"/>
  <c r="O14" i="92"/>
  <c r="N14" i="92"/>
  <c r="M14" i="92"/>
  <c r="L14" i="92"/>
  <c r="K14" i="92"/>
  <c r="J14" i="92"/>
  <c r="H14" i="92"/>
  <c r="G14" i="92"/>
  <c r="F14" i="92"/>
  <c r="E14" i="92"/>
  <c r="D14" i="92"/>
  <c r="Q13" i="92"/>
  <c r="P13" i="92"/>
  <c r="O13" i="92"/>
  <c r="N13" i="92"/>
  <c r="M13" i="92"/>
  <c r="L13" i="92"/>
  <c r="K13" i="92"/>
  <c r="J13" i="92"/>
  <c r="H13" i="92"/>
  <c r="G13" i="92"/>
  <c r="F13" i="92"/>
  <c r="E13" i="92"/>
  <c r="D13" i="92"/>
  <c r="Q12" i="92"/>
  <c r="P12" i="92"/>
  <c r="O12" i="92"/>
  <c r="N12" i="92"/>
  <c r="M12" i="92"/>
  <c r="L12" i="92"/>
  <c r="K12" i="92"/>
  <c r="J12" i="92"/>
  <c r="H12" i="92"/>
  <c r="G12" i="92"/>
  <c r="F12" i="92"/>
  <c r="E12" i="92"/>
  <c r="D12" i="92"/>
  <c r="Q11" i="92"/>
  <c r="P11" i="92"/>
  <c r="O11" i="92"/>
  <c r="N11" i="92"/>
  <c r="M11" i="92"/>
  <c r="L11" i="92"/>
  <c r="K11" i="92"/>
  <c r="J11" i="92"/>
  <c r="H11" i="92"/>
  <c r="G11" i="92"/>
  <c r="F11" i="92"/>
  <c r="E11" i="92"/>
  <c r="D11" i="92"/>
  <c r="Q10" i="92"/>
  <c r="P10" i="92"/>
  <c r="O10" i="92"/>
  <c r="N10" i="92"/>
  <c r="M10" i="92"/>
  <c r="L10" i="92"/>
  <c r="K10" i="92"/>
  <c r="J10" i="92"/>
  <c r="H10" i="92"/>
  <c r="G10" i="92"/>
  <c r="F10" i="92"/>
  <c r="E10" i="92"/>
  <c r="D10" i="92"/>
  <c r="Q9" i="92"/>
  <c r="P9" i="92"/>
  <c r="O9" i="92"/>
  <c r="N9" i="92"/>
  <c r="M9" i="92"/>
  <c r="L9" i="92"/>
  <c r="K9" i="92"/>
  <c r="J9" i="92"/>
  <c r="H9" i="92"/>
  <c r="G9" i="92"/>
  <c r="F9" i="92"/>
  <c r="E9" i="92"/>
  <c r="D9" i="92"/>
  <c r="Q8" i="92"/>
  <c r="P8" i="92"/>
  <c r="O8" i="92"/>
  <c r="N8" i="92"/>
  <c r="M8" i="92"/>
  <c r="L8" i="92"/>
  <c r="K8" i="92"/>
  <c r="J8" i="92"/>
  <c r="H8" i="92"/>
  <c r="G8" i="92"/>
  <c r="F8" i="92"/>
  <c r="E8" i="92"/>
  <c r="D8" i="92"/>
  <c r="Q7" i="92"/>
  <c r="P7" i="92"/>
  <c r="O7" i="92"/>
  <c r="N7" i="92"/>
  <c r="M7" i="92"/>
  <c r="L7" i="92"/>
  <c r="K7" i="92"/>
  <c r="J7" i="92"/>
  <c r="H7" i="92"/>
  <c r="G7" i="92"/>
  <c r="F7" i="92"/>
  <c r="E7" i="92"/>
  <c r="D7" i="92"/>
  <c r="Q6" i="92"/>
  <c r="P6" i="92"/>
  <c r="O6" i="92"/>
  <c r="N6" i="92"/>
  <c r="M6" i="92"/>
  <c r="L6" i="92"/>
  <c r="K6" i="92"/>
  <c r="J6" i="92"/>
  <c r="H6" i="92"/>
  <c r="G6" i="92"/>
  <c r="F6" i="92"/>
  <c r="E6" i="92"/>
  <c r="D6" i="92"/>
  <c r="Q5" i="92"/>
  <c r="P5" i="92"/>
  <c r="O5" i="92"/>
  <c r="N5" i="92"/>
  <c r="M5" i="92"/>
  <c r="L5" i="92"/>
  <c r="K5" i="92"/>
  <c r="J5" i="92"/>
  <c r="H5" i="92"/>
  <c r="G5" i="92"/>
  <c r="F5" i="92"/>
  <c r="E5" i="92"/>
  <c r="D5" i="92"/>
  <c r="B3" i="92"/>
  <c r="C3" i="92" s="1"/>
  <c r="D3" i="92" s="1"/>
  <c r="E3" i="92" s="1"/>
  <c r="F3" i="92" s="1"/>
  <c r="G3" i="92" s="1"/>
  <c r="H3" i="92" s="1"/>
  <c r="I3" i="92" s="1"/>
  <c r="J3" i="92" s="1"/>
  <c r="K3" i="92" s="1"/>
  <c r="L3" i="92" s="1"/>
  <c r="M3" i="92" s="1"/>
  <c r="N3" i="92" s="1"/>
  <c r="O3" i="92" s="1"/>
  <c r="P3" i="92" s="1"/>
  <c r="Q3" i="92" s="1"/>
  <c r="R3" i="92" s="1"/>
  <c r="S3" i="92" s="1"/>
  <c r="T3" i="92" s="1"/>
  <c r="U3" i="92" s="1"/>
  <c r="Y17" i="91"/>
  <c r="X17" i="91"/>
  <c r="R17" i="91"/>
  <c r="Q17" i="91"/>
  <c r="P17" i="91"/>
  <c r="O17" i="91"/>
  <c r="N17" i="91"/>
  <c r="M17" i="91"/>
  <c r="L17" i="91"/>
  <c r="K17" i="91"/>
  <c r="J17" i="91"/>
  <c r="I15" i="91"/>
  <c r="C15" i="91" s="1"/>
  <c r="I14" i="91"/>
  <c r="C14" i="91" s="1"/>
  <c r="I13" i="91"/>
  <c r="C13" i="91" s="1"/>
  <c r="I12" i="91"/>
  <c r="C12" i="91" s="1"/>
  <c r="I11" i="91"/>
  <c r="C11" i="91" s="1"/>
  <c r="I10" i="91"/>
  <c r="C10" i="91" s="1"/>
  <c r="I9" i="91"/>
  <c r="C9" i="91" s="1"/>
  <c r="I8" i="91"/>
  <c r="C8" i="91" s="1"/>
  <c r="I7" i="91"/>
  <c r="C7" i="91" s="1"/>
  <c r="I6" i="91"/>
  <c r="C6" i="91" s="1"/>
  <c r="I5" i="91"/>
  <c r="C5" i="91" s="1"/>
  <c r="B3" i="91"/>
  <c r="C3" i="91" s="1"/>
  <c r="D3" i="91" s="1"/>
  <c r="E3" i="91" s="1"/>
  <c r="F3" i="91" s="1"/>
  <c r="G3" i="91" s="1"/>
  <c r="H3" i="91" s="1"/>
  <c r="I3" i="91" s="1"/>
  <c r="J3" i="91" s="1"/>
  <c r="K3" i="91" s="1"/>
  <c r="L3" i="91" s="1"/>
  <c r="M3" i="91" s="1"/>
  <c r="N3" i="91" s="1"/>
  <c r="O3" i="91" s="1"/>
  <c r="P3" i="91" s="1"/>
  <c r="Q3" i="91" s="1"/>
  <c r="R3" i="91" s="1"/>
  <c r="S3" i="91" s="1"/>
  <c r="T3" i="91" s="1"/>
  <c r="U3" i="91" s="1"/>
  <c r="V3" i="91" s="1"/>
  <c r="W3" i="91" s="1"/>
  <c r="X3" i="91" s="1"/>
  <c r="Y3" i="91" s="1"/>
  <c r="C17" i="90"/>
  <c r="X15" i="90"/>
  <c r="W15" i="90"/>
  <c r="V15" i="90"/>
  <c r="U15" i="90"/>
  <c r="T15" i="90"/>
  <c r="S15" i="90"/>
  <c r="R15" i="90"/>
  <c r="Q15" i="90"/>
  <c r="P15" i="90"/>
  <c r="N15" i="90"/>
  <c r="M15" i="90"/>
  <c r="L15" i="90"/>
  <c r="K15" i="90"/>
  <c r="J15" i="90"/>
  <c r="X14" i="90"/>
  <c r="W14" i="90"/>
  <c r="V14" i="90"/>
  <c r="U14" i="90"/>
  <c r="T14" i="90"/>
  <c r="S14" i="90"/>
  <c r="R14" i="90"/>
  <c r="Q14" i="90"/>
  <c r="P14" i="90"/>
  <c r="N14" i="90"/>
  <c r="M14" i="90"/>
  <c r="L14" i="90"/>
  <c r="K14" i="90"/>
  <c r="J14" i="90"/>
  <c r="X13" i="90"/>
  <c r="W13" i="90"/>
  <c r="V13" i="90"/>
  <c r="U13" i="90"/>
  <c r="T13" i="90"/>
  <c r="S13" i="90"/>
  <c r="R13" i="90"/>
  <c r="Q13" i="90"/>
  <c r="P13" i="90"/>
  <c r="N13" i="90"/>
  <c r="M13" i="90"/>
  <c r="L13" i="90"/>
  <c r="K13" i="90"/>
  <c r="J13" i="90"/>
  <c r="X12" i="90"/>
  <c r="W12" i="90"/>
  <c r="V12" i="90"/>
  <c r="U12" i="90"/>
  <c r="T12" i="90"/>
  <c r="S12" i="90"/>
  <c r="R12" i="90"/>
  <c r="Q12" i="90"/>
  <c r="P12" i="90"/>
  <c r="N12" i="90"/>
  <c r="M12" i="90"/>
  <c r="L12" i="90"/>
  <c r="K12" i="90"/>
  <c r="J12" i="90"/>
  <c r="X11" i="90"/>
  <c r="W11" i="90"/>
  <c r="V11" i="90"/>
  <c r="U11" i="90"/>
  <c r="T11" i="90"/>
  <c r="S11" i="90"/>
  <c r="R11" i="90"/>
  <c r="Q11" i="90"/>
  <c r="P11" i="90"/>
  <c r="N11" i="90"/>
  <c r="M11" i="90"/>
  <c r="L11" i="90"/>
  <c r="K11" i="90"/>
  <c r="J11" i="90"/>
  <c r="X10" i="90"/>
  <c r="W10" i="90"/>
  <c r="V10" i="90"/>
  <c r="U10" i="90"/>
  <c r="T10" i="90"/>
  <c r="S10" i="90"/>
  <c r="R10" i="90"/>
  <c r="Q10" i="90"/>
  <c r="P10" i="90"/>
  <c r="N10" i="90"/>
  <c r="M10" i="90"/>
  <c r="L10" i="90"/>
  <c r="K10" i="90"/>
  <c r="J10" i="90"/>
  <c r="X9" i="90"/>
  <c r="W9" i="90"/>
  <c r="V9" i="90"/>
  <c r="U9" i="90"/>
  <c r="T9" i="90"/>
  <c r="S9" i="90"/>
  <c r="R9" i="90"/>
  <c r="Q9" i="90"/>
  <c r="P9" i="90"/>
  <c r="N9" i="90"/>
  <c r="M9" i="90"/>
  <c r="L9" i="90"/>
  <c r="K9" i="90"/>
  <c r="J9" i="90"/>
  <c r="X8" i="90"/>
  <c r="W8" i="90"/>
  <c r="V8" i="90"/>
  <c r="U8" i="90"/>
  <c r="T8" i="90"/>
  <c r="S8" i="90"/>
  <c r="R8" i="90"/>
  <c r="Q8" i="90"/>
  <c r="P8" i="90"/>
  <c r="N8" i="90"/>
  <c r="M8" i="90"/>
  <c r="L8" i="90"/>
  <c r="K8" i="90"/>
  <c r="J8" i="90"/>
  <c r="X7" i="90"/>
  <c r="W7" i="90"/>
  <c r="V7" i="90"/>
  <c r="U7" i="90"/>
  <c r="T7" i="90"/>
  <c r="S7" i="90"/>
  <c r="R7" i="90"/>
  <c r="Q7" i="90"/>
  <c r="P7" i="90"/>
  <c r="N7" i="90"/>
  <c r="M7" i="90"/>
  <c r="L7" i="90"/>
  <c r="K7" i="90"/>
  <c r="J7" i="90"/>
  <c r="X6" i="90"/>
  <c r="W6" i="90"/>
  <c r="V6" i="90"/>
  <c r="U6" i="90"/>
  <c r="T6" i="90"/>
  <c r="S6" i="90"/>
  <c r="R6" i="90"/>
  <c r="Q6" i="90"/>
  <c r="P6" i="90"/>
  <c r="N6" i="90"/>
  <c r="M6" i="90"/>
  <c r="L6" i="90"/>
  <c r="K6" i="90"/>
  <c r="J6" i="90"/>
  <c r="X5" i="90"/>
  <c r="W5" i="90"/>
  <c r="V5" i="90"/>
  <c r="U5" i="90"/>
  <c r="T5" i="90"/>
  <c r="S5" i="90"/>
  <c r="R5" i="90"/>
  <c r="Q5" i="90"/>
  <c r="P5" i="90"/>
  <c r="N5" i="90"/>
  <c r="M5" i="90"/>
  <c r="L5" i="90"/>
  <c r="K5" i="90"/>
  <c r="J5" i="90"/>
  <c r="B3" i="90"/>
  <c r="C3" i="90" s="1"/>
  <c r="D3" i="90" s="1"/>
  <c r="E3" i="90" s="1"/>
  <c r="F3" i="90" s="1"/>
  <c r="G3" i="90" s="1"/>
  <c r="H3" i="90" s="1"/>
  <c r="I3" i="90" s="1"/>
  <c r="J3" i="90" s="1"/>
  <c r="K3" i="90" s="1"/>
  <c r="L3" i="90" s="1"/>
  <c r="M3" i="90" s="1"/>
  <c r="N3" i="90" s="1"/>
  <c r="O3" i="90" s="1"/>
  <c r="P3" i="90" s="1"/>
  <c r="Q3" i="90" s="1"/>
  <c r="R3" i="90" s="1"/>
  <c r="S3" i="90" s="1"/>
  <c r="T3" i="90" s="1"/>
  <c r="U3" i="90" s="1"/>
  <c r="V3" i="90" s="1"/>
  <c r="W3" i="90" s="1"/>
  <c r="X3" i="90" s="1"/>
  <c r="Y3" i="90" s="1"/>
  <c r="Z3" i="90" s="1"/>
  <c r="AA3" i="90" s="1"/>
  <c r="AB3" i="90" s="1"/>
  <c r="AC3" i="90" s="1"/>
  <c r="AD3" i="90" s="1"/>
  <c r="AE3" i="90" s="1"/>
  <c r="AF3" i="90" s="1"/>
  <c r="AG3" i="90" s="1"/>
  <c r="AH3" i="90" s="1"/>
  <c r="AI3" i="90" s="1"/>
  <c r="AJ3" i="90" s="1"/>
  <c r="AK3" i="90" s="1"/>
  <c r="AL3" i="90" s="1"/>
  <c r="AM3" i="90" s="1"/>
  <c r="B3" i="89"/>
  <c r="C3" i="89" s="1"/>
  <c r="D3" i="89" s="1"/>
  <c r="E3" i="89" s="1"/>
  <c r="F3" i="89" s="1"/>
  <c r="G3" i="89" s="1"/>
  <c r="H3" i="89" s="1"/>
  <c r="I3" i="89" s="1"/>
  <c r="J3" i="89" s="1"/>
  <c r="K3" i="89" s="1"/>
  <c r="L3" i="89" s="1"/>
  <c r="M3" i="89" s="1"/>
  <c r="B3" i="88"/>
  <c r="C3" i="88" s="1"/>
  <c r="D3" i="88" s="1"/>
  <c r="E3" i="88" s="1"/>
  <c r="F3" i="88" s="1"/>
  <c r="G3" i="88" s="1"/>
  <c r="H3" i="88" s="1"/>
  <c r="I3" i="88" s="1"/>
  <c r="J3" i="88" s="1"/>
  <c r="K3" i="88" s="1"/>
  <c r="B3" i="86"/>
  <c r="C3" i="86" s="1"/>
  <c r="H15" i="85"/>
  <c r="G15" i="85"/>
  <c r="F15" i="85"/>
  <c r="E15" i="85"/>
  <c r="D15" i="85"/>
  <c r="H14" i="85"/>
  <c r="G14" i="85"/>
  <c r="G14" i="89" s="1"/>
  <c r="F14" i="85"/>
  <c r="E14" i="85"/>
  <c r="E14" i="89" s="1"/>
  <c r="D14" i="85"/>
  <c r="H13" i="85"/>
  <c r="G13" i="85"/>
  <c r="G13" i="89" s="1"/>
  <c r="F13" i="85"/>
  <c r="F13" i="89" s="1"/>
  <c r="E13" i="85"/>
  <c r="E13" i="89" s="1"/>
  <c r="D13" i="85"/>
  <c r="H12" i="85"/>
  <c r="G12" i="85"/>
  <c r="F12" i="85"/>
  <c r="E12" i="85"/>
  <c r="D12" i="85"/>
  <c r="D12" i="89" s="1"/>
  <c r="H11" i="85"/>
  <c r="G11" i="85"/>
  <c r="G11" i="89" s="1"/>
  <c r="F11" i="85"/>
  <c r="E11" i="85"/>
  <c r="D11" i="85"/>
  <c r="H10" i="85"/>
  <c r="G10" i="85"/>
  <c r="F10" i="85"/>
  <c r="E10" i="85"/>
  <c r="D10" i="85"/>
  <c r="H9" i="85"/>
  <c r="G9" i="85"/>
  <c r="G9" i="89" s="1"/>
  <c r="F9" i="85"/>
  <c r="F9" i="89" s="1"/>
  <c r="E9" i="85"/>
  <c r="D9" i="85"/>
  <c r="H8" i="85"/>
  <c r="H8" i="89" s="1"/>
  <c r="G8" i="85"/>
  <c r="F8" i="85"/>
  <c r="F8" i="89" s="1"/>
  <c r="E8" i="85"/>
  <c r="D8" i="85"/>
  <c r="D8" i="89" s="1"/>
  <c r="H7" i="85"/>
  <c r="G7" i="85"/>
  <c r="F7" i="85"/>
  <c r="E7" i="85"/>
  <c r="E7" i="89" s="1"/>
  <c r="D7" i="85"/>
  <c r="H6" i="85"/>
  <c r="G6" i="85"/>
  <c r="F6" i="85"/>
  <c r="F6" i="89" s="1"/>
  <c r="E6" i="85"/>
  <c r="E6" i="89" s="1"/>
  <c r="D6" i="85"/>
  <c r="H5" i="85"/>
  <c r="G5" i="85"/>
  <c r="G5" i="89" s="1"/>
  <c r="F5" i="85"/>
  <c r="F5" i="89" s="1"/>
  <c r="E5" i="85"/>
  <c r="E5" i="89" s="1"/>
  <c r="D5" i="85"/>
  <c r="B3" i="85"/>
  <c r="C3" i="85" s="1"/>
  <c r="D3" i="85" s="1"/>
  <c r="E3" i="85" s="1"/>
  <c r="F3" i="85" s="1"/>
  <c r="G3" i="85" s="1"/>
  <c r="H3" i="85" s="1"/>
  <c r="I3" i="85" s="1"/>
  <c r="J3" i="85" s="1"/>
  <c r="K3" i="85" s="1"/>
  <c r="L3" i="85" s="1"/>
  <c r="M3" i="85" s="1"/>
  <c r="N3" i="85" s="1"/>
  <c r="O3" i="85" s="1"/>
  <c r="P3" i="85" s="1"/>
  <c r="Q3" i="85" s="1"/>
  <c r="R3" i="85" s="1"/>
  <c r="S3" i="85" s="1"/>
  <c r="T3" i="85" s="1"/>
  <c r="U3" i="85" s="1"/>
  <c r="V3" i="85" s="1"/>
  <c r="W3" i="85" s="1"/>
  <c r="X3" i="85" s="1"/>
  <c r="Y3" i="85" s="1"/>
  <c r="Z3" i="85" s="1"/>
  <c r="AA3" i="85" s="1"/>
  <c r="AB3" i="85" s="1"/>
  <c r="AC3" i="85" s="1"/>
  <c r="AD3" i="85" s="1"/>
  <c r="R17" i="84"/>
  <c r="Q17" i="84"/>
  <c r="P17" i="84"/>
  <c r="O17" i="84"/>
  <c r="N17" i="84"/>
  <c r="M17" i="84"/>
  <c r="L17" i="84"/>
  <c r="K17" i="84"/>
  <c r="J17" i="84"/>
  <c r="H17" i="84"/>
  <c r="G17" i="84"/>
  <c r="F17" i="84"/>
  <c r="E17" i="84"/>
  <c r="D17" i="84"/>
  <c r="I15" i="84"/>
  <c r="C15" i="84" s="1"/>
  <c r="I14" i="84"/>
  <c r="C14" i="84" s="1"/>
  <c r="I13" i="84"/>
  <c r="C13" i="84" s="1"/>
  <c r="I12" i="84"/>
  <c r="C12" i="84" s="1"/>
  <c r="I11" i="84"/>
  <c r="C11" i="84" s="1"/>
  <c r="I10" i="84"/>
  <c r="C10" i="84" s="1"/>
  <c r="I9" i="84"/>
  <c r="C9" i="84" s="1"/>
  <c r="I8" i="84"/>
  <c r="C8" i="84" s="1"/>
  <c r="I7" i="84"/>
  <c r="C7" i="84" s="1"/>
  <c r="I6" i="84"/>
  <c r="C6" i="84" s="1"/>
  <c r="I5" i="84"/>
  <c r="C5" i="84" s="1"/>
  <c r="D3" i="84"/>
  <c r="E3" i="84" s="1"/>
  <c r="F3" i="84" s="1"/>
  <c r="G3" i="84" s="1"/>
  <c r="H3" i="84" s="1"/>
  <c r="I3" i="84" s="1"/>
  <c r="J3" i="84" s="1"/>
  <c r="K3" i="84" s="1"/>
  <c r="L3" i="84" s="1"/>
  <c r="M3" i="84" s="1"/>
  <c r="N3" i="84" s="1"/>
  <c r="O3" i="84" s="1"/>
  <c r="P3" i="84" s="1"/>
  <c r="Q3" i="84" s="1"/>
  <c r="R3" i="84" s="1"/>
  <c r="R17" i="83"/>
  <c r="Q17" i="83"/>
  <c r="AM17" i="90" s="1"/>
  <c r="P17" i="83"/>
  <c r="O17" i="83"/>
  <c r="N17" i="83"/>
  <c r="M17" i="83"/>
  <c r="L17" i="83"/>
  <c r="K17" i="83"/>
  <c r="J17" i="83"/>
  <c r="AF17" i="90" s="1"/>
  <c r="H17" i="83"/>
  <c r="E10" i="80" s="1"/>
  <c r="G17" i="83"/>
  <c r="F17" i="83"/>
  <c r="E17" i="83"/>
  <c r="D17" i="83"/>
  <c r="I15" i="83"/>
  <c r="I14" i="83"/>
  <c r="I13" i="83"/>
  <c r="I12" i="83"/>
  <c r="I11" i="83"/>
  <c r="I10" i="83"/>
  <c r="I9" i="83"/>
  <c r="I8" i="83"/>
  <c r="I7" i="83"/>
  <c r="I6" i="83"/>
  <c r="I5" i="83"/>
  <c r="D3" i="83"/>
  <c r="E3" i="83" s="1"/>
  <c r="F3" i="83" s="1"/>
  <c r="G3" i="83" s="1"/>
  <c r="H3" i="83" s="1"/>
  <c r="I3" i="83" s="1"/>
  <c r="J3" i="83" s="1"/>
  <c r="K3" i="83" s="1"/>
  <c r="L3" i="83" s="1"/>
  <c r="M3" i="83" s="1"/>
  <c r="N3" i="83" s="1"/>
  <c r="O3" i="83" s="1"/>
  <c r="P3" i="83" s="1"/>
  <c r="Q3" i="83" s="1"/>
  <c r="R3" i="83" s="1"/>
  <c r="R17" i="82"/>
  <c r="Q17" i="82"/>
  <c r="P17" i="82"/>
  <c r="O17" i="82"/>
  <c r="N17" i="82"/>
  <c r="M17" i="82"/>
  <c r="L17" i="82"/>
  <c r="K17" i="82"/>
  <c r="J17" i="82"/>
  <c r="H17" i="82"/>
  <c r="G17" i="82"/>
  <c r="F17" i="82"/>
  <c r="E17" i="82"/>
  <c r="D17" i="82"/>
  <c r="I15" i="82"/>
  <c r="C15" i="82" s="1"/>
  <c r="I14" i="82"/>
  <c r="C14" i="82" s="1"/>
  <c r="I13" i="82"/>
  <c r="C13" i="82" s="1"/>
  <c r="I12" i="82"/>
  <c r="C12" i="82" s="1"/>
  <c r="I11" i="82"/>
  <c r="C11" i="82" s="1"/>
  <c r="I10" i="82"/>
  <c r="C10" i="82" s="1"/>
  <c r="I9" i="82"/>
  <c r="C9" i="82" s="1"/>
  <c r="I8" i="82"/>
  <c r="C8" i="82" s="1"/>
  <c r="I7" i="82"/>
  <c r="C7" i="82" s="1"/>
  <c r="I6" i="82"/>
  <c r="C6" i="82" s="1"/>
  <c r="I5" i="82"/>
  <c r="C3" i="82"/>
  <c r="D3" i="82" s="1"/>
  <c r="E3" i="82" s="1"/>
  <c r="F3" i="82" s="1"/>
  <c r="G3" i="82" s="1"/>
  <c r="H3" i="82" s="1"/>
  <c r="I3" i="82" s="1"/>
  <c r="J3" i="82" s="1"/>
  <c r="K3" i="82" s="1"/>
  <c r="L3" i="82" s="1"/>
  <c r="M3" i="82" s="1"/>
  <c r="N3" i="82" s="1"/>
  <c r="O3" i="82" s="1"/>
  <c r="P3" i="82" s="1"/>
  <c r="Q3" i="82" s="1"/>
  <c r="R3" i="82" s="1"/>
  <c r="R17" i="81"/>
  <c r="Q17" i="81"/>
  <c r="P17" i="81"/>
  <c r="O17" i="81"/>
  <c r="N17" i="81"/>
  <c r="M17" i="81"/>
  <c r="L17" i="81"/>
  <c r="K17" i="81"/>
  <c r="J17" i="81"/>
  <c r="H17" i="81"/>
  <c r="G17" i="81"/>
  <c r="F17" i="81"/>
  <c r="E17" i="81"/>
  <c r="D17" i="81"/>
  <c r="I15" i="81"/>
  <c r="C15" i="81" s="1"/>
  <c r="I14" i="81"/>
  <c r="C14" i="81" s="1"/>
  <c r="I13" i="81"/>
  <c r="C13" i="81" s="1"/>
  <c r="I12" i="81"/>
  <c r="I11" i="81"/>
  <c r="C11" i="81" s="1"/>
  <c r="I10" i="81"/>
  <c r="C10" i="81" s="1"/>
  <c r="I9" i="81"/>
  <c r="C9" i="81" s="1"/>
  <c r="I8" i="81"/>
  <c r="C8" i="81" s="1"/>
  <c r="I7" i="81"/>
  <c r="C7" i="81" s="1"/>
  <c r="I6" i="81"/>
  <c r="C6" i="81" s="1"/>
  <c r="I5" i="81"/>
  <c r="I3" i="81"/>
  <c r="J3" i="81" s="1"/>
  <c r="K3" i="81" s="1"/>
  <c r="L3" i="81" s="1"/>
  <c r="M3" i="81" s="1"/>
  <c r="N3" i="81" s="1"/>
  <c r="O3" i="81" s="1"/>
  <c r="P3" i="81" s="1"/>
  <c r="Q3" i="81" s="1"/>
  <c r="R3" i="81" s="1"/>
  <c r="D4" i="80"/>
  <c r="E4" i="80" s="1"/>
  <c r="B4" i="80"/>
  <c r="C4" i="80" s="1"/>
  <c r="B4" i="79"/>
  <c r="C4" i="79" s="1"/>
  <c r="D4" i="79" s="1"/>
  <c r="E4" i="79" s="1"/>
  <c r="B3" i="78"/>
  <c r="C3" i="78" s="1"/>
  <c r="D3" i="78" s="1"/>
  <c r="T15" i="77"/>
  <c r="S15" i="77"/>
  <c r="R15" i="77"/>
  <c r="D15" i="88" s="1"/>
  <c r="Q15" i="77"/>
  <c r="P15" i="77"/>
  <c r="O15" i="77"/>
  <c r="N15" i="77"/>
  <c r="M15" i="77"/>
  <c r="L15" i="77"/>
  <c r="K15" i="77"/>
  <c r="J15" i="77"/>
  <c r="H15" i="77"/>
  <c r="G15" i="77"/>
  <c r="F15" i="77"/>
  <c r="E15" i="77"/>
  <c r="D15" i="77"/>
  <c r="T14" i="77"/>
  <c r="S14" i="77"/>
  <c r="R14" i="77"/>
  <c r="D14" i="88" s="1"/>
  <c r="Q14" i="77"/>
  <c r="P14" i="77"/>
  <c r="O14" i="77"/>
  <c r="N14" i="77"/>
  <c r="M14" i="77"/>
  <c r="L14" i="77"/>
  <c r="K14" i="77"/>
  <c r="J14" i="77"/>
  <c r="H14" i="77"/>
  <c r="G14" i="77"/>
  <c r="F14" i="77"/>
  <c r="E14" i="77"/>
  <c r="D14" i="77"/>
  <c r="T13" i="77"/>
  <c r="S13" i="77"/>
  <c r="R13" i="77"/>
  <c r="D13" i="88" s="1"/>
  <c r="Q13" i="77"/>
  <c r="P13" i="77"/>
  <c r="O13" i="77"/>
  <c r="N13" i="77"/>
  <c r="M13" i="77"/>
  <c r="L13" i="77"/>
  <c r="K13" i="77"/>
  <c r="J13" i="77"/>
  <c r="H13" i="77"/>
  <c r="G13" i="77"/>
  <c r="F13" i="77"/>
  <c r="E13" i="77"/>
  <c r="D13" i="77"/>
  <c r="T12" i="77"/>
  <c r="S12" i="77"/>
  <c r="R12" i="77"/>
  <c r="D12" i="88" s="1"/>
  <c r="Q12" i="77"/>
  <c r="P12" i="77"/>
  <c r="O12" i="77"/>
  <c r="N12" i="77"/>
  <c r="M12" i="77"/>
  <c r="L12" i="77"/>
  <c r="K12" i="77"/>
  <c r="J12" i="77"/>
  <c r="H12" i="77"/>
  <c r="G12" i="77"/>
  <c r="F12" i="77"/>
  <c r="E12" i="77"/>
  <c r="D12" i="77"/>
  <c r="T11" i="77"/>
  <c r="S11" i="77"/>
  <c r="R11" i="77"/>
  <c r="D11" i="88" s="1"/>
  <c r="Q11" i="77"/>
  <c r="P11" i="77"/>
  <c r="O11" i="77"/>
  <c r="N11" i="77"/>
  <c r="M11" i="77"/>
  <c r="L11" i="77"/>
  <c r="K11" i="77"/>
  <c r="J11" i="77"/>
  <c r="H11" i="77"/>
  <c r="G11" i="77"/>
  <c r="F11" i="77"/>
  <c r="E11" i="77"/>
  <c r="D11" i="77"/>
  <c r="T10" i="77"/>
  <c r="S10" i="77"/>
  <c r="R10" i="77"/>
  <c r="Q10" i="77"/>
  <c r="P10" i="77"/>
  <c r="O10" i="77"/>
  <c r="N10" i="77"/>
  <c r="M10" i="77"/>
  <c r="L10" i="77"/>
  <c r="K10" i="77"/>
  <c r="J10" i="77"/>
  <c r="H10" i="77"/>
  <c r="G10" i="77"/>
  <c r="F10" i="77"/>
  <c r="E10" i="77"/>
  <c r="D10" i="77"/>
  <c r="T9" i="77"/>
  <c r="S9" i="77"/>
  <c r="R9" i="77"/>
  <c r="D9" i="88" s="1"/>
  <c r="Q9" i="77"/>
  <c r="P9" i="77"/>
  <c r="O9" i="77"/>
  <c r="N9" i="77"/>
  <c r="M9" i="77"/>
  <c r="L9" i="77"/>
  <c r="K9" i="77"/>
  <c r="J9" i="77"/>
  <c r="H9" i="77"/>
  <c r="G9" i="77"/>
  <c r="F9" i="77"/>
  <c r="E9" i="77"/>
  <c r="D9" i="77"/>
  <c r="T8" i="77"/>
  <c r="S8" i="77"/>
  <c r="R8" i="77"/>
  <c r="D8" i="88" s="1"/>
  <c r="Q8" i="77"/>
  <c r="P8" i="77"/>
  <c r="O8" i="77"/>
  <c r="N8" i="77"/>
  <c r="M8" i="77"/>
  <c r="L8" i="77"/>
  <c r="K8" i="77"/>
  <c r="J8" i="77"/>
  <c r="H8" i="77"/>
  <c r="G8" i="77"/>
  <c r="F8" i="77"/>
  <c r="E8" i="77"/>
  <c r="D8" i="77"/>
  <c r="T7" i="77"/>
  <c r="S7" i="77"/>
  <c r="R7" i="77"/>
  <c r="D7" i="88" s="1"/>
  <c r="Q7" i="77"/>
  <c r="P7" i="77"/>
  <c r="O7" i="77"/>
  <c r="N7" i="77"/>
  <c r="M7" i="77"/>
  <c r="L7" i="77"/>
  <c r="K7" i="77"/>
  <c r="J7" i="77"/>
  <c r="H7" i="77"/>
  <c r="G7" i="77"/>
  <c r="F7" i="77"/>
  <c r="E7" i="77"/>
  <c r="D7" i="77"/>
  <c r="T6" i="77"/>
  <c r="S6" i="77"/>
  <c r="R6" i="77"/>
  <c r="D6" i="88" s="1"/>
  <c r="Q6" i="77"/>
  <c r="P6" i="77"/>
  <c r="O6" i="77"/>
  <c r="N6" i="77"/>
  <c r="M6" i="77"/>
  <c r="L6" i="77"/>
  <c r="K6" i="77"/>
  <c r="J6" i="77"/>
  <c r="H6" i="77"/>
  <c r="G6" i="77"/>
  <c r="F6" i="77"/>
  <c r="E6" i="77"/>
  <c r="D6" i="77"/>
  <c r="T5" i="77"/>
  <c r="S5" i="77"/>
  <c r="R5" i="77"/>
  <c r="D5" i="88" s="1"/>
  <c r="Q5" i="77"/>
  <c r="P5" i="77"/>
  <c r="O5" i="77"/>
  <c r="N5" i="77"/>
  <c r="M5" i="77"/>
  <c r="L5" i="77"/>
  <c r="K5" i="77"/>
  <c r="J5" i="77"/>
  <c r="H5" i="77"/>
  <c r="G5" i="77"/>
  <c r="F5" i="77"/>
  <c r="E5" i="77"/>
  <c r="D5" i="77"/>
  <c r="B3" i="77"/>
  <c r="C3" i="77" s="1"/>
  <c r="D3" i="77" s="1"/>
  <c r="E3" i="77" s="1"/>
  <c r="F3" i="77" s="1"/>
  <c r="G3" i="77" s="1"/>
  <c r="H3" i="77" s="1"/>
  <c r="I3" i="77" s="1"/>
  <c r="J3" i="77" s="1"/>
  <c r="K3" i="77" s="1"/>
  <c r="L3" i="77" s="1"/>
  <c r="M3" i="77" s="1"/>
  <c r="N3" i="77" s="1"/>
  <c r="O3" i="77" s="1"/>
  <c r="P3" i="77" s="1"/>
  <c r="Q3" i="77" s="1"/>
  <c r="R3" i="77" s="1"/>
  <c r="S3" i="77" s="1"/>
  <c r="T3" i="77" s="1"/>
  <c r="U3" i="77" s="1"/>
  <c r="R17" i="76"/>
  <c r="Q17" i="76"/>
  <c r="P17" i="76"/>
  <c r="O17" i="76"/>
  <c r="N17" i="76"/>
  <c r="M17" i="76"/>
  <c r="L17" i="76"/>
  <c r="K17" i="76"/>
  <c r="J17" i="76"/>
  <c r="H17" i="76"/>
  <c r="G17" i="76"/>
  <c r="F17" i="76"/>
  <c r="E17" i="76"/>
  <c r="D17" i="76"/>
  <c r="I15" i="76"/>
  <c r="I14" i="76"/>
  <c r="C14" i="76" s="1"/>
  <c r="I13" i="76"/>
  <c r="C13" i="76" s="1"/>
  <c r="I12" i="76"/>
  <c r="C12" i="76" s="1"/>
  <c r="I11" i="76"/>
  <c r="I10" i="76"/>
  <c r="I9" i="76"/>
  <c r="C9" i="76" s="1"/>
  <c r="I8" i="76"/>
  <c r="C8" i="76" s="1"/>
  <c r="I7" i="76"/>
  <c r="I6" i="76"/>
  <c r="C6" i="76" s="1"/>
  <c r="I5" i="76"/>
  <c r="B3" i="76"/>
  <c r="C3" i="76" s="1"/>
  <c r="D3" i="76" s="1"/>
  <c r="E3" i="76" s="1"/>
  <c r="F3" i="76" s="1"/>
  <c r="G3" i="76" s="1"/>
  <c r="H3" i="76" s="1"/>
  <c r="I3" i="76" s="1"/>
  <c r="J3" i="76" s="1"/>
  <c r="K3" i="76" s="1"/>
  <c r="L3" i="76" s="1"/>
  <c r="M3" i="76" s="1"/>
  <c r="N3" i="76" s="1"/>
  <c r="O3" i="76" s="1"/>
  <c r="P3" i="76" s="1"/>
  <c r="Q3" i="76" s="1"/>
  <c r="R3" i="76" s="1"/>
  <c r="S3" i="76" s="1"/>
  <c r="T3" i="76" s="1"/>
  <c r="U3" i="76" s="1"/>
  <c r="T17" i="75"/>
  <c r="S17" i="75"/>
  <c r="R17" i="75"/>
  <c r="Q17" i="75"/>
  <c r="P17" i="75"/>
  <c r="O17" i="75"/>
  <c r="N17" i="75"/>
  <c r="M17" i="75"/>
  <c r="L17" i="75"/>
  <c r="K17" i="75"/>
  <c r="J17" i="75"/>
  <c r="H17" i="75"/>
  <c r="G17" i="75"/>
  <c r="F17" i="75"/>
  <c r="E17" i="75"/>
  <c r="D17" i="75"/>
  <c r="C15" i="95"/>
  <c r="I15" i="75"/>
  <c r="C15" i="75" s="1"/>
  <c r="V15" i="75" s="1"/>
  <c r="T15" i="91" s="1"/>
  <c r="C14" i="95"/>
  <c r="I14" i="75"/>
  <c r="C14" i="75" s="1"/>
  <c r="V14" i="75" s="1"/>
  <c r="T14" i="91" s="1"/>
  <c r="C13" i="95"/>
  <c r="I13" i="75"/>
  <c r="C13" i="75" s="1"/>
  <c r="V13" i="75" s="1"/>
  <c r="T13" i="91" s="1"/>
  <c r="C12" i="95"/>
  <c r="Z12" i="95" s="1"/>
  <c r="I12" i="75"/>
  <c r="C12" i="75" s="1"/>
  <c r="V12" i="75" s="1"/>
  <c r="T12" i="91" s="1"/>
  <c r="C11" i="95"/>
  <c r="I11" i="75"/>
  <c r="C11" i="75" s="1"/>
  <c r="V11" i="75" s="1"/>
  <c r="T11" i="91" s="1"/>
  <c r="C10" i="95"/>
  <c r="Z10" i="95" s="1"/>
  <c r="I10" i="75"/>
  <c r="C10" i="75" s="1"/>
  <c r="V10" i="75" s="1"/>
  <c r="T10" i="91" s="1"/>
  <c r="C9" i="95"/>
  <c r="L9" i="95" s="1"/>
  <c r="I9" i="75"/>
  <c r="C9" i="75" s="1"/>
  <c r="V9" i="75" s="1"/>
  <c r="T9" i="91" s="1"/>
  <c r="C8" i="95"/>
  <c r="I8" i="75"/>
  <c r="C8" i="75" s="1"/>
  <c r="V8" i="75" s="1"/>
  <c r="T8" i="91" s="1"/>
  <c r="I7" i="75"/>
  <c r="C7" i="75" s="1"/>
  <c r="V7" i="75" s="1"/>
  <c r="T7" i="91" s="1"/>
  <c r="I6" i="75"/>
  <c r="C6" i="75" s="1"/>
  <c r="V6" i="75" s="1"/>
  <c r="C5" i="95"/>
  <c r="I5" i="75"/>
  <c r="C5" i="75" s="1"/>
  <c r="V5" i="75" s="1"/>
  <c r="T5" i="91" s="1"/>
  <c r="B3" i="75"/>
  <c r="C3" i="75" s="1"/>
  <c r="D3" i="75" s="1"/>
  <c r="E3" i="75" s="1"/>
  <c r="F3" i="75" s="1"/>
  <c r="G3" i="75" s="1"/>
  <c r="H3" i="75" s="1"/>
  <c r="I3" i="75" s="1"/>
  <c r="J3" i="75" s="1"/>
  <c r="K3" i="75" s="1"/>
  <c r="L3" i="75" s="1"/>
  <c r="M3" i="75" s="1"/>
  <c r="N3" i="75" s="1"/>
  <c r="O3" i="75" s="1"/>
  <c r="P3" i="75" s="1"/>
  <c r="Q3" i="75" s="1"/>
  <c r="R3" i="75" s="1"/>
  <c r="S3" i="75" s="1"/>
  <c r="T3" i="75" s="1"/>
  <c r="U3" i="75" s="1"/>
  <c r="V3" i="75" s="1"/>
  <c r="W3" i="75" s="1"/>
  <c r="X3" i="75" s="1"/>
  <c r="Y3" i="75" s="1"/>
  <c r="B4" i="74"/>
  <c r="C4" i="74" s="1"/>
  <c r="B3" i="73"/>
  <c r="C3" i="73" s="1"/>
  <c r="D3" i="73" s="1"/>
  <c r="E3" i="73" s="1"/>
  <c r="F3" i="73" s="1"/>
  <c r="G3" i="73" s="1"/>
  <c r="H3" i="73" s="1"/>
  <c r="I3" i="73" s="1"/>
  <c r="J3" i="73" s="1"/>
  <c r="K3" i="73" s="1"/>
  <c r="L3" i="73" s="1"/>
  <c r="M3" i="73" s="1"/>
  <c r="N3" i="73" s="1"/>
  <c r="O3" i="73" s="1"/>
  <c r="P3" i="73" s="1"/>
  <c r="Q3" i="73" s="1"/>
  <c r="R3" i="73" s="1"/>
  <c r="S3" i="73" s="1"/>
  <c r="T3" i="73" s="1"/>
  <c r="U3" i="73" s="1"/>
  <c r="V3" i="73" s="1"/>
  <c r="W3" i="73" s="1"/>
  <c r="X3" i="73" s="1"/>
  <c r="Y3" i="73" s="1"/>
  <c r="Z3" i="73" s="1"/>
  <c r="AA3" i="73" s="1"/>
  <c r="AB3" i="73" s="1"/>
  <c r="AC3" i="73" s="1"/>
  <c r="AD3" i="73" s="1"/>
  <c r="AE3" i="73" s="1"/>
  <c r="AF3" i="73" s="1"/>
  <c r="AG3" i="73" s="1"/>
  <c r="AH3" i="73" s="1"/>
  <c r="AI3" i="73" s="1"/>
  <c r="AJ3" i="73" s="1"/>
  <c r="AK3" i="73" s="1"/>
  <c r="AL3" i="73" s="1"/>
  <c r="AM3" i="73" s="1"/>
  <c r="AN3" i="73" s="1"/>
  <c r="AO3" i="73" s="1"/>
  <c r="AP3" i="73" s="1"/>
  <c r="AQ3" i="73" s="1"/>
  <c r="AR3" i="73" s="1"/>
  <c r="AS3" i="73" s="1"/>
  <c r="AT3" i="73" s="1"/>
  <c r="AU3" i="73" s="1"/>
  <c r="AV3" i="73" s="1"/>
  <c r="V17" i="75" l="1"/>
  <c r="G18" i="83" s="1"/>
  <c r="T6" i="91"/>
  <c r="T17" i="91" s="1"/>
  <c r="C60" i="94"/>
  <c r="Z8" i="95"/>
  <c r="L8" i="95"/>
  <c r="BW13" i="95"/>
  <c r="BP11" i="95"/>
  <c r="S11" i="95"/>
  <c r="L11" i="95"/>
  <c r="BW15" i="95"/>
  <c r="G6" i="89"/>
  <c r="G8" i="89"/>
  <c r="C61" i="94"/>
  <c r="E8" i="89"/>
  <c r="G7" i="89"/>
  <c r="E9" i="89"/>
  <c r="G12" i="89"/>
  <c r="F11" i="89"/>
  <c r="E11" i="89"/>
  <c r="E6" i="80"/>
  <c r="C12" i="73"/>
  <c r="L15" i="95"/>
  <c r="Z15" i="95"/>
  <c r="S15" i="95"/>
  <c r="D18" i="83"/>
  <c r="I6" i="92"/>
  <c r="C6" i="92" s="1"/>
  <c r="E15" i="79"/>
  <c r="E15" i="89"/>
  <c r="E9" i="80"/>
  <c r="C9" i="73"/>
  <c r="S17" i="77"/>
  <c r="B15" i="74" s="1"/>
  <c r="AI17" i="90"/>
  <c r="Z17" i="90"/>
  <c r="AD17" i="90"/>
  <c r="E14" i="80"/>
  <c r="E18" i="80"/>
  <c r="AG17" i="90"/>
  <c r="AH17" i="90"/>
  <c r="AL17" i="90"/>
  <c r="AB17" i="90"/>
  <c r="AC17" i="90"/>
  <c r="E7" i="79"/>
  <c r="C5" i="85"/>
  <c r="C5" i="73"/>
  <c r="C8" i="73"/>
  <c r="C9" i="88"/>
  <c r="G10" i="89"/>
  <c r="C62" i="94"/>
  <c r="D10" i="89"/>
  <c r="C59" i="94"/>
  <c r="H10" i="89"/>
  <c r="C63" i="94"/>
  <c r="AJ17" i="90"/>
  <c r="C9" i="83"/>
  <c r="E9" i="88" s="1"/>
  <c r="F9" i="88" s="1"/>
  <c r="AE9" i="90"/>
  <c r="E7" i="80"/>
  <c r="AA17" i="90"/>
  <c r="C6" i="83"/>
  <c r="E6" i="88" s="1"/>
  <c r="F6" i="88" s="1"/>
  <c r="AE6" i="90"/>
  <c r="C14" i="83"/>
  <c r="E14" i="88" s="1"/>
  <c r="F14" i="88" s="1"/>
  <c r="AE14" i="90"/>
  <c r="E17" i="80"/>
  <c r="AK17" i="90"/>
  <c r="C8" i="83"/>
  <c r="E8" i="88" s="1"/>
  <c r="F8" i="88" s="1"/>
  <c r="AE8" i="90"/>
  <c r="C12" i="83"/>
  <c r="E12" i="88" s="1"/>
  <c r="F12" i="88" s="1"/>
  <c r="AE12" i="90"/>
  <c r="C5" i="83"/>
  <c r="E5" i="88" s="1"/>
  <c r="AE5" i="90"/>
  <c r="C13" i="83"/>
  <c r="E13" i="88" s="1"/>
  <c r="F13" i="88" s="1"/>
  <c r="AE13" i="90"/>
  <c r="C10" i="83"/>
  <c r="E10" i="88" s="1"/>
  <c r="AE10" i="90"/>
  <c r="C7" i="83"/>
  <c r="E7" i="88" s="1"/>
  <c r="F7" i="88" s="1"/>
  <c r="AE7" i="90"/>
  <c r="C11" i="83"/>
  <c r="E11" i="88" s="1"/>
  <c r="F11" i="88" s="1"/>
  <c r="AE11" i="90"/>
  <c r="C15" i="83"/>
  <c r="E15" i="88" s="1"/>
  <c r="F15" i="88" s="1"/>
  <c r="AE15" i="90"/>
  <c r="I6" i="77"/>
  <c r="C6" i="77" s="1"/>
  <c r="I14" i="77"/>
  <c r="C14" i="77" s="1"/>
  <c r="BI13" i="95"/>
  <c r="AU13" i="95"/>
  <c r="AG13" i="95"/>
  <c r="L13" i="95"/>
  <c r="BB13" i="95"/>
  <c r="AN13" i="95"/>
  <c r="S13" i="95"/>
  <c r="E13" i="95"/>
  <c r="BU13" i="95"/>
  <c r="AE13" i="95"/>
  <c r="C15" i="73"/>
  <c r="BP10" i="95"/>
  <c r="BB10" i="95"/>
  <c r="AN10" i="95"/>
  <c r="S10" i="95"/>
  <c r="E10" i="95"/>
  <c r="BI10" i="95"/>
  <c r="AU10" i="95"/>
  <c r="AG10" i="95"/>
  <c r="L10" i="95"/>
  <c r="CB10" i="95"/>
  <c r="BI12" i="95"/>
  <c r="AU12" i="95"/>
  <c r="AG12" i="95"/>
  <c r="L12" i="95"/>
  <c r="BB12" i="95"/>
  <c r="AN12" i="95"/>
  <c r="S12" i="95"/>
  <c r="E12" i="95"/>
  <c r="CB12" i="95"/>
  <c r="BU12" i="95"/>
  <c r="BB14" i="95"/>
  <c r="AN14" i="95"/>
  <c r="Z14" i="95"/>
  <c r="L14" i="95"/>
  <c r="BI14" i="95"/>
  <c r="AU14" i="95"/>
  <c r="AG14" i="95"/>
  <c r="S14" i="95"/>
  <c r="E14" i="95"/>
  <c r="BU14" i="95"/>
  <c r="CB14" i="95"/>
  <c r="C31" i="94"/>
  <c r="C35" i="94"/>
  <c r="C50" i="94"/>
  <c r="C15" i="85"/>
  <c r="C13" i="86"/>
  <c r="C10" i="73"/>
  <c r="BP5" i="95"/>
  <c r="BB5" i="95"/>
  <c r="AN5" i="95"/>
  <c r="S5" i="95"/>
  <c r="BI5" i="95"/>
  <c r="AU5" i="95"/>
  <c r="AG5" i="95"/>
  <c r="E5" i="95"/>
  <c r="AE5" i="95"/>
  <c r="CB5" i="95"/>
  <c r="Q5" i="95"/>
  <c r="C7" i="85"/>
  <c r="C7" i="95"/>
  <c r="BB9" i="95"/>
  <c r="AN9" i="95"/>
  <c r="Z9" i="95"/>
  <c r="E9" i="95"/>
  <c r="BI9" i="95"/>
  <c r="AU9" i="95"/>
  <c r="AG9" i="95"/>
  <c r="S9" i="95"/>
  <c r="BU9" i="95"/>
  <c r="C32" i="94"/>
  <c r="C51" i="94"/>
  <c r="D10" i="88"/>
  <c r="D17" i="88" s="1"/>
  <c r="C37" i="94"/>
  <c r="C13" i="85"/>
  <c r="C15" i="86"/>
  <c r="C12" i="88"/>
  <c r="BI11" i="95"/>
  <c r="AU11" i="95"/>
  <c r="AG11" i="95"/>
  <c r="BB11" i="95"/>
  <c r="AN11" i="95"/>
  <c r="E11" i="95"/>
  <c r="AE11" i="95"/>
  <c r="BB15" i="95"/>
  <c r="AN15" i="95"/>
  <c r="E15" i="95"/>
  <c r="BI15" i="95"/>
  <c r="AU15" i="95"/>
  <c r="AG15" i="95"/>
  <c r="BU15" i="95"/>
  <c r="C33" i="94"/>
  <c r="C48" i="94"/>
  <c r="C52" i="94"/>
  <c r="C38" i="94"/>
  <c r="C13" i="73"/>
  <c r="C6" i="73"/>
  <c r="C6" i="95"/>
  <c r="BB8" i="95"/>
  <c r="AN8" i="95"/>
  <c r="S8" i="95"/>
  <c r="BI8" i="95"/>
  <c r="AU8" i="95"/>
  <c r="AG8" i="95"/>
  <c r="E8" i="95"/>
  <c r="BU8" i="95"/>
  <c r="CB8" i="95"/>
  <c r="C34" i="94"/>
  <c r="C49" i="94"/>
  <c r="C53" i="94"/>
  <c r="C39" i="94"/>
  <c r="I11" i="77"/>
  <c r="C11" i="77" s="1"/>
  <c r="D3" i="86"/>
  <c r="E3" i="86" s="1"/>
  <c r="E13" i="80"/>
  <c r="I10" i="92"/>
  <c r="C10" i="92" s="1"/>
  <c r="J17" i="92"/>
  <c r="N17" i="92"/>
  <c r="L17" i="92"/>
  <c r="I14" i="92"/>
  <c r="C14" i="92" s="1"/>
  <c r="P17" i="92"/>
  <c r="C17" i="91"/>
  <c r="I17" i="84"/>
  <c r="E16" i="80"/>
  <c r="E15" i="80"/>
  <c r="I17" i="82"/>
  <c r="C5" i="82"/>
  <c r="C17" i="82" s="1"/>
  <c r="E20" i="79"/>
  <c r="E16" i="79"/>
  <c r="E8" i="79"/>
  <c r="E6" i="79"/>
  <c r="E10" i="79"/>
  <c r="J17" i="77"/>
  <c r="O17" i="92"/>
  <c r="C10" i="76"/>
  <c r="I10" i="77"/>
  <c r="I15" i="77"/>
  <c r="C15" i="77" s="1"/>
  <c r="M17" i="92"/>
  <c r="Q17" i="92"/>
  <c r="N17" i="77"/>
  <c r="I7" i="77"/>
  <c r="C7" i="77" s="1"/>
  <c r="K17" i="92"/>
  <c r="I9" i="77"/>
  <c r="C9" i="77" s="1"/>
  <c r="I13" i="77"/>
  <c r="C13" i="77" s="1"/>
  <c r="H17" i="92"/>
  <c r="G17" i="92"/>
  <c r="D17" i="92"/>
  <c r="E17" i="92"/>
  <c r="I12" i="77"/>
  <c r="C12" i="77" s="1"/>
  <c r="I5" i="77"/>
  <c r="I8" i="77"/>
  <c r="C8" i="77" s="1"/>
  <c r="P17" i="77"/>
  <c r="K17" i="77"/>
  <c r="O17" i="77"/>
  <c r="F17" i="77"/>
  <c r="B7" i="74" s="1"/>
  <c r="G17" i="77"/>
  <c r="B8" i="74" s="1"/>
  <c r="H17" i="77"/>
  <c r="B9" i="74" s="1"/>
  <c r="I7" i="92"/>
  <c r="C7" i="92" s="1"/>
  <c r="C7" i="76"/>
  <c r="I15" i="92"/>
  <c r="C15" i="92" s="1"/>
  <c r="C15" i="76"/>
  <c r="F10" i="89"/>
  <c r="D13" i="89"/>
  <c r="H13" i="89"/>
  <c r="G15" i="89"/>
  <c r="I17" i="76"/>
  <c r="C5" i="76"/>
  <c r="O12" i="90"/>
  <c r="C12" i="81"/>
  <c r="Q17" i="90"/>
  <c r="E13" i="79"/>
  <c r="U17" i="90"/>
  <c r="E17" i="79"/>
  <c r="E8" i="80"/>
  <c r="E12" i="89"/>
  <c r="C17" i="75"/>
  <c r="I17" i="75"/>
  <c r="I11" i="92"/>
  <c r="C11" i="92" s="1"/>
  <c r="C11" i="76"/>
  <c r="D17" i="77"/>
  <c r="L17" i="77"/>
  <c r="T17" i="77"/>
  <c r="B16" i="74" s="1"/>
  <c r="D14" i="89"/>
  <c r="H14" i="89"/>
  <c r="U8" i="91"/>
  <c r="C8" i="89"/>
  <c r="C8" i="88"/>
  <c r="C8" i="86"/>
  <c r="C8" i="85"/>
  <c r="U11" i="91"/>
  <c r="C11" i="89"/>
  <c r="C11" i="88"/>
  <c r="C11" i="86"/>
  <c r="C11" i="85"/>
  <c r="C11" i="73"/>
  <c r="E17" i="77"/>
  <c r="M17" i="77"/>
  <c r="Q17" i="77"/>
  <c r="C14" i="89"/>
  <c r="C14" i="88"/>
  <c r="U14" i="91"/>
  <c r="C14" i="86"/>
  <c r="C14" i="85"/>
  <c r="I17" i="81"/>
  <c r="O10" i="90"/>
  <c r="M17" i="90"/>
  <c r="E9" i="79"/>
  <c r="R17" i="90"/>
  <c r="V17" i="90"/>
  <c r="E14" i="79"/>
  <c r="E18" i="79"/>
  <c r="C17" i="84"/>
  <c r="F7" i="89"/>
  <c r="C14" i="73"/>
  <c r="C10" i="89"/>
  <c r="C10" i="88"/>
  <c r="U10" i="91"/>
  <c r="C10" i="86"/>
  <c r="C10" i="85"/>
  <c r="O8" i="90"/>
  <c r="J17" i="90"/>
  <c r="N17" i="90"/>
  <c r="D5" i="89"/>
  <c r="H5" i="89"/>
  <c r="D6" i="89"/>
  <c r="H6" i="89"/>
  <c r="U7" i="91"/>
  <c r="C7" i="89"/>
  <c r="C7" i="88"/>
  <c r="C7" i="86"/>
  <c r="W17" i="75"/>
  <c r="C7" i="73"/>
  <c r="C6" i="89"/>
  <c r="C6" i="88"/>
  <c r="U6" i="91"/>
  <c r="C6" i="86"/>
  <c r="C6" i="85"/>
  <c r="U12" i="91"/>
  <c r="C12" i="89"/>
  <c r="C12" i="86"/>
  <c r="Z12" i="86" s="1"/>
  <c r="C12" i="85"/>
  <c r="U15" i="91"/>
  <c r="C15" i="89"/>
  <c r="C15" i="88"/>
  <c r="O6" i="90"/>
  <c r="O14" i="90"/>
  <c r="E18" i="83"/>
  <c r="I17" i="83"/>
  <c r="I18" i="83" s="1"/>
  <c r="E10" i="89"/>
  <c r="D11" i="89"/>
  <c r="H11" i="89"/>
  <c r="H12" i="89"/>
  <c r="F15" i="89"/>
  <c r="U5" i="91"/>
  <c r="C5" i="88"/>
  <c r="C5" i="89"/>
  <c r="C5" i="86"/>
  <c r="U9" i="91"/>
  <c r="C9" i="89"/>
  <c r="C9" i="86"/>
  <c r="L9" i="86" s="1"/>
  <c r="U13" i="91"/>
  <c r="C13" i="89"/>
  <c r="C13" i="88"/>
  <c r="R17" i="77"/>
  <c r="B14" i="74" s="1"/>
  <c r="C5" i="81"/>
  <c r="K17" i="90"/>
  <c r="S17" i="90"/>
  <c r="W17" i="90"/>
  <c r="D7" i="89"/>
  <c r="H7" i="89"/>
  <c r="C9" i="85"/>
  <c r="F12" i="89"/>
  <c r="D15" i="89"/>
  <c r="H15" i="89"/>
  <c r="O5" i="90"/>
  <c r="O7" i="90"/>
  <c r="O9" i="90"/>
  <c r="O11" i="90"/>
  <c r="O13" i="90"/>
  <c r="O15" i="90"/>
  <c r="L17" i="90"/>
  <c r="P17" i="90"/>
  <c r="T17" i="90"/>
  <c r="X17" i="90"/>
  <c r="D9" i="89"/>
  <c r="H9" i="89"/>
  <c r="F14" i="89"/>
  <c r="F17" i="92"/>
  <c r="I5" i="92"/>
  <c r="C5" i="92" s="1"/>
  <c r="I8" i="92"/>
  <c r="C8" i="92" s="1"/>
  <c r="I9" i="92"/>
  <c r="C9" i="92" s="1"/>
  <c r="I12" i="92"/>
  <c r="C12" i="92" s="1"/>
  <c r="I13" i="92"/>
  <c r="C13" i="92" s="1"/>
  <c r="I17" i="91"/>
  <c r="F18" i="83" l="1"/>
  <c r="H18" i="83"/>
  <c r="D19" i="83" s="1"/>
  <c r="I18" i="77"/>
  <c r="Z6" i="95"/>
  <c r="BW6" i="95"/>
  <c r="BB7" i="95"/>
  <c r="AU7" i="95"/>
  <c r="Z7" i="95"/>
  <c r="BW6" i="86"/>
  <c r="Z6" i="86"/>
  <c r="L8" i="86"/>
  <c r="Z8" i="86"/>
  <c r="AU7" i="86"/>
  <c r="Z7" i="86"/>
  <c r="BB7" i="86"/>
  <c r="L11" i="86"/>
  <c r="BP11" i="86"/>
  <c r="S11" i="86"/>
  <c r="CB10" i="86"/>
  <c r="Z10" i="86"/>
  <c r="AN13" i="86"/>
  <c r="BW13" i="86"/>
  <c r="BW15" i="86"/>
  <c r="C36" i="94"/>
  <c r="C40" i="94" s="1"/>
  <c r="AG13" i="86"/>
  <c r="AN15" i="86"/>
  <c r="S15" i="86"/>
  <c r="Z15" i="86"/>
  <c r="L15" i="86"/>
  <c r="AG15" i="86"/>
  <c r="C17" i="95"/>
  <c r="AF12" i="95" s="1"/>
  <c r="BI13" i="86"/>
  <c r="L13" i="86"/>
  <c r="AU13" i="86"/>
  <c r="S13" i="86"/>
  <c r="E13" i="86"/>
  <c r="AE13" i="86"/>
  <c r="AE17" i="90"/>
  <c r="C17" i="83"/>
  <c r="C18" i="83" s="1"/>
  <c r="F10" i="88"/>
  <c r="C30" i="94"/>
  <c r="C54" i="94"/>
  <c r="D52" i="1"/>
  <c r="D52" i="44"/>
  <c r="D52" i="96"/>
  <c r="E52" i="96" s="1"/>
  <c r="BU15" i="86"/>
  <c r="BU14" i="86"/>
  <c r="CB14" i="86"/>
  <c r="D49" i="44"/>
  <c r="D49" i="96"/>
  <c r="E49" i="96" s="1"/>
  <c r="D49" i="1"/>
  <c r="C10" i="77"/>
  <c r="D48" i="1"/>
  <c r="D48" i="96"/>
  <c r="D48" i="44"/>
  <c r="BI15" i="86"/>
  <c r="BH8" i="95"/>
  <c r="BI7" i="95"/>
  <c r="AG7" i="95"/>
  <c r="L7" i="95"/>
  <c r="AN7" i="95"/>
  <c r="S7" i="95"/>
  <c r="E7" i="95"/>
  <c r="BU7" i="95"/>
  <c r="CB7" i="95"/>
  <c r="BU13" i="86"/>
  <c r="AT14" i="95"/>
  <c r="BU9" i="86"/>
  <c r="D50" i="96"/>
  <c r="E50" i="96" s="1"/>
  <c r="D50" i="44"/>
  <c r="D50" i="1"/>
  <c r="D53" i="44"/>
  <c r="D53" i="1"/>
  <c r="D53" i="96"/>
  <c r="E53" i="96" s="1"/>
  <c r="D53" i="94"/>
  <c r="D51" i="96"/>
  <c r="E51" i="96" s="1"/>
  <c r="D51" i="1"/>
  <c r="D51" i="44"/>
  <c r="E15" i="86"/>
  <c r="BB15" i="86"/>
  <c r="BI6" i="95"/>
  <c r="AU6" i="95"/>
  <c r="AG6" i="95"/>
  <c r="L6" i="95"/>
  <c r="BB6" i="95"/>
  <c r="AN6" i="95"/>
  <c r="S6" i="95"/>
  <c r="E6" i="95"/>
  <c r="BH6" i="95"/>
  <c r="BU6" i="95"/>
  <c r="D9" i="95"/>
  <c r="BA9" i="95"/>
  <c r="BP17" i="95"/>
  <c r="D12" i="95"/>
  <c r="D10" i="95"/>
  <c r="BP5" i="86"/>
  <c r="CB5" i="86"/>
  <c r="BU12" i="86"/>
  <c r="CB12" i="86"/>
  <c r="BU6" i="86"/>
  <c r="BU7" i="86"/>
  <c r="CB7" i="86"/>
  <c r="B26" i="74"/>
  <c r="C26" i="74" s="1"/>
  <c r="BU8" i="86"/>
  <c r="CB8" i="86"/>
  <c r="AU15" i="86"/>
  <c r="BB13" i="86"/>
  <c r="AT8" i="95"/>
  <c r="AT15" i="95"/>
  <c r="AM14" i="95"/>
  <c r="BI5" i="86"/>
  <c r="BP10" i="86"/>
  <c r="BI11" i="86"/>
  <c r="BI12" i="86"/>
  <c r="BI8" i="86"/>
  <c r="BI9" i="86"/>
  <c r="BB5" i="86"/>
  <c r="BI6" i="86"/>
  <c r="BI7" i="86"/>
  <c r="BI10" i="86"/>
  <c r="BI14" i="86"/>
  <c r="BB6" i="86"/>
  <c r="BB11" i="86"/>
  <c r="BB9" i="86"/>
  <c r="BB10" i="86"/>
  <c r="BB14" i="86"/>
  <c r="AU5" i="86"/>
  <c r="BB12" i="86"/>
  <c r="BB8" i="86"/>
  <c r="AU6" i="86"/>
  <c r="AU11" i="86"/>
  <c r="AU9" i="86"/>
  <c r="AN5" i="86"/>
  <c r="AU10" i="86"/>
  <c r="AU14" i="86"/>
  <c r="AU12" i="86"/>
  <c r="AU8" i="86"/>
  <c r="AN7" i="86"/>
  <c r="AN10" i="86"/>
  <c r="AN14" i="86"/>
  <c r="AN6" i="86"/>
  <c r="AN11" i="86"/>
  <c r="AN12" i="86"/>
  <c r="AN8" i="86"/>
  <c r="AN9" i="86"/>
  <c r="AG5" i="86"/>
  <c r="AG7" i="86"/>
  <c r="AG10" i="86"/>
  <c r="AG14" i="86"/>
  <c r="AG12" i="86"/>
  <c r="AG8" i="86"/>
  <c r="AG6" i="86"/>
  <c r="AG11" i="86"/>
  <c r="AE11" i="86"/>
  <c r="AG9" i="86"/>
  <c r="AE5" i="86"/>
  <c r="Z9" i="86"/>
  <c r="S5" i="86"/>
  <c r="Z14" i="86"/>
  <c r="S9" i="86"/>
  <c r="S6" i="86"/>
  <c r="S7" i="86"/>
  <c r="S10" i="86"/>
  <c r="S14" i="86"/>
  <c r="Q5" i="86"/>
  <c r="S12" i="86"/>
  <c r="S8" i="86"/>
  <c r="L14" i="86"/>
  <c r="L12" i="86"/>
  <c r="L6" i="86"/>
  <c r="L7" i="86"/>
  <c r="L10" i="86"/>
  <c r="E5" i="86"/>
  <c r="F3" i="86"/>
  <c r="G3" i="86" s="1"/>
  <c r="H3" i="86" s="1"/>
  <c r="I3" i="86" s="1"/>
  <c r="J3" i="86" s="1"/>
  <c r="E8" i="86"/>
  <c r="E7" i="86"/>
  <c r="E10" i="86"/>
  <c r="E14" i="86"/>
  <c r="E6" i="86"/>
  <c r="E11" i="86"/>
  <c r="E12" i="86"/>
  <c r="E9" i="86"/>
  <c r="I18" i="92"/>
  <c r="I17" i="77"/>
  <c r="B13" i="74" s="1"/>
  <c r="B17" i="74" s="1"/>
  <c r="C9" i="80"/>
  <c r="B27" i="74"/>
  <c r="C27" i="74" s="1"/>
  <c r="C5" i="77"/>
  <c r="B23" i="74"/>
  <c r="C23" i="74" s="1"/>
  <c r="B28" i="74"/>
  <c r="C28" i="74" s="1"/>
  <c r="C47" i="94"/>
  <c r="B8" i="79"/>
  <c r="D8" i="79" s="1"/>
  <c r="B8" i="80"/>
  <c r="D8" i="80" s="1"/>
  <c r="C17" i="85"/>
  <c r="C17" i="81"/>
  <c r="E22" i="79" s="1"/>
  <c r="C17" i="88"/>
  <c r="E17" i="88"/>
  <c r="F17" i="88" s="1"/>
  <c r="F5" i="88"/>
  <c r="C18" i="79"/>
  <c r="I17" i="92"/>
  <c r="C17" i="92"/>
  <c r="C17" i="86"/>
  <c r="BV6" i="86" s="1"/>
  <c r="B18" i="79"/>
  <c r="D18" i="79" s="1"/>
  <c r="B17" i="79"/>
  <c r="D17" i="79" s="1"/>
  <c r="B16" i="79"/>
  <c r="D16" i="79" s="1"/>
  <c r="B15" i="79"/>
  <c r="D15" i="79" s="1"/>
  <c r="B14" i="79"/>
  <c r="D14" i="79" s="1"/>
  <c r="B13" i="79"/>
  <c r="D13" i="79" s="1"/>
  <c r="B10" i="79"/>
  <c r="D10" i="79" s="1"/>
  <c r="B9" i="79"/>
  <c r="D9" i="79" s="1"/>
  <c r="B7" i="79"/>
  <c r="D7" i="79" s="1"/>
  <c r="B6" i="79"/>
  <c r="D6" i="79" s="1"/>
  <c r="B18" i="80"/>
  <c r="D18" i="80" s="1"/>
  <c r="B17" i="80"/>
  <c r="D17" i="80" s="1"/>
  <c r="B16" i="80"/>
  <c r="D16" i="80" s="1"/>
  <c r="B15" i="80"/>
  <c r="D15" i="80" s="1"/>
  <c r="B14" i="80"/>
  <c r="D14" i="80" s="1"/>
  <c r="B13" i="80"/>
  <c r="D13" i="80" s="1"/>
  <c r="B10" i="80"/>
  <c r="D10" i="80" s="1"/>
  <c r="B9" i="80"/>
  <c r="D9" i="80" s="1"/>
  <c r="B7" i="80"/>
  <c r="D7" i="80" s="1"/>
  <c r="B6" i="80"/>
  <c r="D6" i="80" s="1"/>
  <c r="C9" i="79"/>
  <c r="C8" i="74"/>
  <c r="C15" i="74"/>
  <c r="C17" i="79"/>
  <c r="C13" i="79"/>
  <c r="C10" i="80"/>
  <c r="C16" i="80"/>
  <c r="C16" i="79"/>
  <c r="C10" i="79"/>
  <c r="C8" i="80"/>
  <c r="C8" i="79"/>
  <c r="C13" i="80"/>
  <c r="C18" i="80"/>
  <c r="C17" i="80"/>
  <c r="C7" i="80"/>
  <c r="C7" i="79"/>
  <c r="B6" i="74"/>
  <c r="C6" i="74" s="1"/>
  <c r="C16" i="74"/>
  <c r="C9" i="74"/>
  <c r="O17" i="90"/>
  <c r="C7" i="74"/>
  <c r="C15" i="80"/>
  <c r="C15" i="79"/>
  <c r="B25" i="74"/>
  <c r="C25" i="74" s="1"/>
  <c r="C6" i="80"/>
  <c r="B5" i="74"/>
  <c r="C6" i="79"/>
  <c r="C14" i="74"/>
  <c r="U17" i="91"/>
  <c r="C17" i="89"/>
  <c r="C14" i="80"/>
  <c r="B24" i="74"/>
  <c r="C24" i="74" s="1"/>
  <c r="C14" i="79"/>
  <c r="C17" i="76"/>
  <c r="C17" i="77" s="1"/>
  <c r="BH12" i="95" l="1"/>
  <c r="AT7" i="95"/>
  <c r="BA7" i="95"/>
  <c r="BH10" i="95"/>
  <c r="AF5" i="95"/>
  <c r="BV15" i="95"/>
  <c r="K8" i="95"/>
  <c r="R11" i="95"/>
  <c r="BV13" i="95"/>
  <c r="K11" i="95"/>
  <c r="Y12" i="95"/>
  <c r="BO11" i="95"/>
  <c r="Y8" i="95"/>
  <c r="K9" i="95"/>
  <c r="Y10" i="95"/>
  <c r="Y6" i="95"/>
  <c r="BV6" i="95"/>
  <c r="Y7" i="95"/>
  <c r="BV13" i="86"/>
  <c r="Y12" i="86"/>
  <c r="Y6" i="86"/>
  <c r="AT7" i="86"/>
  <c r="Y10" i="86"/>
  <c r="K8" i="86"/>
  <c r="BO11" i="86"/>
  <c r="K15" i="86"/>
  <c r="Y7" i="86"/>
  <c r="Y8" i="86"/>
  <c r="BV15" i="86"/>
  <c r="K11" i="86"/>
  <c r="BA7" i="86"/>
  <c r="K9" i="86"/>
  <c r="R11" i="86"/>
  <c r="R13" i="95"/>
  <c r="BO5" i="95"/>
  <c r="K14" i="95"/>
  <c r="AT11" i="95"/>
  <c r="K6" i="95"/>
  <c r="AF9" i="95"/>
  <c r="BH15" i="95"/>
  <c r="BA6" i="95"/>
  <c r="AF13" i="95"/>
  <c r="BH7" i="95"/>
  <c r="BH11" i="95"/>
  <c r="AF10" i="95"/>
  <c r="BH13" i="95"/>
  <c r="AM8" i="95"/>
  <c r="R7" i="95"/>
  <c r="BA13" i="95"/>
  <c r="AT10" i="95"/>
  <c r="D11" i="95"/>
  <c r="AM10" i="95"/>
  <c r="D5" i="95"/>
  <c r="AM7" i="95"/>
  <c r="AM13" i="95"/>
  <c r="AT5" i="95"/>
  <c r="BA14" i="95"/>
  <c r="AM15" i="95"/>
  <c r="R10" i="95"/>
  <c r="BA10" i="95"/>
  <c r="AF15" i="95"/>
  <c r="BA11" i="95"/>
  <c r="R8" i="95"/>
  <c r="Y14" i="95"/>
  <c r="AM6" i="95"/>
  <c r="D14" i="95"/>
  <c r="D21" i="80"/>
  <c r="D13" i="95"/>
  <c r="AM12" i="95"/>
  <c r="R9" i="95"/>
  <c r="BH14" i="95"/>
  <c r="BA5" i="95"/>
  <c r="AF6" i="95"/>
  <c r="AT6" i="95"/>
  <c r="AF14" i="95"/>
  <c r="BH5" i="95"/>
  <c r="AF7" i="95"/>
  <c r="AM9" i="95"/>
  <c r="K12" i="95"/>
  <c r="D8" i="95"/>
  <c r="R15" i="86"/>
  <c r="R15" i="95"/>
  <c r="K15" i="95"/>
  <c r="Y15" i="95"/>
  <c r="Y15" i="86"/>
  <c r="BH9" i="95"/>
  <c r="BA12" i="95"/>
  <c r="R5" i="95"/>
  <c r="AF11" i="95"/>
  <c r="AT13" i="95"/>
  <c r="BO10" i="95"/>
  <c r="R12" i="95"/>
  <c r="AM5" i="95"/>
  <c r="D15" i="95"/>
  <c r="D6" i="95"/>
  <c r="R6" i="95"/>
  <c r="K13" i="95"/>
  <c r="AT12" i="95"/>
  <c r="K7" i="95"/>
  <c r="D7" i="95"/>
  <c r="Y9" i="95"/>
  <c r="AM11" i="95"/>
  <c r="BA8" i="95"/>
  <c r="K10" i="95"/>
  <c r="R14" i="95"/>
  <c r="AF8" i="95"/>
  <c r="BA15" i="95"/>
  <c r="AT9" i="95"/>
  <c r="E21" i="80"/>
  <c r="BQ10" i="95"/>
  <c r="BI17" i="95"/>
  <c r="BJ9" i="95" s="1"/>
  <c r="C13" i="74"/>
  <c r="F36" i="44" s="1"/>
  <c r="E17" i="95"/>
  <c r="F13" i="95" s="1"/>
  <c r="BB17" i="95"/>
  <c r="S17" i="95"/>
  <c r="AU17" i="95"/>
  <c r="F53" i="1"/>
  <c r="F53" i="96"/>
  <c r="H53" i="96" s="1"/>
  <c r="F53" i="44"/>
  <c r="C76" i="94"/>
  <c r="F37" i="96"/>
  <c r="H37" i="96" s="1"/>
  <c r="D10" i="96" s="1"/>
  <c r="D37" i="96"/>
  <c r="E37" i="96" s="1"/>
  <c r="C10" i="96" s="1"/>
  <c r="D37" i="1"/>
  <c r="F37" i="44"/>
  <c r="D37" i="44"/>
  <c r="F37" i="1"/>
  <c r="C76" i="96"/>
  <c r="C76" i="1"/>
  <c r="C76" i="44"/>
  <c r="F50" i="44"/>
  <c r="F50" i="96"/>
  <c r="H50" i="96" s="1"/>
  <c r="F50" i="1"/>
  <c r="BH12" i="86"/>
  <c r="F51" i="96"/>
  <c r="H51" i="96" s="1"/>
  <c r="F51" i="44"/>
  <c r="F51" i="1"/>
  <c r="Z17" i="95"/>
  <c r="BO5" i="86"/>
  <c r="D35" i="44"/>
  <c r="C22" i="44"/>
  <c r="F35" i="1"/>
  <c r="D22" i="1"/>
  <c r="C21" i="1"/>
  <c r="F22" i="96"/>
  <c r="D35" i="1"/>
  <c r="C22" i="1"/>
  <c r="D22" i="96"/>
  <c r="C21" i="96"/>
  <c r="D35" i="96"/>
  <c r="E35" i="96" s="1"/>
  <c r="C22" i="96"/>
  <c r="F35" i="44"/>
  <c r="D22" i="44"/>
  <c r="C21" i="44"/>
  <c r="F22" i="1"/>
  <c r="F35" i="96"/>
  <c r="F22" i="44"/>
  <c r="C74" i="1"/>
  <c r="C74" i="44"/>
  <c r="C74" i="96"/>
  <c r="C21" i="94"/>
  <c r="C22" i="94"/>
  <c r="AG17" i="95"/>
  <c r="AN17" i="95"/>
  <c r="BW17" i="86"/>
  <c r="E48" i="96"/>
  <c r="D47" i="96"/>
  <c r="D54" i="96"/>
  <c r="F52" i="96"/>
  <c r="H52" i="96" s="1"/>
  <c r="F52" i="1"/>
  <c r="F52" i="44"/>
  <c r="F49" i="1"/>
  <c r="F49" i="96"/>
  <c r="H49" i="96" s="1"/>
  <c r="F49" i="44"/>
  <c r="F39" i="96"/>
  <c r="H39" i="96" s="1"/>
  <c r="D12" i="96" s="1"/>
  <c r="F39" i="44"/>
  <c r="F39" i="1"/>
  <c r="D39" i="96"/>
  <c r="E39" i="96" s="1"/>
  <c r="C12" i="96" s="1"/>
  <c r="C78" i="96"/>
  <c r="D39" i="1"/>
  <c r="D39" i="44"/>
  <c r="C78" i="1"/>
  <c r="C78" i="44"/>
  <c r="G14" i="88"/>
  <c r="G8" i="88"/>
  <c r="G15" i="88"/>
  <c r="G9" i="88"/>
  <c r="G17" i="88"/>
  <c r="H17" i="88" s="1"/>
  <c r="G7" i="88"/>
  <c r="G10" i="88"/>
  <c r="G5" i="88"/>
  <c r="G11" i="88"/>
  <c r="G12" i="88"/>
  <c r="G6" i="88"/>
  <c r="G13" i="88"/>
  <c r="F33" i="96"/>
  <c r="D20" i="96"/>
  <c r="F20" i="44"/>
  <c r="D33" i="96"/>
  <c r="E33" i="96" s="1"/>
  <c r="C20" i="96"/>
  <c r="F33" i="44"/>
  <c r="D33" i="44"/>
  <c r="C20" i="44"/>
  <c r="D20" i="1"/>
  <c r="F20" i="96"/>
  <c r="D33" i="1"/>
  <c r="C20" i="1"/>
  <c r="D20" i="44"/>
  <c r="F20" i="1"/>
  <c r="F33" i="1"/>
  <c r="C72" i="96"/>
  <c r="C72" i="44"/>
  <c r="C72" i="1"/>
  <c r="C20" i="94"/>
  <c r="D32" i="96"/>
  <c r="E32" i="96" s="1"/>
  <c r="C19" i="96"/>
  <c r="F32" i="44"/>
  <c r="D19" i="44"/>
  <c r="F19" i="1"/>
  <c r="D32" i="44"/>
  <c r="F32" i="1"/>
  <c r="C71" i="96"/>
  <c r="C19" i="1"/>
  <c r="F32" i="96"/>
  <c r="D19" i="96"/>
  <c r="F19" i="44"/>
  <c r="C19" i="44"/>
  <c r="D19" i="1"/>
  <c r="F19" i="96"/>
  <c r="D32" i="1"/>
  <c r="C71" i="1"/>
  <c r="C71" i="44"/>
  <c r="C19" i="94"/>
  <c r="F21" i="96"/>
  <c r="D34" i="1"/>
  <c r="G34" i="96"/>
  <c r="D21" i="96"/>
  <c r="G34" i="44"/>
  <c r="F21" i="1"/>
  <c r="D34" i="44"/>
  <c r="G34" i="1"/>
  <c r="D21" i="1"/>
  <c r="F21" i="44"/>
  <c r="D34" i="96"/>
  <c r="D21" i="44"/>
  <c r="C73" i="1"/>
  <c r="C73" i="44"/>
  <c r="C73" i="96"/>
  <c r="L17" i="95"/>
  <c r="F38" i="1"/>
  <c r="F38" i="96"/>
  <c r="H38" i="96" s="1"/>
  <c r="D11" i="96" s="1"/>
  <c r="F38" i="44"/>
  <c r="D38" i="96"/>
  <c r="E38" i="96" s="1"/>
  <c r="C11" i="96" s="1"/>
  <c r="C77" i="1"/>
  <c r="C77" i="44"/>
  <c r="D38" i="1"/>
  <c r="D38" i="44"/>
  <c r="C77" i="96"/>
  <c r="F48" i="96"/>
  <c r="F48" i="44"/>
  <c r="H48" i="44" s="1"/>
  <c r="F48" i="1"/>
  <c r="BQ5" i="95"/>
  <c r="BQ6" i="95"/>
  <c r="BQ13" i="95"/>
  <c r="BQ7" i="95"/>
  <c r="BQ15" i="95"/>
  <c r="BQ9" i="95"/>
  <c r="BQ14" i="95"/>
  <c r="BQ8" i="95"/>
  <c r="BQ11" i="95"/>
  <c r="BQ12" i="95"/>
  <c r="BJ6" i="95"/>
  <c r="BW17" i="95"/>
  <c r="BH9" i="86"/>
  <c r="BH5" i="86"/>
  <c r="BA12" i="86"/>
  <c r="BH10" i="86"/>
  <c r="BH8" i="86"/>
  <c r="BO10" i="86"/>
  <c r="BP17" i="86"/>
  <c r="BI17" i="86"/>
  <c r="BJ8" i="86" s="1"/>
  <c r="BH7" i="86"/>
  <c r="BH6" i="86"/>
  <c r="BH15" i="86"/>
  <c r="BH13" i="86"/>
  <c r="BA8" i="86"/>
  <c r="BH11" i="86"/>
  <c r="BH14" i="86"/>
  <c r="BA5" i="86"/>
  <c r="BA14" i="86"/>
  <c r="BA9" i="86"/>
  <c r="BA11" i="86"/>
  <c r="BA6" i="86"/>
  <c r="BB17" i="86"/>
  <c r="AT12" i="86"/>
  <c r="AM5" i="86"/>
  <c r="AT5" i="86"/>
  <c r="BA10" i="86"/>
  <c r="BA15" i="86"/>
  <c r="BA13" i="86"/>
  <c r="AT8" i="86"/>
  <c r="AT14" i="86"/>
  <c r="AU17" i="86"/>
  <c r="AV6" i="86" s="1"/>
  <c r="AT11" i="86"/>
  <c r="AT15" i="86"/>
  <c r="AT13" i="86"/>
  <c r="AM12" i="86"/>
  <c r="AT10" i="86"/>
  <c r="AT9" i="86"/>
  <c r="AT6" i="86"/>
  <c r="AF10" i="86"/>
  <c r="AM15" i="86"/>
  <c r="AM13" i="86"/>
  <c r="AN17" i="86"/>
  <c r="AO12" i="86" s="1"/>
  <c r="AM14" i="86"/>
  <c r="AM7" i="86"/>
  <c r="Y9" i="86"/>
  <c r="AF7" i="86"/>
  <c r="AM11" i="86"/>
  <c r="AM10" i="86"/>
  <c r="AF5" i="86"/>
  <c r="AM9" i="86"/>
  <c r="AM8" i="86"/>
  <c r="AM6" i="86"/>
  <c r="AF14" i="86"/>
  <c r="AF9" i="86"/>
  <c r="AF8" i="86"/>
  <c r="AG17" i="86"/>
  <c r="AH6" i="86" s="1"/>
  <c r="AF15" i="86"/>
  <c r="AF13" i="86"/>
  <c r="AF11" i="86"/>
  <c r="AF6" i="86"/>
  <c r="AF12" i="86"/>
  <c r="Y14" i="86"/>
  <c r="Z17" i="86"/>
  <c r="R5" i="86"/>
  <c r="R12" i="86"/>
  <c r="S17" i="86"/>
  <c r="R14" i="86"/>
  <c r="R7" i="86"/>
  <c r="R9" i="86"/>
  <c r="R10" i="86"/>
  <c r="R13" i="86"/>
  <c r="R8" i="86"/>
  <c r="R6" i="86"/>
  <c r="D8" i="86"/>
  <c r="K13" i="86"/>
  <c r="K10" i="86"/>
  <c r="K12" i="86"/>
  <c r="D5" i="86"/>
  <c r="K7" i="86"/>
  <c r="K6" i="86"/>
  <c r="K14" i="86"/>
  <c r="K3" i="86"/>
  <c r="L3" i="86" s="1"/>
  <c r="M3" i="86" s="1"/>
  <c r="N3" i="86" s="1"/>
  <c r="O3" i="86" s="1"/>
  <c r="P3" i="86" s="1"/>
  <c r="Q3" i="86" s="1"/>
  <c r="L17" i="86"/>
  <c r="M7" i="86" s="1"/>
  <c r="E17" i="86"/>
  <c r="D6" i="86"/>
  <c r="D10" i="86"/>
  <c r="D15" i="86"/>
  <c r="D13" i="86"/>
  <c r="D9" i="86"/>
  <c r="D12" i="86"/>
  <c r="D14" i="86"/>
  <c r="D11" i="86"/>
  <c r="D7" i="86"/>
  <c r="I5" i="89"/>
  <c r="I6" i="89"/>
  <c r="D39" i="94"/>
  <c r="E39" i="94" s="1"/>
  <c r="C78" i="94"/>
  <c r="D38" i="94"/>
  <c r="E38" i="94" s="1"/>
  <c r="C77" i="94"/>
  <c r="C71" i="94"/>
  <c r="C73" i="94"/>
  <c r="C74" i="94"/>
  <c r="C72" i="94"/>
  <c r="B29" i="74"/>
  <c r="P11" i="85"/>
  <c r="P9" i="85"/>
  <c r="P10" i="85"/>
  <c r="P13" i="85"/>
  <c r="P8" i="85"/>
  <c r="P15" i="85"/>
  <c r="P6" i="85"/>
  <c r="P7" i="85"/>
  <c r="P14" i="85"/>
  <c r="P5" i="85"/>
  <c r="P12" i="85"/>
  <c r="V8" i="85"/>
  <c r="V10" i="85"/>
  <c r="V13" i="85"/>
  <c r="V15" i="85"/>
  <c r="V9" i="85"/>
  <c r="V6" i="85"/>
  <c r="V5" i="85"/>
  <c r="V12" i="85"/>
  <c r="V7" i="85"/>
  <c r="V14" i="85"/>
  <c r="V11" i="85"/>
  <c r="B10" i="74"/>
  <c r="B19" i="74" s="1"/>
  <c r="C19" i="74" s="1"/>
  <c r="C5" i="74"/>
  <c r="I14" i="89"/>
  <c r="I12" i="89"/>
  <c r="I8" i="89"/>
  <c r="I11" i="89"/>
  <c r="I10" i="89"/>
  <c r="I9" i="89"/>
  <c r="I15" i="89"/>
  <c r="I7" i="89"/>
  <c r="I13" i="89"/>
  <c r="C29" i="74"/>
  <c r="M11" i="85"/>
  <c r="M9" i="85"/>
  <c r="F17" i="73"/>
  <c r="M15" i="85"/>
  <c r="M6" i="85"/>
  <c r="M5" i="85"/>
  <c r="M8" i="85"/>
  <c r="I17" i="73"/>
  <c r="M14" i="85"/>
  <c r="M13" i="85"/>
  <c r="M7" i="85"/>
  <c r="G17" i="73"/>
  <c r="M12" i="85"/>
  <c r="M10" i="85"/>
  <c r="S10" i="85"/>
  <c r="S8" i="85"/>
  <c r="S12" i="85"/>
  <c r="S7" i="85"/>
  <c r="H17" i="73"/>
  <c r="S6" i="85"/>
  <c r="S14" i="85"/>
  <c r="S13" i="85"/>
  <c r="S15" i="85"/>
  <c r="S9" i="85"/>
  <c r="S5" i="85"/>
  <c r="S11" i="85"/>
  <c r="D22" i="79"/>
  <c r="M8" i="86" l="1"/>
  <c r="M6" i="86"/>
  <c r="AH7" i="86"/>
  <c r="AV6" i="95"/>
  <c r="BC7" i="95"/>
  <c r="BJ11" i="95"/>
  <c r="BJ10" i="95"/>
  <c r="BJ14" i="95"/>
  <c r="C12" i="94"/>
  <c r="C11" i="94"/>
  <c r="BH17" i="95"/>
  <c r="Y17" i="95"/>
  <c r="AT17" i="95"/>
  <c r="BO17" i="95"/>
  <c r="T7" i="86"/>
  <c r="AF17" i="95"/>
  <c r="D17" i="95"/>
  <c r="BV17" i="95"/>
  <c r="BA17" i="95"/>
  <c r="AM17" i="95"/>
  <c r="F7" i="95"/>
  <c r="K17" i="95"/>
  <c r="R17" i="95"/>
  <c r="BJ7" i="95"/>
  <c r="BJ13" i="95"/>
  <c r="BJ8" i="95"/>
  <c r="BJ5" i="95"/>
  <c r="C75" i="96"/>
  <c r="D36" i="44"/>
  <c r="C17" i="74"/>
  <c r="F36" i="96"/>
  <c r="H36" i="96" s="1"/>
  <c r="D9" i="96" s="1"/>
  <c r="BJ12" i="95"/>
  <c r="BJ15" i="95"/>
  <c r="F6" i="95"/>
  <c r="F14" i="95"/>
  <c r="C75" i="94"/>
  <c r="C75" i="44"/>
  <c r="F36" i="1"/>
  <c r="C75" i="1"/>
  <c r="D36" i="96"/>
  <c r="E36" i="96" s="1"/>
  <c r="C9" i="96" s="1"/>
  <c r="BQ5" i="86"/>
  <c r="M10" i="86"/>
  <c r="F11" i="95"/>
  <c r="F15" i="95"/>
  <c r="F9" i="95"/>
  <c r="F8" i="95"/>
  <c r="F5" i="95"/>
  <c r="M7" i="95"/>
  <c r="F10" i="95"/>
  <c r="F12" i="95"/>
  <c r="D36" i="1"/>
  <c r="BO17" i="86"/>
  <c r="M6" i="95"/>
  <c r="BV17" i="86"/>
  <c r="BC5" i="95"/>
  <c r="H6" i="88"/>
  <c r="T6" i="95"/>
  <c r="T7" i="95"/>
  <c r="BC11" i="95"/>
  <c r="BC10" i="95"/>
  <c r="BC13" i="95"/>
  <c r="BC15" i="95"/>
  <c r="BC9" i="95"/>
  <c r="BC8" i="95"/>
  <c r="BC6" i="95"/>
  <c r="BC12" i="95"/>
  <c r="BC14" i="95"/>
  <c r="I13" i="88"/>
  <c r="I11" i="88"/>
  <c r="I15" i="88"/>
  <c r="BX14" i="95"/>
  <c r="BX12" i="95"/>
  <c r="BX11" i="95"/>
  <c r="BX10" i="95"/>
  <c r="BX5" i="95"/>
  <c r="BX7" i="95"/>
  <c r="BX8" i="95"/>
  <c r="BX9" i="95"/>
  <c r="BX6" i="95"/>
  <c r="BX13" i="95"/>
  <c r="BX15" i="95"/>
  <c r="BQ17" i="95"/>
  <c r="H8" i="88"/>
  <c r="AO8" i="95"/>
  <c r="AO12" i="95"/>
  <c r="AO9" i="95"/>
  <c r="AO10" i="95"/>
  <c r="AO14" i="95"/>
  <c r="AO5" i="95"/>
  <c r="AO13" i="95"/>
  <c r="AO15" i="95"/>
  <c r="AO11" i="95"/>
  <c r="AH15" i="95"/>
  <c r="AH11" i="95"/>
  <c r="AH13" i="95"/>
  <c r="AH8" i="95"/>
  <c r="AH10" i="95"/>
  <c r="AH5" i="95"/>
  <c r="AH12" i="95"/>
  <c r="AH14" i="95"/>
  <c r="AH9" i="95"/>
  <c r="I9" i="88"/>
  <c r="M5" i="95"/>
  <c r="M11" i="95"/>
  <c r="M15" i="95"/>
  <c r="M9" i="95"/>
  <c r="M8" i="95"/>
  <c r="M13" i="95"/>
  <c r="M14" i="95"/>
  <c r="M12" i="95"/>
  <c r="M10" i="95"/>
  <c r="H14" i="88"/>
  <c r="I12" i="88"/>
  <c r="I5" i="88"/>
  <c r="I6" i="88"/>
  <c r="I14" i="88"/>
  <c r="AO7" i="95"/>
  <c r="E19" i="96"/>
  <c r="H19" i="96"/>
  <c r="H13" i="88"/>
  <c r="H7" i="88"/>
  <c r="H15" i="88"/>
  <c r="E54" i="96"/>
  <c r="E47" i="96"/>
  <c r="AV7" i="95"/>
  <c r="AV11" i="95"/>
  <c r="AV13" i="95"/>
  <c r="AV15" i="95"/>
  <c r="AV12" i="95"/>
  <c r="AV8" i="95"/>
  <c r="AV10" i="95"/>
  <c r="AV14" i="95"/>
  <c r="AV5" i="95"/>
  <c r="AV9" i="95"/>
  <c r="D31" i="44"/>
  <c r="C18" i="44"/>
  <c r="F31" i="1"/>
  <c r="D18" i="1"/>
  <c r="D31" i="1"/>
  <c r="F31" i="96"/>
  <c r="D31" i="96"/>
  <c r="C18" i="96"/>
  <c r="F31" i="44"/>
  <c r="D18" i="44"/>
  <c r="F18" i="1"/>
  <c r="F18" i="96"/>
  <c r="C18" i="1"/>
  <c r="D18" i="96"/>
  <c r="F18" i="44"/>
  <c r="C70" i="96"/>
  <c r="C70" i="1"/>
  <c r="C70" i="44"/>
  <c r="C18" i="94"/>
  <c r="F54" i="96"/>
  <c r="H48" i="96"/>
  <c r="F47" i="96"/>
  <c r="E20" i="96"/>
  <c r="H20" i="96"/>
  <c r="BX11" i="86"/>
  <c r="BX13" i="86"/>
  <c r="BX7" i="86"/>
  <c r="BX15" i="86"/>
  <c r="BX9" i="86"/>
  <c r="BX5" i="86"/>
  <c r="BX6" i="86"/>
  <c r="BX14" i="86"/>
  <c r="BX10" i="86"/>
  <c r="BX8" i="86"/>
  <c r="BX12" i="86"/>
  <c r="H22" i="96"/>
  <c r="E22" i="96"/>
  <c r="I10" i="88"/>
  <c r="H11" i="88"/>
  <c r="AA10" i="95"/>
  <c r="AA12" i="95"/>
  <c r="AA8" i="95"/>
  <c r="AA15" i="95"/>
  <c r="AA11" i="95"/>
  <c r="AA5" i="95"/>
  <c r="AA6" i="95"/>
  <c r="AA13" i="95"/>
  <c r="AA7" i="95"/>
  <c r="AA9" i="95"/>
  <c r="AA14" i="95"/>
  <c r="AV11" i="86"/>
  <c r="I8" i="88"/>
  <c r="I7" i="88"/>
  <c r="F34" i="96"/>
  <c r="E34" i="96"/>
  <c r="H12" i="88"/>
  <c r="H5" i="88"/>
  <c r="H10" i="88"/>
  <c r="H9" i="88"/>
  <c r="AO6" i="95"/>
  <c r="AH6" i="95"/>
  <c r="H21" i="96"/>
  <c r="E21" i="96"/>
  <c r="AH7" i="95"/>
  <c r="T10" i="95"/>
  <c r="T11" i="95"/>
  <c r="T15" i="95"/>
  <c r="T9" i="95"/>
  <c r="T12" i="95"/>
  <c r="T8" i="95"/>
  <c r="T5" i="95"/>
  <c r="T13" i="95"/>
  <c r="T14" i="95"/>
  <c r="BJ7" i="86"/>
  <c r="BJ10" i="86"/>
  <c r="BJ5" i="86"/>
  <c r="BJ9" i="86"/>
  <c r="BQ6" i="86"/>
  <c r="BQ14" i="86"/>
  <c r="BQ13" i="86"/>
  <c r="BQ12" i="86"/>
  <c r="BQ11" i="86"/>
  <c r="BQ9" i="86"/>
  <c r="BQ8" i="86"/>
  <c r="BQ15" i="86"/>
  <c r="BQ7" i="86"/>
  <c r="BC10" i="86"/>
  <c r="BJ11" i="86"/>
  <c r="BQ10" i="86"/>
  <c r="BJ12" i="86"/>
  <c r="BJ6" i="86"/>
  <c r="BC11" i="86"/>
  <c r="BC8" i="86"/>
  <c r="AV14" i="86"/>
  <c r="BC12" i="86"/>
  <c r="BC6" i="86"/>
  <c r="BJ15" i="86"/>
  <c r="BJ13" i="86"/>
  <c r="AV9" i="86"/>
  <c r="BC14" i="86"/>
  <c r="BJ14" i="86"/>
  <c r="BH17" i="86"/>
  <c r="BA17" i="86"/>
  <c r="T9" i="86"/>
  <c r="AV8" i="86"/>
  <c r="AV5" i="86"/>
  <c r="BC7" i="86"/>
  <c r="BC15" i="86"/>
  <c r="BC13" i="86"/>
  <c r="BC9" i="86"/>
  <c r="T14" i="86"/>
  <c r="BC5" i="86"/>
  <c r="AV12" i="86"/>
  <c r="AV10" i="86"/>
  <c r="T6" i="86"/>
  <c r="AO5" i="86"/>
  <c r="AT17" i="86"/>
  <c r="AV7" i="86"/>
  <c r="AV13" i="86"/>
  <c r="AV15" i="86"/>
  <c r="AO7" i="86"/>
  <c r="AO11" i="86"/>
  <c r="AO8" i="86"/>
  <c r="AO14" i="86"/>
  <c r="AM17" i="86"/>
  <c r="AO6" i="86"/>
  <c r="AH5" i="86"/>
  <c r="AO13" i="86"/>
  <c r="AO15" i="86"/>
  <c r="AO10" i="86"/>
  <c r="AO9" i="86"/>
  <c r="AH14" i="86"/>
  <c r="AH8" i="86"/>
  <c r="AH12" i="86"/>
  <c r="AH9" i="86"/>
  <c r="AH10" i="86"/>
  <c r="AH11" i="86"/>
  <c r="AA5" i="86"/>
  <c r="AF17" i="86"/>
  <c r="AH13" i="86"/>
  <c r="AH15" i="86"/>
  <c r="Y17" i="86"/>
  <c r="AA14" i="86"/>
  <c r="AA6" i="86"/>
  <c r="AA12" i="86"/>
  <c r="AA8" i="86"/>
  <c r="AA15" i="86"/>
  <c r="AA10" i="86"/>
  <c r="AA13" i="86"/>
  <c r="AA11" i="86"/>
  <c r="AA7" i="86"/>
  <c r="T10" i="86"/>
  <c r="T12" i="86"/>
  <c r="T8" i="86"/>
  <c r="AA9" i="86"/>
  <c r="T5" i="86"/>
  <c r="R3" i="86"/>
  <c r="S3" i="86" s="1"/>
  <c r="T3" i="86" s="1"/>
  <c r="U3" i="86" s="1"/>
  <c r="V3" i="86" s="1"/>
  <c r="W3" i="86" s="1"/>
  <c r="X3" i="86" s="1"/>
  <c r="R17" i="86"/>
  <c r="T15" i="86"/>
  <c r="T11" i="86"/>
  <c r="T13" i="86"/>
  <c r="M14" i="86"/>
  <c r="M5" i="86"/>
  <c r="K17" i="86"/>
  <c r="M9" i="86"/>
  <c r="M15" i="86"/>
  <c r="M11" i="86"/>
  <c r="M13" i="86"/>
  <c r="M12" i="86"/>
  <c r="F7" i="86"/>
  <c r="F11" i="86"/>
  <c r="F9" i="86"/>
  <c r="F8" i="86"/>
  <c r="F12" i="86"/>
  <c r="F15" i="86"/>
  <c r="F13" i="86"/>
  <c r="F6" i="86"/>
  <c r="F10" i="86"/>
  <c r="F14" i="86"/>
  <c r="F5" i="86"/>
  <c r="D17" i="86"/>
  <c r="C70" i="94"/>
  <c r="S17" i="85"/>
  <c r="J17" i="73"/>
  <c r="I17" i="89"/>
  <c r="J11" i="89" s="1"/>
  <c r="K11" i="89" s="1"/>
  <c r="L11" i="89" s="1"/>
  <c r="J8" i="85"/>
  <c r="J10" i="85"/>
  <c r="C10" i="74"/>
  <c r="J12" i="85"/>
  <c r="J13" i="85"/>
  <c r="J15" i="85"/>
  <c r="J14" i="85"/>
  <c r="J5" i="85"/>
  <c r="J6" i="85"/>
  <c r="J9" i="85"/>
  <c r="J11" i="85"/>
  <c r="J7" i="85"/>
  <c r="M17" i="85"/>
  <c r="N12" i="85" s="1"/>
  <c r="O12" i="85" s="1"/>
  <c r="AA12" i="85" s="1"/>
  <c r="V17" i="85"/>
  <c r="W11" i="85" s="1"/>
  <c r="X11" i="85" s="1"/>
  <c r="AD11" i="85" s="1"/>
  <c r="P17" i="85"/>
  <c r="Q14" i="85" s="1"/>
  <c r="R14" i="85" s="1"/>
  <c r="AB14" i="85" s="1"/>
  <c r="AV17" i="86" l="1"/>
  <c r="C69" i="96"/>
  <c r="C69" i="94"/>
  <c r="BJ17" i="95"/>
  <c r="BK6" i="95" s="1"/>
  <c r="BL6" i="95" s="1"/>
  <c r="F40" i="96"/>
  <c r="F17" i="95"/>
  <c r="BC17" i="95"/>
  <c r="BD11" i="95" s="1"/>
  <c r="BE11" i="95" s="1"/>
  <c r="T17" i="95"/>
  <c r="T13" i="85"/>
  <c r="U13" i="85" s="1"/>
  <c r="AC13" i="85" s="1"/>
  <c r="G13" i="93" s="1"/>
  <c r="I17" i="88"/>
  <c r="AA17" i="95"/>
  <c r="AB6" i="95" s="1"/>
  <c r="AC6" i="95" s="1"/>
  <c r="AO17" i="95"/>
  <c r="BK15" i="95"/>
  <c r="BL15" i="95" s="1"/>
  <c r="AH17" i="95"/>
  <c r="M17" i="95"/>
  <c r="N15" i="95" s="1"/>
  <c r="O15" i="95" s="1"/>
  <c r="BX17" i="95"/>
  <c r="BY9" i="95" s="1"/>
  <c r="BZ9" i="95" s="1"/>
  <c r="AV17" i="95"/>
  <c r="BX17" i="86"/>
  <c r="BY5" i="86" s="1"/>
  <c r="T12" i="85"/>
  <c r="U12" i="85" s="1"/>
  <c r="AC12" i="85" s="1"/>
  <c r="G12" i="93" s="1"/>
  <c r="H54" i="96"/>
  <c r="H47" i="96"/>
  <c r="D30" i="96"/>
  <c r="E31" i="96"/>
  <c r="D40" i="96"/>
  <c r="BR7" i="95"/>
  <c r="BR10" i="95"/>
  <c r="BS10" i="95" s="1"/>
  <c r="BR13" i="95"/>
  <c r="BR9" i="95"/>
  <c r="BR12" i="95"/>
  <c r="BR6" i="95"/>
  <c r="BR14" i="95"/>
  <c r="BR5" i="95"/>
  <c r="BS5" i="95" s="1"/>
  <c r="BR15" i="95"/>
  <c r="BR8" i="95"/>
  <c r="BR11" i="95"/>
  <c r="BS11" i="95" s="1"/>
  <c r="F30" i="96"/>
  <c r="H34" i="96"/>
  <c r="H31" i="96"/>
  <c r="H32" i="96"/>
  <c r="H35" i="96"/>
  <c r="H33" i="96"/>
  <c r="E18" i="96"/>
  <c r="H18" i="96"/>
  <c r="BQ17" i="86"/>
  <c r="BR7" i="86" s="1"/>
  <c r="BJ17" i="86"/>
  <c r="BC17" i="86"/>
  <c r="BD5" i="86" s="1"/>
  <c r="BE5" i="86" s="1"/>
  <c r="AW8" i="86"/>
  <c r="AX8" i="86" s="1"/>
  <c r="AO17" i="86"/>
  <c r="AH17" i="86"/>
  <c r="AP5" i="86" s="1"/>
  <c r="AQ5" i="86" s="1"/>
  <c r="T17" i="86"/>
  <c r="U5" i="86" s="1"/>
  <c r="V5" i="86" s="1"/>
  <c r="Y3" i="86"/>
  <c r="Z3" i="86" s="1"/>
  <c r="AA3" i="86" s="1"/>
  <c r="AB3" i="86" s="1"/>
  <c r="AC3" i="86" s="1"/>
  <c r="AD3" i="86" s="1"/>
  <c r="AE3" i="86" s="1"/>
  <c r="AA17" i="86"/>
  <c r="AB5" i="86" s="1"/>
  <c r="M17" i="86"/>
  <c r="F17" i="86"/>
  <c r="G5" i="86" s="1"/>
  <c r="H5" i="86" s="1"/>
  <c r="Q10" i="85"/>
  <c r="R10" i="85" s="1"/>
  <c r="AB10" i="85" s="1"/>
  <c r="F10" i="93" s="1"/>
  <c r="J6" i="89"/>
  <c r="K6" i="89" s="1"/>
  <c r="L6" i="89" s="1"/>
  <c r="J15" i="89"/>
  <c r="K15" i="89" s="1"/>
  <c r="L15" i="89" s="1"/>
  <c r="M15" i="89" s="1"/>
  <c r="J8" i="89"/>
  <c r="K8" i="89" s="1"/>
  <c r="L8" i="89" s="1"/>
  <c r="M8" i="89" s="1"/>
  <c r="J14" i="89"/>
  <c r="K14" i="89" s="1"/>
  <c r="L14" i="89" s="1"/>
  <c r="M14" i="89" s="1"/>
  <c r="J13" i="89"/>
  <c r="K13" i="89" s="1"/>
  <c r="L13" i="89" s="1"/>
  <c r="M13" i="89" s="1"/>
  <c r="J9" i="89"/>
  <c r="K9" i="89" s="1"/>
  <c r="L9" i="89" s="1"/>
  <c r="M9" i="89" s="1"/>
  <c r="J12" i="89"/>
  <c r="K12" i="89" s="1"/>
  <c r="L12" i="89" s="1"/>
  <c r="M12" i="89" s="1"/>
  <c r="J10" i="89"/>
  <c r="K10" i="89" s="1"/>
  <c r="L10" i="89" s="1"/>
  <c r="Q9" i="85"/>
  <c r="R9" i="85" s="1"/>
  <c r="AB9" i="85" s="1"/>
  <c r="F9" i="93" s="1"/>
  <c r="Q5" i="85"/>
  <c r="R5" i="85" s="1"/>
  <c r="AB5" i="85" s="1"/>
  <c r="Q8" i="85"/>
  <c r="R8" i="85" s="1"/>
  <c r="AB8" i="85" s="1"/>
  <c r="F8" i="93" s="1"/>
  <c r="Q15" i="85"/>
  <c r="R15" i="85" s="1"/>
  <c r="AB15" i="85" s="1"/>
  <c r="G15" i="73" s="1"/>
  <c r="H11" i="93"/>
  <c r="I11" i="73"/>
  <c r="F14" i="93"/>
  <c r="G14" i="73"/>
  <c r="E12" i="93"/>
  <c r="F12" i="73"/>
  <c r="M11" i="89"/>
  <c r="T8" i="85"/>
  <c r="U8" i="85" s="1"/>
  <c r="AC8" i="85" s="1"/>
  <c r="N5" i="85"/>
  <c r="T9" i="85"/>
  <c r="U9" i="85" s="1"/>
  <c r="AC9" i="85" s="1"/>
  <c r="N11" i="85"/>
  <c r="O11" i="85" s="1"/>
  <c r="AA11" i="85" s="1"/>
  <c r="W13" i="85"/>
  <c r="X13" i="85" s="1"/>
  <c r="AD13" i="85" s="1"/>
  <c r="N9" i="85"/>
  <c r="O9" i="85" s="1"/>
  <c r="AA9" i="85" s="1"/>
  <c r="N8" i="85"/>
  <c r="O8" i="85" s="1"/>
  <c r="AA8" i="85" s="1"/>
  <c r="T7" i="85"/>
  <c r="U7" i="85" s="1"/>
  <c r="AC7" i="85" s="1"/>
  <c r="J17" i="85"/>
  <c r="K13" i="85" s="1"/>
  <c r="L13" i="85" s="1"/>
  <c r="Z13" i="85" s="1"/>
  <c r="T11" i="85"/>
  <c r="U11" i="85" s="1"/>
  <c r="AC11" i="85" s="1"/>
  <c r="W15" i="85"/>
  <c r="X15" i="85" s="1"/>
  <c r="AD15" i="85" s="1"/>
  <c r="Q7" i="85"/>
  <c r="R7" i="85" s="1"/>
  <c r="AB7" i="85" s="1"/>
  <c r="W12" i="85"/>
  <c r="X12" i="85" s="1"/>
  <c r="AD12" i="85" s="1"/>
  <c r="J5" i="89"/>
  <c r="N13" i="85"/>
  <c r="O13" i="85" s="1"/>
  <c r="AA13" i="85" s="1"/>
  <c r="T15" i="85"/>
  <c r="U15" i="85" s="1"/>
  <c r="AC15" i="85" s="1"/>
  <c r="W7" i="85"/>
  <c r="X7" i="85" s="1"/>
  <c r="AD7" i="85" s="1"/>
  <c r="N7" i="85"/>
  <c r="O7" i="85" s="1"/>
  <c r="AA7" i="85" s="1"/>
  <c r="Q6" i="85"/>
  <c r="R6" i="85" s="1"/>
  <c r="AB6" i="85" s="1"/>
  <c r="J7" i="89"/>
  <c r="K7" i="89" s="1"/>
  <c r="L7" i="89" s="1"/>
  <c r="N6" i="85"/>
  <c r="O6" i="85" s="1"/>
  <c r="AA6" i="85" s="1"/>
  <c r="T14" i="85"/>
  <c r="U14" i="85" s="1"/>
  <c r="AC14" i="85" s="1"/>
  <c r="W10" i="85"/>
  <c r="X10" i="85" s="1"/>
  <c r="AD10" i="85" s="1"/>
  <c r="W5" i="85"/>
  <c r="W8" i="85"/>
  <c r="X8" i="85" s="1"/>
  <c r="AD8" i="85" s="1"/>
  <c r="T10" i="85"/>
  <c r="U10" i="85" s="1"/>
  <c r="AC10" i="85" s="1"/>
  <c r="W6" i="85"/>
  <c r="X6" i="85" s="1"/>
  <c r="AD6" i="85" s="1"/>
  <c r="W9" i="85"/>
  <c r="X9" i="85" s="1"/>
  <c r="AD9" i="85" s="1"/>
  <c r="N14" i="85"/>
  <c r="O14" i="85" s="1"/>
  <c r="AA14" i="85" s="1"/>
  <c r="T6" i="85"/>
  <c r="U6" i="85" s="1"/>
  <c r="AC6" i="85" s="1"/>
  <c r="N15" i="85"/>
  <c r="O15" i="85" s="1"/>
  <c r="AA15" i="85" s="1"/>
  <c r="W14" i="85"/>
  <c r="X14" i="85" s="1"/>
  <c r="AD14" i="85" s="1"/>
  <c r="Q11" i="85"/>
  <c r="R11" i="85" s="1"/>
  <c r="AB11" i="85" s="1"/>
  <c r="Q12" i="85"/>
  <c r="R12" i="85" s="1"/>
  <c r="AB12" i="85" s="1"/>
  <c r="N10" i="85"/>
  <c r="O10" i="85" s="1"/>
  <c r="AA10" i="85" s="1"/>
  <c r="T5" i="85"/>
  <c r="Q13" i="85"/>
  <c r="R13" i="85" s="1"/>
  <c r="AB13" i="85" s="1"/>
  <c r="BK9" i="95" l="1"/>
  <c r="BL9" i="95" s="1"/>
  <c r="BK10" i="95"/>
  <c r="BL10" i="95" s="1"/>
  <c r="K5" i="85"/>
  <c r="L5" i="85" s="1"/>
  <c r="Z5" i="85" s="1"/>
  <c r="K10" i="85"/>
  <c r="K7" i="85"/>
  <c r="L7" i="85" s="1"/>
  <c r="Z7" i="85" s="1"/>
  <c r="E7" i="73" s="1"/>
  <c r="AW13" i="95"/>
  <c r="AX13" i="95" s="1"/>
  <c r="BK5" i="95"/>
  <c r="BL5" i="95" s="1"/>
  <c r="BD12" i="95"/>
  <c r="BE12" i="95" s="1"/>
  <c r="AW15" i="95"/>
  <c r="AX15" i="95" s="1"/>
  <c r="BD13" i="95"/>
  <c r="BE13" i="95" s="1"/>
  <c r="BK11" i="95"/>
  <c r="BL11" i="95" s="1"/>
  <c r="BK8" i="95"/>
  <c r="BL8" i="95" s="1"/>
  <c r="BK13" i="95"/>
  <c r="BL13" i="95" s="1"/>
  <c r="G14" i="95"/>
  <c r="H14" i="95" s="1"/>
  <c r="G8" i="95"/>
  <c r="H8" i="95" s="1"/>
  <c r="AW5" i="95"/>
  <c r="AX5" i="95" s="1"/>
  <c r="BK12" i="95"/>
  <c r="BL12" i="95" s="1"/>
  <c r="BK7" i="95"/>
  <c r="BL7" i="95" s="1"/>
  <c r="G12" i="95"/>
  <c r="H12" i="95" s="1"/>
  <c r="G7" i="95"/>
  <c r="H7" i="95" s="1"/>
  <c r="G9" i="95"/>
  <c r="H9" i="95" s="1"/>
  <c r="G13" i="95"/>
  <c r="H13" i="95" s="1"/>
  <c r="BD7" i="95"/>
  <c r="BE7" i="95" s="1"/>
  <c r="BD15" i="95"/>
  <c r="BE15" i="95" s="1"/>
  <c r="BD14" i="95"/>
  <c r="BE14" i="95" s="1"/>
  <c r="BD5" i="95"/>
  <c r="BE5" i="95" s="1"/>
  <c r="BD9" i="95"/>
  <c r="BE9" i="95" s="1"/>
  <c r="BK14" i="95"/>
  <c r="BL14" i="95" s="1"/>
  <c r="G6" i="95"/>
  <c r="H6" i="95" s="1"/>
  <c r="BD6" i="95"/>
  <c r="BE6" i="95" s="1"/>
  <c r="BD8" i="95"/>
  <c r="BE8" i="95" s="1"/>
  <c r="BD10" i="95"/>
  <c r="BE10" i="95" s="1"/>
  <c r="G5" i="95"/>
  <c r="H5" i="95" s="1"/>
  <c r="G10" i="95"/>
  <c r="H10" i="95" s="1"/>
  <c r="G15" i="95"/>
  <c r="H15" i="95" s="1"/>
  <c r="G11" i="95"/>
  <c r="H11" i="95" s="1"/>
  <c r="U14" i="95"/>
  <c r="V14" i="95" s="1"/>
  <c r="U13" i="95"/>
  <c r="V13" i="95" s="1"/>
  <c r="U7" i="95"/>
  <c r="V7" i="95" s="1"/>
  <c r="U11" i="95"/>
  <c r="V11" i="95" s="1"/>
  <c r="U9" i="95"/>
  <c r="V9" i="95" s="1"/>
  <c r="U10" i="95"/>
  <c r="V10" i="95" s="1"/>
  <c r="U12" i="95"/>
  <c r="V12" i="95" s="1"/>
  <c r="BY7" i="86"/>
  <c r="BY12" i="86"/>
  <c r="BY15" i="86"/>
  <c r="BZ15" i="86" s="1"/>
  <c r="U6" i="95"/>
  <c r="V6" i="95" s="1"/>
  <c r="U8" i="95"/>
  <c r="V8" i="95" s="1"/>
  <c r="U5" i="95"/>
  <c r="V5" i="95" s="1"/>
  <c r="H13" i="73"/>
  <c r="AW12" i="95"/>
  <c r="AX12" i="95" s="1"/>
  <c r="U15" i="95"/>
  <c r="V15" i="95" s="1"/>
  <c r="BY13" i="86"/>
  <c r="BZ13" i="86" s="1"/>
  <c r="BY6" i="86"/>
  <c r="BZ6" i="86" s="1"/>
  <c r="AP14" i="95"/>
  <c r="AQ14" i="95" s="1"/>
  <c r="BY9" i="86"/>
  <c r="BZ9" i="86" s="1"/>
  <c r="BY11" i="86"/>
  <c r="BZ11" i="86" s="1"/>
  <c r="AI8" i="95"/>
  <c r="AJ8" i="95" s="1"/>
  <c r="AP11" i="95"/>
  <c r="AQ11" i="95" s="1"/>
  <c r="J14" i="88"/>
  <c r="AR14" i="73" s="1"/>
  <c r="BY10" i="95"/>
  <c r="AB7" i="95"/>
  <c r="AC7" i="95" s="1"/>
  <c r="AB15" i="95"/>
  <c r="AC15" i="95" s="1"/>
  <c r="AB8" i="95"/>
  <c r="AC8" i="95" s="1"/>
  <c r="BY6" i="95"/>
  <c r="BZ6" i="95" s="1"/>
  <c r="AB13" i="95"/>
  <c r="BY11" i="95"/>
  <c r="BZ11" i="95" s="1"/>
  <c r="BY5" i="95"/>
  <c r="BY7" i="95"/>
  <c r="BY8" i="95"/>
  <c r="AB10" i="95"/>
  <c r="AC10" i="95" s="1"/>
  <c r="AB11" i="95"/>
  <c r="AB12" i="95"/>
  <c r="AC12" i="95" s="1"/>
  <c r="AB5" i="95"/>
  <c r="BY12" i="95"/>
  <c r="AB9" i="95"/>
  <c r="AC9" i="95" s="1"/>
  <c r="BY15" i="95"/>
  <c r="BZ15" i="95" s="1"/>
  <c r="BY13" i="95"/>
  <c r="BZ13" i="95" s="1"/>
  <c r="BY14" i="95"/>
  <c r="N6" i="95"/>
  <c r="O6" i="95" s="1"/>
  <c r="AB14" i="95"/>
  <c r="AC14" i="95" s="1"/>
  <c r="J10" i="88"/>
  <c r="K10" i="88" s="1"/>
  <c r="J9" i="88"/>
  <c r="AR9" i="73" s="1"/>
  <c r="J15" i="88"/>
  <c r="K15" i="88" s="1"/>
  <c r="J6" i="88"/>
  <c r="K6" i="88" s="1"/>
  <c r="J11" i="88"/>
  <c r="AR11" i="73" s="1"/>
  <c r="J13" i="88"/>
  <c r="AR13" i="73" s="1"/>
  <c r="J5" i="88"/>
  <c r="K5" i="88" s="1"/>
  <c r="J7" i="88"/>
  <c r="K7" i="88" s="1"/>
  <c r="J12" i="88"/>
  <c r="AR12" i="73" s="1"/>
  <c r="J8" i="88"/>
  <c r="K8" i="88" s="1"/>
  <c r="AP8" i="95"/>
  <c r="AQ8" i="95" s="1"/>
  <c r="AI14" i="95"/>
  <c r="AJ14" i="95" s="1"/>
  <c r="N5" i="95"/>
  <c r="N8" i="95"/>
  <c r="O8" i="95" s="1"/>
  <c r="N14" i="95"/>
  <c r="O14" i="95" s="1"/>
  <c r="N12" i="95"/>
  <c r="O12" i="95" s="1"/>
  <c r="N13" i="95"/>
  <c r="O13" i="95" s="1"/>
  <c r="N9" i="95"/>
  <c r="O9" i="95" s="1"/>
  <c r="N10" i="95"/>
  <c r="O10" i="95" s="1"/>
  <c r="AP9" i="95"/>
  <c r="AQ9" i="95" s="1"/>
  <c r="AP7" i="95"/>
  <c r="AQ7" i="95" s="1"/>
  <c r="N7" i="95"/>
  <c r="O7" i="95" s="1"/>
  <c r="N11" i="95"/>
  <c r="O11" i="95" s="1"/>
  <c r="AI15" i="95"/>
  <c r="AJ15" i="95" s="1"/>
  <c r="AI7" i="95"/>
  <c r="AJ7" i="95" s="1"/>
  <c r="AP6" i="95"/>
  <c r="AQ6" i="95" s="1"/>
  <c r="AI10" i="95"/>
  <c r="AJ10" i="95" s="1"/>
  <c r="AI12" i="95"/>
  <c r="AJ12" i="95" s="1"/>
  <c r="AP10" i="95"/>
  <c r="AQ10" i="95" s="1"/>
  <c r="AI6" i="95"/>
  <c r="AJ6" i="95" s="1"/>
  <c r="AI9" i="95"/>
  <c r="AJ9" i="95" s="1"/>
  <c r="AP12" i="95"/>
  <c r="AQ12" i="95" s="1"/>
  <c r="AW9" i="95"/>
  <c r="AX9" i="95" s="1"/>
  <c r="AW11" i="95"/>
  <c r="AX11" i="95" s="1"/>
  <c r="AW10" i="95"/>
  <c r="AX10" i="95" s="1"/>
  <c r="AP5" i="95"/>
  <c r="AQ5" i="95" s="1"/>
  <c r="AI13" i="95"/>
  <c r="AJ13" i="95" s="1"/>
  <c r="AP13" i="95"/>
  <c r="AQ13" i="95" s="1"/>
  <c r="AI11" i="95"/>
  <c r="AJ11" i="95" s="1"/>
  <c r="AI5" i="95"/>
  <c r="AJ5" i="95" s="1"/>
  <c r="AP15" i="95"/>
  <c r="AQ15" i="95" s="1"/>
  <c r="AW14" i="95"/>
  <c r="AX14" i="95" s="1"/>
  <c r="AW7" i="95"/>
  <c r="AX7" i="95" s="1"/>
  <c r="AW8" i="95"/>
  <c r="AX8" i="95" s="1"/>
  <c r="AW6" i="95"/>
  <c r="AX6" i="95" s="1"/>
  <c r="AW11" i="86"/>
  <c r="AX11" i="86" s="1"/>
  <c r="BK5" i="86"/>
  <c r="BL5" i="86" s="1"/>
  <c r="BR6" i="86"/>
  <c r="BY14" i="86"/>
  <c r="BY10" i="86"/>
  <c r="BY8" i="86"/>
  <c r="K9" i="85"/>
  <c r="L9" i="85" s="1"/>
  <c r="Z9" i="85" s="1"/>
  <c r="D9" i="93" s="1"/>
  <c r="H12" i="73"/>
  <c r="BK8" i="86"/>
  <c r="BL8" i="86" s="1"/>
  <c r="BR14" i="86"/>
  <c r="BR5" i="86"/>
  <c r="BS5" i="86" s="1"/>
  <c r="BR11" i="86"/>
  <c r="BS11" i="86" s="1"/>
  <c r="BK7" i="86"/>
  <c r="BL7" i="86" s="1"/>
  <c r="BR13" i="86"/>
  <c r="BR8" i="86"/>
  <c r="BR15" i="86"/>
  <c r="AW5" i="86"/>
  <c r="AX5" i="86" s="1"/>
  <c r="AW14" i="86"/>
  <c r="AX14" i="86" s="1"/>
  <c r="BK14" i="86"/>
  <c r="BL14" i="86" s="1"/>
  <c r="BK13" i="86"/>
  <c r="BL13" i="86" s="1"/>
  <c r="AW15" i="86"/>
  <c r="AX15" i="86" s="1"/>
  <c r="AW10" i="86"/>
  <c r="AX10" i="86" s="1"/>
  <c r="BK15" i="86"/>
  <c r="BL15" i="86" s="1"/>
  <c r="BK6" i="86"/>
  <c r="BL6" i="86" s="1"/>
  <c r="BK10" i="86"/>
  <c r="BL10" i="86" s="1"/>
  <c r="BK9" i="86"/>
  <c r="BL9" i="86" s="1"/>
  <c r="BK12" i="86"/>
  <c r="BL12" i="86" s="1"/>
  <c r="BR10" i="86"/>
  <c r="BS10" i="86" s="1"/>
  <c r="BR9" i="86"/>
  <c r="BR12" i="86"/>
  <c r="H40" i="96"/>
  <c r="H30" i="96"/>
  <c r="D8" i="96"/>
  <c r="BS17" i="95"/>
  <c r="BT11" i="95" s="1"/>
  <c r="E40" i="96"/>
  <c r="C8" i="96"/>
  <c r="E30" i="96"/>
  <c r="AW7" i="86"/>
  <c r="AX7" i="86" s="1"/>
  <c r="AW13" i="86"/>
  <c r="AX13" i="86" s="1"/>
  <c r="BK11" i="86"/>
  <c r="BL11" i="86" s="1"/>
  <c r="AW12" i="86"/>
  <c r="AX12" i="86" s="1"/>
  <c r="AW6" i="86"/>
  <c r="AX6" i="86" s="1"/>
  <c r="AW9" i="86"/>
  <c r="AX9" i="86" s="1"/>
  <c r="BD7" i="86"/>
  <c r="BE7" i="86" s="1"/>
  <c r="BD11" i="86"/>
  <c r="BE11" i="86" s="1"/>
  <c r="BD15" i="86"/>
  <c r="BE15" i="86" s="1"/>
  <c r="BD8" i="86"/>
  <c r="BE8" i="86" s="1"/>
  <c r="BD12" i="86"/>
  <c r="BE12" i="86" s="1"/>
  <c r="BD9" i="86"/>
  <c r="BE9" i="86" s="1"/>
  <c r="BD13" i="86"/>
  <c r="BE13" i="86" s="1"/>
  <c r="BD6" i="86"/>
  <c r="BE6" i="86" s="1"/>
  <c r="BD14" i="86"/>
  <c r="BE14" i="86" s="1"/>
  <c r="BD10" i="86"/>
  <c r="BE10" i="86" s="1"/>
  <c r="U9" i="86"/>
  <c r="V9" i="86" s="1"/>
  <c r="U14" i="86"/>
  <c r="V14" i="86" s="1"/>
  <c r="U8" i="86"/>
  <c r="V8" i="86" s="1"/>
  <c r="AP14" i="86"/>
  <c r="AQ14" i="86" s="1"/>
  <c r="AP10" i="86"/>
  <c r="AQ10" i="86" s="1"/>
  <c r="AP6" i="86"/>
  <c r="AQ6" i="86" s="1"/>
  <c r="AP13" i="86"/>
  <c r="AQ13" i="86" s="1"/>
  <c r="AP9" i="86"/>
  <c r="AQ9" i="86" s="1"/>
  <c r="AP12" i="86"/>
  <c r="AQ12" i="86" s="1"/>
  <c r="AP8" i="86"/>
  <c r="AQ8" i="86" s="1"/>
  <c r="AI5" i="86"/>
  <c r="AJ5" i="86" s="1"/>
  <c r="AP15" i="86"/>
  <c r="AQ15" i="86" s="1"/>
  <c r="AP11" i="86"/>
  <c r="AQ11" i="86" s="1"/>
  <c r="AP7" i="86"/>
  <c r="AQ7" i="86" s="1"/>
  <c r="AI15" i="86"/>
  <c r="AJ15" i="86" s="1"/>
  <c r="AI8" i="86"/>
  <c r="AJ8" i="86" s="1"/>
  <c r="AI14" i="86"/>
  <c r="AJ14" i="86" s="1"/>
  <c r="AI7" i="86"/>
  <c r="AJ7" i="86" s="1"/>
  <c r="AI6" i="86"/>
  <c r="AJ6" i="86" s="1"/>
  <c r="AI13" i="86"/>
  <c r="AJ13" i="86" s="1"/>
  <c r="AI12" i="86"/>
  <c r="AJ12" i="86" s="1"/>
  <c r="AI9" i="86"/>
  <c r="AJ9" i="86" s="1"/>
  <c r="AI11" i="86"/>
  <c r="AJ11" i="86" s="1"/>
  <c r="AI10" i="86"/>
  <c r="AJ10" i="86" s="1"/>
  <c r="U6" i="86"/>
  <c r="V6" i="86" s="1"/>
  <c r="U11" i="86"/>
  <c r="V11" i="86" s="1"/>
  <c r="AF3" i="86"/>
  <c r="AG3" i="86" s="1"/>
  <c r="AH3" i="86" s="1"/>
  <c r="AI3" i="86" s="1"/>
  <c r="AJ3" i="86" s="1"/>
  <c r="AK3" i="86" s="1"/>
  <c r="AL3" i="86" s="1"/>
  <c r="N15" i="86"/>
  <c r="O15" i="86" s="1"/>
  <c r="N9" i="86"/>
  <c r="O9" i="86" s="1"/>
  <c r="N12" i="86"/>
  <c r="O12" i="86" s="1"/>
  <c r="N11" i="86"/>
  <c r="O11" i="86" s="1"/>
  <c r="N10" i="86"/>
  <c r="O10" i="86" s="1"/>
  <c r="U13" i="86"/>
  <c r="V13" i="86" s="1"/>
  <c r="U12" i="86"/>
  <c r="V12" i="86" s="1"/>
  <c r="U15" i="86"/>
  <c r="V15" i="86" s="1"/>
  <c r="AB7" i="86"/>
  <c r="AC7" i="86" s="1"/>
  <c r="AB11" i="86"/>
  <c r="AB15" i="86"/>
  <c r="AC15" i="86" s="1"/>
  <c r="AB8" i="86"/>
  <c r="AC8" i="86" s="1"/>
  <c r="AB12" i="86"/>
  <c r="AC12" i="86" s="1"/>
  <c r="AB9" i="86"/>
  <c r="AC9" i="86" s="1"/>
  <c r="AB13" i="86"/>
  <c r="AB14" i="86"/>
  <c r="AC14" i="86" s="1"/>
  <c r="AB6" i="86"/>
  <c r="AC6" i="86" s="1"/>
  <c r="AB10" i="86"/>
  <c r="AC10" i="86" s="1"/>
  <c r="U7" i="86"/>
  <c r="V7" i="86" s="1"/>
  <c r="U10" i="86"/>
  <c r="V10" i="86" s="1"/>
  <c r="N8" i="86"/>
  <c r="O8" i="86" s="1"/>
  <c r="N7" i="86"/>
  <c r="O7" i="86" s="1"/>
  <c r="N13" i="86"/>
  <c r="O13" i="86" s="1"/>
  <c r="N6" i="86"/>
  <c r="O6" i="86" s="1"/>
  <c r="N5" i="86"/>
  <c r="N14" i="86"/>
  <c r="O14" i="86" s="1"/>
  <c r="G6" i="86"/>
  <c r="H6" i="86" s="1"/>
  <c r="G10" i="86"/>
  <c r="H10" i="86" s="1"/>
  <c r="G14" i="86"/>
  <c r="H14" i="86" s="1"/>
  <c r="G7" i="86"/>
  <c r="H7" i="86" s="1"/>
  <c r="G11" i="86"/>
  <c r="H11" i="86" s="1"/>
  <c r="G15" i="86"/>
  <c r="H15" i="86" s="1"/>
  <c r="G8" i="86"/>
  <c r="H8" i="86" s="1"/>
  <c r="G12" i="86"/>
  <c r="H12" i="86" s="1"/>
  <c r="G9" i="86"/>
  <c r="H9" i="86" s="1"/>
  <c r="G13" i="86"/>
  <c r="H13" i="86" s="1"/>
  <c r="G9" i="73"/>
  <c r="G10" i="73"/>
  <c r="K12" i="85"/>
  <c r="L12" i="85" s="1"/>
  <c r="Z12" i="85" s="1"/>
  <c r="D12" i="93" s="1"/>
  <c r="L10" i="85"/>
  <c r="Z10" i="85" s="1"/>
  <c r="E10" i="73" s="1"/>
  <c r="K15" i="85"/>
  <c r="L15" i="85" s="1"/>
  <c r="Z15" i="85" s="1"/>
  <c r="E15" i="73" s="1"/>
  <c r="K11" i="85"/>
  <c r="L11" i="85" s="1"/>
  <c r="Z11" i="85" s="1"/>
  <c r="E11" i="73" s="1"/>
  <c r="K14" i="85"/>
  <c r="L14" i="85" s="1"/>
  <c r="Z14" i="85" s="1"/>
  <c r="E14" i="73" s="1"/>
  <c r="M6" i="89"/>
  <c r="F15" i="93"/>
  <c r="M10" i="89"/>
  <c r="E53" i="94"/>
  <c r="G8" i="73"/>
  <c r="K6" i="85"/>
  <c r="L6" i="85" s="1"/>
  <c r="Z6" i="85" s="1"/>
  <c r="D6" i="93" s="1"/>
  <c r="D13" i="93"/>
  <c r="E13" i="73"/>
  <c r="E10" i="93"/>
  <c r="F10" i="73"/>
  <c r="E15" i="93"/>
  <c r="F15" i="73"/>
  <c r="G15" i="93"/>
  <c r="H15" i="73"/>
  <c r="H12" i="93"/>
  <c r="I12" i="73"/>
  <c r="G7" i="93"/>
  <c r="H7" i="73"/>
  <c r="H9" i="93"/>
  <c r="I9" i="73"/>
  <c r="W17" i="85"/>
  <c r="X5" i="85"/>
  <c r="AD5" i="85" s="1"/>
  <c r="E6" i="93"/>
  <c r="F6" i="73"/>
  <c r="E9" i="93"/>
  <c r="F9" i="73"/>
  <c r="H13" i="93"/>
  <c r="I13" i="73"/>
  <c r="Q17" i="85"/>
  <c r="H6" i="93"/>
  <c r="I6" i="73"/>
  <c r="H10" i="93"/>
  <c r="I10" i="73"/>
  <c r="E7" i="93"/>
  <c r="F7" i="73"/>
  <c r="E13" i="93"/>
  <c r="F13" i="73"/>
  <c r="E11" i="93"/>
  <c r="F11" i="73"/>
  <c r="G9" i="93"/>
  <c r="H9" i="73"/>
  <c r="N17" i="85"/>
  <c r="O5" i="85"/>
  <c r="AA5" i="85" s="1"/>
  <c r="F12" i="93"/>
  <c r="G12" i="73"/>
  <c r="H7" i="93"/>
  <c r="I7" i="73"/>
  <c r="E8" i="93"/>
  <c r="F8" i="73"/>
  <c r="T17" i="85"/>
  <c r="U5" i="85"/>
  <c r="AC5" i="85" s="1"/>
  <c r="G5" i="93" s="1"/>
  <c r="F11" i="93"/>
  <c r="G11" i="73"/>
  <c r="H14" i="93"/>
  <c r="I14" i="73"/>
  <c r="E14" i="93"/>
  <c r="F14" i="73"/>
  <c r="G10" i="93"/>
  <c r="H10" i="73"/>
  <c r="J17" i="89"/>
  <c r="K5" i="89"/>
  <c r="F7" i="93"/>
  <c r="G7" i="73"/>
  <c r="H15" i="93"/>
  <c r="I15" i="73"/>
  <c r="F13" i="93"/>
  <c r="G13" i="73"/>
  <c r="G6" i="93"/>
  <c r="H6" i="73"/>
  <c r="F5" i="93"/>
  <c r="G5" i="73"/>
  <c r="H8" i="93"/>
  <c r="I8" i="73"/>
  <c r="G14" i="93"/>
  <c r="H14" i="73"/>
  <c r="M7" i="89"/>
  <c r="F6" i="93"/>
  <c r="G6" i="73"/>
  <c r="G11" i="93"/>
  <c r="H11" i="73"/>
  <c r="K8" i="85"/>
  <c r="L8" i="85" s="1"/>
  <c r="Z8" i="85" s="1"/>
  <c r="G8" i="93"/>
  <c r="H8" i="73"/>
  <c r="L5" i="89" l="1"/>
  <c r="L17" i="89" s="1"/>
  <c r="K17" i="89"/>
  <c r="W11" i="73"/>
  <c r="BU11" i="95"/>
  <c r="BL17" i="95"/>
  <c r="BM6" i="95" s="1"/>
  <c r="BE17" i="95"/>
  <c r="BF11" i="95" s="1"/>
  <c r="H17" i="95"/>
  <c r="I12" i="95" s="1"/>
  <c r="K14" i="88"/>
  <c r="V17" i="95"/>
  <c r="BZ17" i="86"/>
  <c r="E9" i="73"/>
  <c r="J9" i="73" s="1"/>
  <c r="AR7" i="73"/>
  <c r="K9" i="88"/>
  <c r="O17" i="95"/>
  <c r="AC17" i="95"/>
  <c r="AR10" i="73"/>
  <c r="BZ17" i="95"/>
  <c r="BL17" i="86"/>
  <c r="BM5" i="86" s="1"/>
  <c r="AX17" i="95"/>
  <c r="AR6" i="73"/>
  <c r="AR15" i="73"/>
  <c r="K13" i="88"/>
  <c r="K11" i="88"/>
  <c r="K12" i="88"/>
  <c r="AR8" i="73"/>
  <c r="D10" i="93"/>
  <c r="C10" i="93" s="1"/>
  <c r="J10" i="93" s="1"/>
  <c r="AJ17" i="95"/>
  <c r="AK6" i="95" s="1"/>
  <c r="AQ17" i="95"/>
  <c r="BS17" i="86"/>
  <c r="E12" i="73"/>
  <c r="J12" i="73" s="1"/>
  <c r="D11" i="93"/>
  <c r="C11" i="93" s="1"/>
  <c r="J11" i="93" s="1"/>
  <c r="D14" i="93"/>
  <c r="C14" i="93" s="1"/>
  <c r="J14" i="93" s="1"/>
  <c r="BT10" i="95"/>
  <c r="BT5" i="95"/>
  <c r="AX17" i="86"/>
  <c r="BE17" i="86"/>
  <c r="AQ17" i="86"/>
  <c r="AR5" i="86" s="1"/>
  <c r="AJ17" i="86"/>
  <c r="AM3" i="86"/>
  <c r="AN3" i="86" s="1"/>
  <c r="AO3" i="86" s="1"/>
  <c r="AP3" i="86" s="1"/>
  <c r="AQ3" i="86" s="1"/>
  <c r="AR3" i="86" s="1"/>
  <c r="AS3" i="86" s="1"/>
  <c r="V17" i="86"/>
  <c r="W11" i="86" s="1"/>
  <c r="O17" i="86"/>
  <c r="AC17" i="86"/>
  <c r="H17" i="86"/>
  <c r="I5" i="86" s="1"/>
  <c r="D15" i="93"/>
  <c r="C15" i="93" s="1"/>
  <c r="J15" i="93" s="1"/>
  <c r="D7" i="93"/>
  <c r="C7" i="93" s="1"/>
  <c r="J7" i="93" s="1"/>
  <c r="K17" i="85"/>
  <c r="E6" i="73"/>
  <c r="C12" i="93"/>
  <c r="J12" i="93" s="1"/>
  <c r="J15" i="73"/>
  <c r="J10" i="73"/>
  <c r="H5" i="93"/>
  <c r="I5" i="73"/>
  <c r="C6" i="93"/>
  <c r="J6" i="93" s="1"/>
  <c r="J14" i="73"/>
  <c r="J13" i="73"/>
  <c r="C9" i="93"/>
  <c r="J9" i="93" s="1"/>
  <c r="D8" i="93"/>
  <c r="C8" i="93" s="1"/>
  <c r="J8" i="93" s="1"/>
  <c r="E8" i="73"/>
  <c r="E5" i="93"/>
  <c r="F5" i="73"/>
  <c r="J11" i="73"/>
  <c r="J7" i="73"/>
  <c r="M5" i="89"/>
  <c r="M17" i="89" s="1"/>
  <c r="H5" i="73"/>
  <c r="D5" i="93"/>
  <c r="E5" i="73"/>
  <c r="C13" i="93"/>
  <c r="J13" i="93" s="1"/>
  <c r="CA11" i="86" l="1"/>
  <c r="CA9" i="86"/>
  <c r="CA11" i="95"/>
  <c r="CA9" i="95"/>
  <c r="C5" i="93"/>
  <c r="J5" i="93" s="1"/>
  <c r="D37" i="94"/>
  <c r="BT11" i="86"/>
  <c r="BF5" i="86"/>
  <c r="BF7" i="86"/>
  <c r="CA13" i="86"/>
  <c r="CA6" i="86"/>
  <c r="CA15" i="86"/>
  <c r="AY11" i="86"/>
  <c r="AJ11" i="73" s="1"/>
  <c r="AY7" i="86"/>
  <c r="AD11" i="73"/>
  <c r="X11" i="86"/>
  <c r="P15" i="86"/>
  <c r="AC15" i="73" s="1"/>
  <c r="P8" i="86"/>
  <c r="P11" i="86"/>
  <c r="P9" i="86"/>
  <c r="AD10" i="86"/>
  <c r="AD6" i="86"/>
  <c r="AD8" i="86"/>
  <c r="AD7" i="86"/>
  <c r="AD12" i="86"/>
  <c r="BF8" i="95"/>
  <c r="U8" i="73" s="1"/>
  <c r="BF7" i="95"/>
  <c r="AY11" i="95"/>
  <c r="T11" i="73" s="1"/>
  <c r="AY7" i="95"/>
  <c r="CA6" i="95"/>
  <c r="CA13" i="95"/>
  <c r="CA15" i="95"/>
  <c r="W14" i="95"/>
  <c r="N14" i="73" s="1"/>
  <c r="W11" i="95"/>
  <c r="P11" i="95"/>
  <c r="P8" i="95"/>
  <c r="P9" i="95"/>
  <c r="AD8" i="95"/>
  <c r="AD10" i="95"/>
  <c r="AD12" i="95"/>
  <c r="AD6" i="95"/>
  <c r="AD7" i="95"/>
  <c r="BM13" i="95"/>
  <c r="V13" i="73" s="1"/>
  <c r="BM7" i="95"/>
  <c r="BN7" i="95" s="1"/>
  <c r="BF10" i="95"/>
  <c r="U10" i="73" s="1"/>
  <c r="BF12" i="95"/>
  <c r="BG12" i="95" s="1"/>
  <c r="BF9" i="95"/>
  <c r="U9" i="73" s="1"/>
  <c r="BF15" i="95"/>
  <c r="U15" i="73" s="1"/>
  <c r="BF5" i="95"/>
  <c r="BG5" i="95" s="1"/>
  <c r="BM8" i="95"/>
  <c r="BN8" i="95" s="1"/>
  <c r="BM15" i="95"/>
  <c r="V15" i="73" s="1"/>
  <c r="BM5" i="95"/>
  <c r="BN5" i="95" s="1"/>
  <c r="BM10" i="95"/>
  <c r="BN10" i="95" s="1"/>
  <c r="BF6" i="95"/>
  <c r="U6" i="73" s="1"/>
  <c r="BF13" i="95"/>
  <c r="U13" i="73" s="1"/>
  <c r="BF14" i="95"/>
  <c r="U14" i="73" s="1"/>
  <c r="BM11" i="95"/>
  <c r="V11" i="73" s="1"/>
  <c r="BM12" i="95"/>
  <c r="BN12" i="95" s="1"/>
  <c r="BM9" i="95"/>
  <c r="BN9" i="95" s="1"/>
  <c r="BM14" i="95"/>
  <c r="BN14" i="95" s="1"/>
  <c r="I15" i="95"/>
  <c r="J15" i="95" s="1"/>
  <c r="I11" i="95"/>
  <c r="J11" i="95" s="1"/>
  <c r="I7" i="95"/>
  <c r="J7" i="95" s="1"/>
  <c r="I9" i="95"/>
  <c r="L9" i="73" s="1"/>
  <c r="I8" i="95"/>
  <c r="L8" i="73" s="1"/>
  <c r="I13" i="95"/>
  <c r="L13" i="73" s="1"/>
  <c r="I6" i="95"/>
  <c r="L6" i="73" s="1"/>
  <c r="I14" i="95"/>
  <c r="J14" i="95" s="1"/>
  <c r="I10" i="95"/>
  <c r="L10" i="73" s="1"/>
  <c r="I5" i="95"/>
  <c r="J5" i="95" s="1"/>
  <c r="W5" i="86"/>
  <c r="X5" i="86" s="1"/>
  <c r="W15" i="86"/>
  <c r="AD15" i="86"/>
  <c r="W9" i="95"/>
  <c r="N9" i="73" s="1"/>
  <c r="P15" i="95"/>
  <c r="AD15" i="95"/>
  <c r="W6" i="95"/>
  <c r="X6" i="95" s="1"/>
  <c r="W15" i="95"/>
  <c r="W10" i="95"/>
  <c r="X10" i="95" s="1"/>
  <c r="W13" i="95"/>
  <c r="N13" i="73" s="1"/>
  <c r="W7" i="95"/>
  <c r="N7" i="73" s="1"/>
  <c r="W12" i="95"/>
  <c r="N12" i="73" s="1"/>
  <c r="AY6" i="95"/>
  <c r="T6" i="73" s="1"/>
  <c r="P7" i="95"/>
  <c r="M7" i="73" s="1"/>
  <c r="W8" i="95"/>
  <c r="X8" i="95" s="1"/>
  <c r="W5" i="95"/>
  <c r="N5" i="73" s="1"/>
  <c r="P12" i="95"/>
  <c r="M12" i="73" s="1"/>
  <c r="P13" i="95"/>
  <c r="M13" i="73" s="1"/>
  <c r="P6" i="95"/>
  <c r="M6" i="73" s="1"/>
  <c r="P14" i="95"/>
  <c r="Q14" i="95" s="1"/>
  <c r="P10" i="95"/>
  <c r="Q10" i="95" s="1"/>
  <c r="BM9" i="86"/>
  <c r="BN9" i="86" s="1"/>
  <c r="BM8" i="86"/>
  <c r="BN8" i="86" s="1"/>
  <c r="BT5" i="86"/>
  <c r="AM5" i="73" s="1"/>
  <c r="AD14" i="95"/>
  <c r="AE14" i="95" s="1"/>
  <c r="AD9" i="95"/>
  <c r="AE9" i="95" s="1"/>
  <c r="BM12" i="86"/>
  <c r="AL12" i="73" s="1"/>
  <c r="BM6" i="86"/>
  <c r="AL6" i="73" s="1"/>
  <c r="BM15" i="86"/>
  <c r="BN15" i="86" s="1"/>
  <c r="AY8" i="95"/>
  <c r="AZ8" i="95" s="1"/>
  <c r="AK8" i="95"/>
  <c r="P8" i="73" s="1"/>
  <c r="AY9" i="95"/>
  <c r="AZ9" i="95" s="1"/>
  <c r="AK11" i="95"/>
  <c r="P11" i="73" s="1"/>
  <c r="AK9" i="95"/>
  <c r="P9" i="73" s="1"/>
  <c r="AK13" i="95"/>
  <c r="AK14" i="95"/>
  <c r="P14" i="73" s="1"/>
  <c r="AK15" i="95"/>
  <c r="P15" i="73" s="1"/>
  <c r="AK5" i="95"/>
  <c r="P5" i="73" s="1"/>
  <c r="AY10" i="95"/>
  <c r="BM11" i="86"/>
  <c r="AL11" i="73" s="1"/>
  <c r="AY14" i="95"/>
  <c r="AY13" i="95"/>
  <c r="AY12" i="95"/>
  <c r="T12" i="73" s="1"/>
  <c r="BM13" i="86"/>
  <c r="BN13" i="86" s="1"/>
  <c r="AY14" i="86"/>
  <c r="AJ14" i="73" s="1"/>
  <c r="BM14" i="86"/>
  <c r="AL14" i="73" s="1"/>
  <c r="BM10" i="86"/>
  <c r="BN10" i="86" s="1"/>
  <c r="BM7" i="86"/>
  <c r="BN7" i="86" s="1"/>
  <c r="AY5" i="95"/>
  <c r="AY15" i="95"/>
  <c r="T15" i="73" s="1"/>
  <c r="K17" i="88"/>
  <c r="AR17" i="73" s="1"/>
  <c r="P6" i="73"/>
  <c r="AL6" i="95"/>
  <c r="AK12" i="95"/>
  <c r="AK7" i="95"/>
  <c r="AK10" i="95"/>
  <c r="BN6" i="95"/>
  <c r="V6" i="73"/>
  <c r="J12" i="95"/>
  <c r="L12" i="73"/>
  <c r="AR9" i="95"/>
  <c r="AR14" i="95"/>
  <c r="AR5" i="95"/>
  <c r="AR11" i="95"/>
  <c r="AR12" i="95"/>
  <c r="AR10" i="95"/>
  <c r="AR8" i="95"/>
  <c r="AR13" i="95"/>
  <c r="AR7" i="95"/>
  <c r="AR15" i="95"/>
  <c r="AR6" i="95"/>
  <c r="BT10" i="86"/>
  <c r="AM10" i="73" s="1"/>
  <c r="BU5" i="95"/>
  <c r="W5" i="73"/>
  <c r="U11" i="73"/>
  <c r="BG11" i="95"/>
  <c r="BU10" i="95"/>
  <c r="W10" i="73"/>
  <c r="W10" i="86"/>
  <c r="AD10" i="73" s="1"/>
  <c r="AY15" i="86"/>
  <c r="AJ15" i="73" s="1"/>
  <c r="AY12" i="86"/>
  <c r="AZ12" i="86" s="1"/>
  <c r="AY10" i="86"/>
  <c r="AJ10" i="73" s="1"/>
  <c r="AY13" i="86"/>
  <c r="AZ13" i="86" s="1"/>
  <c r="AY8" i="86"/>
  <c r="AZ8" i="86" s="1"/>
  <c r="AY6" i="86"/>
  <c r="AZ6" i="86" s="1"/>
  <c r="AY5" i="86"/>
  <c r="AZ5" i="86" s="1"/>
  <c r="AY9" i="86"/>
  <c r="AJ9" i="73" s="1"/>
  <c r="W6" i="86"/>
  <c r="X6" i="86" s="1"/>
  <c r="W14" i="86"/>
  <c r="X14" i="86" s="1"/>
  <c r="W12" i="86"/>
  <c r="X12" i="86" s="1"/>
  <c r="BN5" i="86"/>
  <c r="AL5" i="73"/>
  <c r="P12" i="86"/>
  <c r="Q12" i="86" s="1"/>
  <c r="P6" i="86"/>
  <c r="Q6" i="86" s="1"/>
  <c r="P14" i="86"/>
  <c r="AC14" i="73" s="1"/>
  <c r="W7" i="86"/>
  <c r="AD7" i="73" s="1"/>
  <c r="P10" i="86"/>
  <c r="AC10" i="73" s="1"/>
  <c r="BF13" i="86"/>
  <c r="BF15" i="86"/>
  <c r="BF9" i="86"/>
  <c r="BF14" i="86"/>
  <c r="BF8" i="86"/>
  <c r="BF11" i="86"/>
  <c r="BF6" i="86"/>
  <c r="BF12" i="86"/>
  <c r="BF10" i="86"/>
  <c r="AT3" i="86"/>
  <c r="AU3" i="86" s="1"/>
  <c r="AV3" i="86" s="1"/>
  <c r="AW3" i="86" s="1"/>
  <c r="AX3" i="86" s="1"/>
  <c r="AY3" i="86" s="1"/>
  <c r="AZ3" i="86" s="1"/>
  <c r="AK15" i="86"/>
  <c r="AL15" i="86" s="1"/>
  <c r="AK5" i="86"/>
  <c r="AL5" i="86" s="1"/>
  <c r="AR13" i="86"/>
  <c r="AR15" i="86"/>
  <c r="AR14" i="86"/>
  <c r="AR12" i="86"/>
  <c r="AR7" i="86"/>
  <c r="AR8" i="86"/>
  <c r="AR11" i="86"/>
  <c r="AR9" i="86"/>
  <c r="AR6" i="86"/>
  <c r="AR10" i="86"/>
  <c r="AK8" i="86"/>
  <c r="AF8" i="73" s="1"/>
  <c r="AK14" i="86"/>
  <c r="AL14" i="86" s="1"/>
  <c r="AK11" i="86"/>
  <c r="AF11" i="73" s="1"/>
  <c r="AK6" i="86"/>
  <c r="AF6" i="73" s="1"/>
  <c r="AK10" i="86"/>
  <c r="AL10" i="86" s="1"/>
  <c r="AK7" i="86"/>
  <c r="AL7" i="86" s="1"/>
  <c r="AK9" i="86"/>
  <c r="AF9" i="73" s="1"/>
  <c r="AK13" i="86"/>
  <c r="AF13" i="73" s="1"/>
  <c r="AK12" i="86"/>
  <c r="AL12" i="86" s="1"/>
  <c r="W9" i="86"/>
  <c r="X9" i="86" s="1"/>
  <c r="W13" i="86"/>
  <c r="AD13" i="73" s="1"/>
  <c r="P7" i="86"/>
  <c r="P13" i="86"/>
  <c r="W8" i="86"/>
  <c r="X8" i="86" s="1"/>
  <c r="AD9" i="86"/>
  <c r="AE9" i="86" s="1"/>
  <c r="AD14" i="86"/>
  <c r="AE14" i="86" s="1"/>
  <c r="I6" i="86"/>
  <c r="J6" i="86" s="1"/>
  <c r="I13" i="86"/>
  <c r="I15" i="86"/>
  <c r="I9" i="86"/>
  <c r="I14" i="86"/>
  <c r="I10" i="86"/>
  <c r="I8" i="86"/>
  <c r="I7" i="86"/>
  <c r="I12" i="86"/>
  <c r="I11" i="86"/>
  <c r="J6" i="73"/>
  <c r="J5" i="73"/>
  <c r="J8" i="73"/>
  <c r="AN9" i="73" l="1"/>
  <c r="CB9" i="86"/>
  <c r="AN11" i="73"/>
  <c r="CB11" i="86"/>
  <c r="X9" i="73"/>
  <c r="CB9" i="95"/>
  <c r="X11" i="73"/>
  <c r="CB11" i="95"/>
  <c r="V7" i="73"/>
  <c r="AZ11" i="95"/>
  <c r="Q15" i="86"/>
  <c r="AN15" i="73"/>
  <c r="CB15" i="86"/>
  <c r="AN6" i="73"/>
  <c r="CB6" i="86"/>
  <c r="AZ11" i="86"/>
  <c r="AN13" i="73"/>
  <c r="CB13" i="86"/>
  <c r="AK7" i="73"/>
  <c r="BG7" i="86"/>
  <c r="AJ7" i="73"/>
  <c r="AZ7" i="86"/>
  <c r="AM11" i="73"/>
  <c r="BU11" i="86"/>
  <c r="AE10" i="73"/>
  <c r="AE10" i="86"/>
  <c r="AC9" i="73"/>
  <c r="Q9" i="86"/>
  <c r="AC11" i="73"/>
  <c r="Q11" i="86"/>
  <c r="AE6" i="73"/>
  <c r="AE6" i="86"/>
  <c r="AC8" i="73"/>
  <c r="Q8" i="86"/>
  <c r="AE12" i="73"/>
  <c r="AE12" i="86"/>
  <c r="AE7" i="73"/>
  <c r="AE7" i="86"/>
  <c r="AE8" i="73"/>
  <c r="AE8" i="86"/>
  <c r="X14" i="95"/>
  <c r="X15" i="73"/>
  <c r="CB15" i="95"/>
  <c r="X13" i="73"/>
  <c r="CB13" i="95"/>
  <c r="X6" i="73"/>
  <c r="CB6" i="95"/>
  <c r="BG8" i="95"/>
  <c r="T7" i="73"/>
  <c r="AZ7" i="95"/>
  <c r="U7" i="73"/>
  <c r="BG7" i="95"/>
  <c r="O8" i="73"/>
  <c r="AE8" i="95"/>
  <c r="O10" i="73"/>
  <c r="AE10" i="95"/>
  <c r="M9" i="73"/>
  <c r="Q9" i="95"/>
  <c r="M8" i="73"/>
  <c r="Q8" i="95"/>
  <c r="M11" i="73"/>
  <c r="Q11" i="95"/>
  <c r="O7" i="73"/>
  <c r="AE7" i="95"/>
  <c r="O6" i="73"/>
  <c r="AE6" i="95"/>
  <c r="N11" i="73"/>
  <c r="X11" i="95"/>
  <c r="O12" i="73"/>
  <c r="AE12" i="95"/>
  <c r="V9" i="73"/>
  <c r="BN13" i="95"/>
  <c r="BG6" i="95"/>
  <c r="J10" i="95"/>
  <c r="AL8" i="73"/>
  <c r="BG14" i="95"/>
  <c r="U12" i="73"/>
  <c r="V8" i="73"/>
  <c r="BG9" i="95"/>
  <c r="BG10" i="95"/>
  <c r="V14" i="73"/>
  <c r="BN15" i="95"/>
  <c r="V10" i="73"/>
  <c r="V12" i="73"/>
  <c r="U5" i="73"/>
  <c r="BG15" i="95"/>
  <c r="BG13" i="95"/>
  <c r="BN11" i="95"/>
  <c r="V5" i="73"/>
  <c r="L7" i="73"/>
  <c r="AZ6" i="95"/>
  <c r="J13" i="95"/>
  <c r="L15" i="73"/>
  <c r="L14" i="73"/>
  <c r="N6" i="73"/>
  <c r="L5" i="73"/>
  <c r="J8" i="95"/>
  <c r="J6" i="95"/>
  <c r="L11" i="73"/>
  <c r="J9" i="95"/>
  <c r="X9" i="95"/>
  <c r="X13" i="95"/>
  <c r="N10" i="73"/>
  <c r="AD5" i="73"/>
  <c r="AD15" i="73"/>
  <c r="X15" i="86"/>
  <c r="AE15" i="73"/>
  <c r="AE15" i="86"/>
  <c r="N15" i="73"/>
  <c r="X15" i="95"/>
  <c r="O15" i="73"/>
  <c r="AE15" i="95"/>
  <c r="M15" i="73"/>
  <c r="Q15" i="95"/>
  <c r="Q7" i="95"/>
  <c r="X7" i="95"/>
  <c r="X12" i="95"/>
  <c r="N8" i="73"/>
  <c r="O14" i="73"/>
  <c r="Q6" i="95"/>
  <c r="M10" i="73"/>
  <c r="AL9" i="73"/>
  <c r="Q13" i="95"/>
  <c r="O9" i="73"/>
  <c r="X5" i="95"/>
  <c r="Q12" i="95"/>
  <c r="M14" i="73"/>
  <c r="AL15" i="73"/>
  <c r="BU5" i="86"/>
  <c r="AL7" i="73"/>
  <c r="T9" i="73"/>
  <c r="BN12" i="86"/>
  <c r="BN6" i="86"/>
  <c r="AZ14" i="86"/>
  <c r="AL5" i="95"/>
  <c r="BN14" i="86"/>
  <c r="AL14" i="95"/>
  <c r="T8" i="73"/>
  <c r="BN11" i="86"/>
  <c r="AL8" i="95"/>
  <c r="AZ12" i="95"/>
  <c r="AL15" i="95"/>
  <c r="AL9" i="95"/>
  <c r="AL11" i="95"/>
  <c r="D52" i="94"/>
  <c r="BU17" i="95"/>
  <c r="W17" i="73" s="1"/>
  <c r="AL13" i="95"/>
  <c r="P13" i="73"/>
  <c r="AL10" i="73"/>
  <c r="T14" i="73"/>
  <c r="AZ14" i="95"/>
  <c r="AL13" i="73"/>
  <c r="T5" i="73"/>
  <c r="AZ5" i="95"/>
  <c r="T10" i="73"/>
  <c r="AZ10" i="95"/>
  <c r="AZ15" i="95"/>
  <c r="T13" i="73"/>
  <c r="AZ13" i="95"/>
  <c r="AZ9" i="86"/>
  <c r="BU10" i="86"/>
  <c r="P10" i="73"/>
  <c r="AL10" i="95"/>
  <c r="AL7" i="95"/>
  <c r="P7" i="73"/>
  <c r="P12" i="73"/>
  <c r="AL12" i="95"/>
  <c r="S6" i="73"/>
  <c r="AS6" i="95"/>
  <c r="S12" i="73"/>
  <c r="AS12" i="95"/>
  <c r="S5" i="73"/>
  <c r="AS5" i="95"/>
  <c r="AS15" i="95"/>
  <c r="S15" i="73"/>
  <c r="S14" i="73"/>
  <c r="AS14" i="95"/>
  <c r="AS7" i="95"/>
  <c r="S7" i="73"/>
  <c r="AS10" i="95"/>
  <c r="S10" i="73"/>
  <c r="S8" i="73"/>
  <c r="AS8" i="95"/>
  <c r="S13" i="73"/>
  <c r="AS13" i="95"/>
  <c r="S11" i="73"/>
  <c r="AS11" i="95"/>
  <c r="S9" i="73"/>
  <c r="AS9" i="95"/>
  <c r="X10" i="86"/>
  <c r="AF14" i="73"/>
  <c r="AJ12" i="73"/>
  <c r="AJ6" i="73"/>
  <c r="AJ13" i="73"/>
  <c r="AD9" i="73"/>
  <c r="AF15" i="73"/>
  <c r="Q14" i="86"/>
  <c r="AD12" i="73"/>
  <c r="AD14" i="73"/>
  <c r="AJ8" i="73"/>
  <c r="AD6" i="73"/>
  <c r="X7" i="86"/>
  <c r="AJ5" i="73"/>
  <c r="AZ10" i="86"/>
  <c r="AZ15" i="86"/>
  <c r="AC12" i="73"/>
  <c r="AL11" i="86"/>
  <c r="BG6" i="86"/>
  <c r="AK6" i="73"/>
  <c r="BG12" i="86"/>
  <c r="AK12" i="73"/>
  <c r="BG8" i="86"/>
  <c r="AK8" i="73"/>
  <c r="BG15" i="86"/>
  <c r="AK15" i="73"/>
  <c r="BG13" i="86"/>
  <c r="AK13" i="73"/>
  <c r="BG5" i="86"/>
  <c r="AK5" i="73"/>
  <c r="BG9" i="86"/>
  <c r="AK9" i="73"/>
  <c r="BG10" i="86"/>
  <c r="AK10" i="73"/>
  <c r="BG11" i="86"/>
  <c r="AK11" i="73"/>
  <c r="BG14" i="86"/>
  <c r="AK14" i="73"/>
  <c r="AL8" i="86"/>
  <c r="AC6" i="73"/>
  <c r="Q10" i="86"/>
  <c r="BA3" i="86"/>
  <c r="BB3" i="86" s="1"/>
  <c r="BC3" i="86" s="1"/>
  <c r="BD3" i="86" s="1"/>
  <c r="BE3" i="86" s="1"/>
  <c r="BF3" i="86" s="1"/>
  <c r="BG3" i="86" s="1"/>
  <c r="AS7" i="86"/>
  <c r="AI7" i="73"/>
  <c r="AS9" i="86"/>
  <c r="AI9" i="73"/>
  <c r="AS8" i="86"/>
  <c r="AI8" i="73"/>
  <c r="AS6" i="86"/>
  <c r="AI6" i="73"/>
  <c r="AS13" i="86"/>
  <c r="AI13" i="73"/>
  <c r="AS11" i="86"/>
  <c r="AI11" i="73"/>
  <c r="AS14" i="86"/>
  <c r="AI14" i="73"/>
  <c r="AS10" i="86"/>
  <c r="AI10" i="73"/>
  <c r="AS5" i="86"/>
  <c r="AI5" i="73"/>
  <c r="AS12" i="86"/>
  <c r="AI12" i="73"/>
  <c r="AS15" i="86"/>
  <c r="AI15" i="73"/>
  <c r="AF7" i="73"/>
  <c r="AL6" i="86"/>
  <c r="AL9" i="86"/>
  <c r="AF10" i="73"/>
  <c r="AL13" i="86"/>
  <c r="AF12" i="73"/>
  <c r="AF5" i="73"/>
  <c r="AD8" i="73"/>
  <c r="X13" i="86"/>
  <c r="Q13" i="86"/>
  <c r="AC13" i="73"/>
  <c r="AC7" i="73"/>
  <c r="Q7" i="86"/>
  <c r="AE14" i="73"/>
  <c r="AE9" i="73"/>
  <c r="J9" i="86"/>
  <c r="AB9" i="73"/>
  <c r="J13" i="86"/>
  <c r="AB13" i="73"/>
  <c r="J8" i="86"/>
  <c r="AB8" i="73"/>
  <c r="J11" i="86"/>
  <c r="AB11" i="73"/>
  <c r="J5" i="86"/>
  <c r="AB5" i="73"/>
  <c r="J10" i="86"/>
  <c r="AB10" i="73"/>
  <c r="AB6" i="73"/>
  <c r="E22" i="73" s="1"/>
  <c r="J12" i="86"/>
  <c r="AB12" i="73"/>
  <c r="J7" i="86"/>
  <c r="AB7" i="73"/>
  <c r="J14" i="86"/>
  <c r="AB14" i="73"/>
  <c r="J15" i="86"/>
  <c r="AB15" i="73"/>
  <c r="BN17" i="95" l="1"/>
  <c r="V17" i="73" s="1"/>
  <c r="D50" i="94"/>
  <c r="E50" i="94" s="1"/>
  <c r="D33" i="94"/>
  <c r="D49" i="94"/>
  <c r="E49" i="94" s="1"/>
  <c r="D32" i="94"/>
  <c r="E32" i="94" s="1"/>
  <c r="D21" i="94"/>
  <c r="E21" i="94" s="1"/>
  <c r="D34" i="94"/>
  <c r="E34" i="94" s="1"/>
  <c r="D51" i="94"/>
  <c r="E51" i="94" s="1"/>
  <c r="E52" i="94"/>
  <c r="BG17" i="95"/>
  <c r="U17" i="73" s="1"/>
  <c r="D20" i="94"/>
  <c r="J17" i="95"/>
  <c r="L17" i="73" s="1"/>
  <c r="D19" i="94"/>
  <c r="CB17" i="95"/>
  <c r="X17" i="73" s="1"/>
  <c r="Q17" i="95"/>
  <c r="M17" i="73" s="1"/>
  <c r="X17" i="95"/>
  <c r="N17" i="73" s="1"/>
  <c r="BU17" i="86"/>
  <c r="AM17" i="73" s="1"/>
  <c r="CB17" i="86"/>
  <c r="AN17" i="73" s="1"/>
  <c r="AE17" i="95"/>
  <c r="O17" i="73" s="1"/>
  <c r="BN17" i="86"/>
  <c r="AL17" i="73" s="1"/>
  <c r="AZ17" i="95"/>
  <c r="T17" i="73" s="1"/>
  <c r="AL17" i="95"/>
  <c r="P17" i="73" s="1"/>
  <c r="D48" i="94"/>
  <c r="BG17" i="86"/>
  <c r="AK17" i="73" s="1"/>
  <c r="AS17" i="95"/>
  <c r="D35" i="94"/>
  <c r="D22" i="94"/>
  <c r="D31" i="94"/>
  <c r="D18" i="94"/>
  <c r="AZ17" i="86"/>
  <c r="AJ17" i="73" s="1"/>
  <c r="BH3" i="86"/>
  <c r="BI3" i="86" s="1"/>
  <c r="BJ3" i="86" s="1"/>
  <c r="BK3" i="86" s="1"/>
  <c r="BL3" i="86" s="1"/>
  <c r="BM3" i="86" s="1"/>
  <c r="BN3" i="86" s="1"/>
  <c r="AS17" i="86"/>
  <c r="AI17" i="73" s="1"/>
  <c r="X17" i="86"/>
  <c r="AD17" i="73" s="1"/>
  <c r="J17" i="86"/>
  <c r="AB17" i="73" s="1"/>
  <c r="E33" i="94"/>
  <c r="Q11" i="73"/>
  <c r="Q15" i="73"/>
  <c r="Q8" i="73"/>
  <c r="Q6" i="73"/>
  <c r="Q14" i="73"/>
  <c r="Q13" i="73"/>
  <c r="Q9" i="73"/>
  <c r="Q12" i="73"/>
  <c r="Q7" i="73"/>
  <c r="AG5" i="73"/>
  <c r="AG15" i="73"/>
  <c r="AG10" i="73"/>
  <c r="AG6" i="73"/>
  <c r="AG9" i="73"/>
  <c r="AG14" i="73"/>
  <c r="AG12" i="73"/>
  <c r="AG13" i="73"/>
  <c r="AG8" i="73"/>
  <c r="AG11" i="73"/>
  <c r="AG7" i="73"/>
  <c r="E48" i="94" l="1"/>
  <c r="E19" i="94"/>
  <c r="E20" i="94"/>
  <c r="BS3" i="86"/>
  <c r="BT3" i="86" s="1"/>
  <c r="BU3" i="86" s="1"/>
  <c r="BO3" i="86"/>
  <c r="BP3" i="86" s="1"/>
  <c r="BQ3" i="86" s="1"/>
  <c r="BR3" i="86" s="1"/>
  <c r="AP5" i="73"/>
  <c r="AL17" i="86"/>
  <c r="AF17" i="73" s="1"/>
  <c r="AE17" i="86"/>
  <c r="AE17" i="73" s="1"/>
  <c r="Q17" i="86"/>
  <c r="AC17" i="73" s="1"/>
  <c r="AP9" i="73"/>
  <c r="AR5" i="73"/>
  <c r="Z6" i="73"/>
  <c r="AP12" i="73"/>
  <c r="AP10" i="73"/>
  <c r="AP7" i="73"/>
  <c r="E37" i="94"/>
  <c r="Q10" i="73"/>
  <c r="E22" i="94"/>
  <c r="E35" i="94"/>
  <c r="E18" i="94"/>
  <c r="AP15" i="73"/>
  <c r="AP11" i="73"/>
  <c r="Z9" i="73"/>
  <c r="AP13" i="73"/>
  <c r="AP6" i="73"/>
  <c r="Q5" i="73"/>
  <c r="Z14" i="73"/>
  <c r="Z11" i="73"/>
  <c r="Z8" i="73"/>
  <c r="AP8" i="73"/>
  <c r="AP14" i="73"/>
  <c r="Z7" i="73"/>
  <c r="Z12" i="73"/>
  <c r="Z13" i="73"/>
  <c r="Z15" i="73"/>
  <c r="C10" i="94" l="1"/>
  <c r="BV3" i="86"/>
  <c r="BW3" i="86" s="1"/>
  <c r="BX3" i="86" s="1"/>
  <c r="BY3" i="86" s="1"/>
  <c r="BZ3" i="86" s="1"/>
  <c r="CA3" i="86" s="1"/>
  <c r="CB3" i="86" s="1"/>
  <c r="CC3" i="86" s="1"/>
  <c r="CD3" i="86" s="1"/>
  <c r="CE3" i="86" s="1"/>
  <c r="Z10" i="73"/>
  <c r="AV10" i="73" s="1"/>
  <c r="AW10" i="73" s="1"/>
  <c r="D36" i="94"/>
  <c r="AV11" i="73"/>
  <c r="AW11" i="73" s="1"/>
  <c r="AP17" i="73"/>
  <c r="AV9" i="73"/>
  <c r="C9" i="78" s="1"/>
  <c r="D9" i="78" s="1"/>
  <c r="AV6" i="73"/>
  <c r="AW6" i="73" s="1"/>
  <c r="AV7" i="73"/>
  <c r="C7" i="78" s="1"/>
  <c r="D7" i="78" s="1"/>
  <c r="AV14" i="73"/>
  <c r="AW14" i="73" s="1"/>
  <c r="AV12" i="73"/>
  <c r="C12" i="78" s="1"/>
  <c r="D12" i="78" s="1"/>
  <c r="D47" i="94"/>
  <c r="D54" i="94"/>
  <c r="D30" i="94"/>
  <c r="E31" i="94"/>
  <c r="Z5" i="73"/>
  <c r="AV5" i="73" s="1"/>
  <c r="AV15" i="73"/>
  <c r="AW15" i="73" s="1"/>
  <c r="AV8" i="73"/>
  <c r="AW8" i="73" s="1"/>
  <c r="AV13" i="73"/>
  <c r="Z17" i="73"/>
  <c r="E36" i="94" l="1"/>
  <c r="E40" i="94" s="1"/>
  <c r="C5" i="78"/>
  <c r="D5" i="78" s="1"/>
  <c r="AW5" i="73"/>
  <c r="C11" i="78"/>
  <c r="D11" i="78" s="1"/>
  <c r="D40" i="94"/>
  <c r="AW12" i="73"/>
  <c r="C10" i="78"/>
  <c r="AW9" i="73"/>
  <c r="AW7" i="73"/>
  <c r="C14" i="78"/>
  <c r="D14" i="78" s="1"/>
  <c r="C6" i="78"/>
  <c r="D6" i="78" s="1"/>
  <c r="C8" i="78"/>
  <c r="D8" i="78" s="1"/>
  <c r="AV17" i="73"/>
  <c r="C17" i="78" s="1"/>
  <c r="D17" i="78" s="1"/>
  <c r="E47" i="94"/>
  <c r="E54" i="94"/>
  <c r="C15" i="78"/>
  <c r="D15" i="78" s="1"/>
  <c r="E30" i="94"/>
  <c r="C8" i="94"/>
  <c r="AW13" i="73"/>
  <c r="C13" i="78"/>
  <c r="D13" i="78" s="1"/>
  <c r="C9" i="94" l="1"/>
  <c r="D10" i="78"/>
  <c r="C7" i="94" s="1"/>
  <c r="F53" i="94"/>
  <c r="F49" i="94"/>
  <c r="F38" i="94"/>
  <c r="F35" i="94"/>
  <c r="F31" i="94"/>
  <c r="F19" i="94"/>
  <c r="F50" i="94"/>
  <c r="F36" i="94"/>
  <c r="F20" i="94"/>
  <c r="F51" i="94"/>
  <c r="F39" i="94"/>
  <c r="F37" i="94"/>
  <c r="F33" i="94"/>
  <c r="F21" i="94"/>
  <c r="F52" i="94"/>
  <c r="F48" i="94"/>
  <c r="G34" i="94"/>
  <c r="F22" i="94"/>
  <c r="F18" i="94"/>
  <c r="F32" i="94"/>
  <c r="AW17" i="73"/>
  <c r="H52" i="94" l="1"/>
  <c r="H50" i="94"/>
  <c r="H38" i="94"/>
  <c r="H22" i="94"/>
  <c r="H21" i="94"/>
  <c r="H51" i="94"/>
  <c r="H19" i="94"/>
  <c r="H49" i="94"/>
  <c r="H18" i="94"/>
  <c r="H39" i="94"/>
  <c r="F34" i="94"/>
  <c r="H33" i="94" s="1"/>
  <c r="H20" i="94"/>
  <c r="H53" i="94"/>
  <c r="H48" i="94"/>
  <c r="H37" i="94"/>
  <c r="H36" i="94"/>
  <c r="F54" i="94"/>
  <c r="F47" i="94"/>
  <c r="F40" i="94" l="1"/>
  <c r="H35" i="94"/>
  <c r="F30" i="94"/>
  <c r="H54" i="94"/>
  <c r="H32" i="94"/>
  <c r="D9" i="94"/>
  <c r="D12" i="94"/>
  <c r="H47" i="94"/>
  <c r="H31" i="94"/>
  <c r="H34" i="94"/>
  <c r="D10" i="94"/>
  <c r="D11" i="94"/>
  <c r="H40" i="94" l="1"/>
  <c r="D8" i="94"/>
  <c r="H30" i="94"/>
  <c r="F34" i="44"/>
  <c r="E21" i="44"/>
  <c r="E34" i="44"/>
  <c r="H21" i="44"/>
  <c r="F54" i="44"/>
  <c r="H34" i="44" l="1"/>
  <c r="E34" i="1" l="1"/>
  <c r="C47" i="44" l="1"/>
  <c r="C40" i="44"/>
  <c r="C54" i="44"/>
  <c r="C30" i="44"/>
  <c r="H33" i="44" s="1"/>
  <c r="H35" i="44" l="1"/>
  <c r="H31" i="44"/>
  <c r="H32" i="44"/>
  <c r="C40" i="1" l="1"/>
  <c r="C47" i="1"/>
  <c r="E53" i="44"/>
  <c r="E52" i="44"/>
  <c r="E51" i="44"/>
  <c r="E49" i="44"/>
  <c r="E50" i="44"/>
  <c r="C30" i="1"/>
  <c r="C54" i="1"/>
  <c r="E36" i="44" l="1"/>
  <c r="C9" i="44" s="1"/>
  <c r="E48" i="44"/>
  <c r="D54" i="44"/>
  <c r="D47" i="44"/>
  <c r="E39" i="44"/>
  <c r="C12" i="44" s="1"/>
  <c r="E38" i="44"/>
  <c r="C11" i="44" s="1"/>
  <c r="E39" i="1"/>
  <c r="C12" i="1" s="1"/>
  <c r="E38" i="1"/>
  <c r="C11" i="1" s="1"/>
  <c r="C69" i="44" l="1"/>
  <c r="E54" i="44"/>
  <c r="E47" i="44"/>
  <c r="C69" i="1"/>
  <c r="E18" i="44" l="1"/>
  <c r="E21" i="1" l="1"/>
  <c r="E35" i="44"/>
  <c r="E22" i="44"/>
  <c r="E33" i="44"/>
  <c r="E20" i="44"/>
  <c r="E19" i="44"/>
  <c r="E32" i="44"/>
  <c r="E19" i="1"/>
  <c r="E31" i="44"/>
  <c r="E37" i="44" l="1"/>
  <c r="C10" i="44" s="1"/>
  <c r="C8" i="44"/>
  <c r="D40" i="44"/>
  <c r="D30" i="44"/>
  <c r="E30" i="44"/>
  <c r="E32" i="1"/>
  <c r="E40" i="44" l="1"/>
  <c r="E49" i="1"/>
  <c r="E48" i="1"/>
  <c r="E50" i="1"/>
  <c r="E52" i="1" l="1"/>
  <c r="E53" i="1"/>
  <c r="E33" i="1"/>
  <c r="E20" i="1"/>
  <c r="E35" i="1"/>
  <c r="E22" i="1"/>
  <c r="E36" i="1"/>
  <c r="C9" i="1" s="1"/>
  <c r="F34" i="1" l="1"/>
  <c r="H50" i="1"/>
  <c r="H21" i="1"/>
  <c r="E18" i="1"/>
  <c r="D40" i="1"/>
  <c r="H53" i="44"/>
  <c r="H50" i="44"/>
  <c r="H39" i="44"/>
  <c r="D12" i="44" s="1"/>
  <c r="H37" i="44"/>
  <c r="D10" i="44" s="1"/>
  <c r="H19" i="44"/>
  <c r="H38" i="44"/>
  <c r="D11" i="44" s="1"/>
  <c r="H22" i="44"/>
  <c r="H36" i="44"/>
  <c r="D9" i="44" s="1"/>
  <c r="H51" i="44"/>
  <c r="H20" i="44"/>
  <c r="H52" i="44"/>
  <c r="H49" i="44"/>
  <c r="H18" i="44"/>
  <c r="E51" i="1"/>
  <c r="F30" i="1" l="1"/>
  <c r="H34" i="1"/>
  <c r="H31" i="1"/>
  <c r="H33" i="1"/>
  <c r="H35" i="1"/>
  <c r="H32" i="1"/>
  <c r="D8" i="44"/>
  <c r="F40" i="44"/>
  <c r="F30" i="44"/>
  <c r="F47" i="44"/>
  <c r="E31" i="1"/>
  <c r="C8" i="1" s="1"/>
  <c r="D30" i="1"/>
  <c r="D54" i="1"/>
  <c r="D47" i="1"/>
  <c r="E37" i="1"/>
  <c r="C10" i="1" s="1"/>
  <c r="H51" i="1" l="1"/>
  <c r="H52" i="1"/>
  <c r="H53" i="1"/>
  <c r="H40" i="44"/>
  <c r="H30" i="44"/>
  <c r="H54" i="44"/>
  <c r="H47" i="44"/>
  <c r="H19" i="1"/>
  <c r="H20" i="1"/>
  <c r="H49" i="1"/>
  <c r="H18" i="1"/>
  <c r="H37" i="1"/>
  <c r="D10" i="1" s="1"/>
  <c r="H22" i="1"/>
  <c r="H36" i="1"/>
  <c r="E30" i="1"/>
  <c r="E40" i="1"/>
  <c r="E54" i="1"/>
  <c r="E47" i="1"/>
  <c r="D9" i="1" l="1"/>
  <c r="H38" i="1"/>
  <c r="D11" i="1" s="1"/>
  <c r="H39" i="1"/>
  <c r="D12" i="1" s="1"/>
  <c r="D8" i="1"/>
  <c r="F54" i="1"/>
  <c r="H48" i="1"/>
  <c r="F40" i="1"/>
  <c r="H30" i="1"/>
  <c r="F47" i="1"/>
  <c r="H40" i="1" l="1"/>
  <c r="H54" i="1"/>
  <c r="H47" i="1"/>
</calcChain>
</file>

<file path=xl/sharedStrings.xml><?xml version="1.0" encoding="utf-8"?>
<sst xmlns="http://schemas.openxmlformats.org/spreadsheetml/2006/main" count="1138" uniqueCount="402">
  <si>
    <t>OSLO</t>
  </si>
  <si>
    <t>Kommune</t>
  </si>
  <si>
    <t>K.nr.</t>
  </si>
  <si>
    <t>Landet</t>
  </si>
  <si>
    <t>Administrasjon</t>
  </si>
  <si>
    <t>Hovedkostnadsnøkkel</t>
  </si>
  <si>
    <t>Netto driftsutgifter, premieavvik, konsern</t>
  </si>
  <si>
    <t>Sum avskrivninger, konsern</t>
  </si>
  <si>
    <t>Avskrivninger, premieavvik, konsern</t>
  </si>
  <si>
    <t>Private statlige skoler (1000 kr)</t>
  </si>
  <si>
    <t>Delområde</t>
  </si>
  <si>
    <t>(1000 kroner)</t>
  </si>
  <si>
    <t>(per innbygger)</t>
  </si>
  <si>
    <t>Nto driftsutg eks avskr, premieavvik, konsern</t>
  </si>
  <si>
    <t>Nto driftsutg eks avskr, fellesutgifter, konsern</t>
  </si>
  <si>
    <t>Nto driftsutg eks avskr, næring, konsern</t>
  </si>
  <si>
    <t>Nto driftsutg eks avskr, tjenester utenf ordinært komm ansvarsområde, konsern</t>
  </si>
  <si>
    <t>Korreksjon statlige private skoler, kr per innbygger</t>
  </si>
  <si>
    <t>Sum</t>
  </si>
  <si>
    <t>Netto finans og avdrag, konsern</t>
  </si>
  <si>
    <t>Netto driftsresultat, konsern</t>
  </si>
  <si>
    <t>Sum inntekt, konsern</t>
  </si>
  <si>
    <t>Inntektsgrunnlag korrigert, andel av landssnitt</t>
  </si>
  <si>
    <t>Tjenester utenfor inntektssystemet</t>
  </si>
  <si>
    <t>Netto finans og avdrag</t>
  </si>
  <si>
    <t>Netto driftsresultat</t>
  </si>
  <si>
    <t>Sum                                       Nto driftsutg eks avskr, konsern + Netto finans og avdrag + Netto driftsresultat</t>
  </si>
  <si>
    <t>Premieavvik</t>
  </si>
  <si>
    <t>Nto driftsutg eks avskr, tjenester utenfor inntektssystemet, konsern</t>
  </si>
  <si>
    <t>Sum netto driftsutgifter, tjenester utenfor inntektssystemet, konsern</t>
  </si>
  <si>
    <t>Sum avskrivninger, tjenester utenfor inntektssystemet, konsern</t>
  </si>
  <si>
    <t>Sum innenfor inntektssystemet</t>
  </si>
  <si>
    <t>Sum øvrige</t>
  </si>
  <si>
    <t>Sum totalt</t>
  </si>
  <si>
    <t>Netto driftsutgift ekskl. avskrivninger</t>
  </si>
  <si>
    <t>Ressursbruk sammenlignet med landsgjennomsnitt korrigert for utgiftsbehov, og landsgjennomsnitt korrigert for utgiftsbehov og inntektsnivå</t>
  </si>
  <si>
    <t>Tjenester utenfor inntektssystemet - spesifisert - Ressursbruk sammenlignet med landsgjennomsnitt, og landsgjennomsnitt korrigert for inntektsnivå</t>
  </si>
  <si>
    <t>Næring</t>
  </si>
  <si>
    <t>Interkommunalt samarbeid</t>
  </si>
  <si>
    <t>Tjenester utenfor ord. komm. ansvarsomr</t>
  </si>
  <si>
    <t>(kr per innb)</t>
  </si>
  <si>
    <t xml:space="preserve">Ressursbruk         </t>
  </si>
  <si>
    <t xml:space="preserve"> (kr per innb)</t>
  </si>
  <si>
    <t xml:space="preserve">Landsgjennomsnitt korrigert for utgiftsbehov og inntektsnivå </t>
  </si>
  <si>
    <t xml:space="preserve">Ressursbruk sammenlignet med landsgjennomsnitt korrigert for utgiftsbehov og inntektsnivå                     </t>
  </si>
  <si>
    <t xml:space="preserve">Landsgjennomsnitt                </t>
  </si>
  <si>
    <t xml:space="preserve">Ressursbruk sammenlignet med landsgjennomsnitt                     </t>
  </si>
  <si>
    <t xml:space="preserve">Landsgjennomsnitt korrigert for inntektsnivå </t>
  </si>
  <si>
    <t xml:space="preserve">Ressursbruk sammenlignet med landsgjennomsnitt korrigert for inntektsnivå                    </t>
  </si>
  <si>
    <t xml:space="preserve">Ressursbruk sammenlignet med landsgjennomsnitt korrigert for utgiftsbehov                     </t>
  </si>
  <si>
    <t xml:space="preserve">Ressursbruk i.f.t landsgjennomsnitt   </t>
  </si>
  <si>
    <t xml:space="preserve">Utgiftsbehov ift landsgjennnomsnitt       </t>
  </si>
  <si>
    <t>Tjenester innenfor inntektssystemet - ressursbruk sammenlignet ned landsgjennomsnitt korrigert for utgiftsbehov og inntektsnivå</t>
  </si>
  <si>
    <t>pst</t>
  </si>
  <si>
    <t xml:space="preserve"> pst</t>
  </si>
  <si>
    <t>pst poeng</t>
  </si>
  <si>
    <t xml:space="preserve">Utgiftsbehov korrigert for inntektsnivå </t>
  </si>
  <si>
    <t>Ressursbruk sammenlignet med utgiftsbehov</t>
  </si>
  <si>
    <t xml:space="preserve">Ressursbruk sammenlignet med utgiftsbehov korrigert for inntektsnivå                     </t>
  </si>
  <si>
    <t>Sum Lønnsgrunnlag, konsern</t>
  </si>
  <si>
    <t>Lønnsgrunnlag, premieavvik, konsern</t>
  </si>
  <si>
    <t>Lønnsgrunnlag, fellesutgifter, konsern</t>
  </si>
  <si>
    <t>Lønnsgrunnlag, næring, konsern</t>
  </si>
  <si>
    <t>Lønnsgrunnlag, interkommunale samarbeid (§ 27-samarbeid), konsern</t>
  </si>
  <si>
    <t>Lønnsgrunnlag, tjenester utenf ordinært komm ansvarsområde, konsern</t>
  </si>
  <si>
    <t>Sum arbeidsgiveravgift, konsern</t>
  </si>
  <si>
    <t>Arbeidsgiveravgift, premieavvik, konsern</t>
  </si>
  <si>
    <t>Arbeidsgiveravgift, fellesutgifter, konsern</t>
  </si>
  <si>
    <t>Arbeidsgiveravgift, næring, konsern</t>
  </si>
  <si>
    <t>Arbeidsgiveravgift, interkommunale samarbeid (§ 27-samarbeid), konsern</t>
  </si>
  <si>
    <t>Arbeidsgiveravgift, tjenester utenf ordinært komm ansvarsområde, konsern</t>
  </si>
  <si>
    <t>Sum lønnsgrunnlag, tjenester utenfor inntektssystemet, konsern</t>
  </si>
  <si>
    <t>Sum arbeidsgiveravgift, tjenester utenfor inntektssystemet, konsern</t>
  </si>
  <si>
    <t>Lønnsandel</t>
  </si>
  <si>
    <t>Sum utenfor inntektssystemet</t>
  </si>
  <si>
    <t>Arbeidsgiveravift av lønnsandel</t>
  </si>
  <si>
    <t>Totalt</t>
  </si>
  <si>
    <t>Tjenester utenfor inntektssystemet, konsern</t>
  </si>
  <si>
    <t>Fellesutgifter, konsern</t>
  </si>
  <si>
    <t>Næring, konsern</t>
  </si>
  <si>
    <t>Interkommunale samarbeid (§ 27-samarbeid), konsern</t>
  </si>
  <si>
    <t>Premieavvik, konsern</t>
  </si>
  <si>
    <t>Utgiftsbehovnøkler</t>
  </si>
  <si>
    <t>Korreksjon arb.avg, tjenester utenfor inntektssystemet, konsern</t>
  </si>
  <si>
    <t>Spesifikasjon tjenester utenfor inntektssystemet</t>
  </si>
  <si>
    <t>Korreksjon arb.avg  fellesutgifter, konsern</t>
  </si>
  <si>
    <t>Korreksjon arb.avg  næring, konsern</t>
  </si>
  <si>
    <t>Korreksjon arb.avg  interkommunale samarbeid (§ 27-samarbeid), konsern</t>
  </si>
  <si>
    <t>Korreksjon arb.avg  tjenester utenf ordinært komm ansvarsområde, konsern</t>
  </si>
  <si>
    <t>Inntektsgrunnlag korrigert, kroner per innbygger</t>
  </si>
  <si>
    <t>Sum korreksjon utgiftsbehov , kr per innbygger</t>
  </si>
  <si>
    <t>Sum korreksjon arb.avg, konsern</t>
  </si>
  <si>
    <t>Sum Pensjon, konsern</t>
  </si>
  <si>
    <t>Sum Pensjon, tjenester utenfor inntektssystemet, konsern</t>
  </si>
  <si>
    <t>Pensjon, fellesutgifter, konsern</t>
  </si>
  <si>
    <t>Pensjon, næring, konsern</t>
  </si>
  <si>
    <t>Pensjon, interkommunale samarbeid (§ 27-samarbeid), konsern</t>
  </si>
  <si>
    <t>Pensjon, tjenester utenf ordinært komm ansvarsområde, konsern</t>
  </si>
  <si>
    <t>Pensjon av lønnsandel</t>
  </si>
  <si>
    <t>Pensjon</t>
  </si>
  <si>
    <t>Korreksjon pensjon, tjenester utenfor inntektssystemet, konsern</t>
  </si>
  <si>
    <t>Korreksjon pensjon  næring, konsern</t>
  </si>
  <si>
    <t>Korreksjon pensjon  interkommunale samarbeid (§ 27-samarbeid), konsern</t>
  </si>
  <si>
    <t>Korreksjon pensjon  tjenester utenf ordinært komm ansvarsområde, konsern</t>
  </si>
  <si>
    <t>Sum korreksjon pensjon, konsern</t>
  </si>
  <si>
    <t>Sum korreksjon, konsern</t>
  </si>
  <si>
    <t>Pensjon, premieavvik, konsern</t>
  </si>
  <si>
    <t>Brutto driftsutgifter, premieavvik, konsern</t>
  </si>
  <si>
    <t>Sum brutto driftsutgifter, konsern</t>
  </si>
  <si>
    <t>Bto driftsutg eks avskr, tjenester utenfor inntektssystemet, konsern</t>
  </si>
  <si>
    <t>Bto driftsutg eks avskr, fellesutgifter, konsern</t>
  </si>
  <si>
    <t>Bto driftsutg eks avskr, næring, konsern</t>
  </si>
  <si>
    <t>Bto driftsutg eks avskr, interkommunale samarbeid (§ 27-samarbeid), konsern</t>
  </si>
  <si>
    <t>Bto driftsutg eks avskr, tjenester utenf ordinært komm ansvarsområde, konsern</t>
  </si>
  <si>
    <t>Bto driftsutg eks avskr, premieavvik, konsern</t>
  </si>
  <si>
    <t>Brutto driftsutgift per innb</t>
  </si>
  <si>
    <t>Netto driftsutgift per innb</t>
  </si>
  <si>
    <t>Lønnsutgiftsbehov pensjon</t>
  </si>
  <si>
    <t>Premieavvik av lønnsutgiftsbehov</t>
  </si>
  <si>
    <t>Korreksjon premieavvik per innb vektet</t>
  </si>
  <si>
    <t>Premieavvik netto driftsutgift</t>
  </si>
  <si>
    <t>Korreksjon av premieavvik</t>
  </si>
  <si>
    <t>Sum korreksjon nøkkel eiendom per innb</t>
  </si>
  <si>
    <t>Eiendom grunnskolenøkkel uvektet</t>
  </si>
  <si>
    <t>Eiendom grunnskole-nøkkel vektet</t>
  </si>
  <si>
    <t>Korr grunnskole.nøkkel eiendom per innb</t>
  </si>
  <si>
    <t>Sum korreksjon eiendom 1000 kroner</t>
  </si>
  <si>
    <t>Tjenester utenfor inntsys</t>
  </si>
  <si>
    <t>Beregnet utgiftsbehov</t>
  </si>
  <si>
    <t>Tj utenfor ord. komm. ansv.</t>
  </si>
  <si>
    <t>Ressursbruk sammenlignet med landet</t>
  </si>
  <si>
    <t>Ressursbruk utgifts- og inntektskorrigert</t>
  </si>
  <si>
    <t>Hovedkostnadsindeks</t>
  </si>
  <si>
    <t>Sum utgiftsbehov</t>
  </si>
  <si>
    <t>Variasjonsmargin</t>
  </si>
  <si>
    <t xml:space="preserve">Ressursbruk </t>
  </si>
  <si>
    <t>DISPONIBEL INNTEKT OG KOMMUNENS PRIORITERINGER</t>
  </si>
  <si>
    <t>Sum øvrige tjenester</t>
  </si>
  <si>
    <t>Interkom. samarbeid</t>
  </si>
  <si>
    <t>Frie disponible inntekter</t>
  </si>
  <si>
    <t>Sum tjenester INNTSYS</t>
  </si>
  <si>
    <t>ROGALAND</t>
  </si>
  <si>
    <t>MØRE OG ROMSDAL</t>
  </si>
  <si>
    <t>NORDLAND</t>
  </si>
  <si>
    <t>Netto driftsutg., videregående opplæring, konsern</t>
  </si>
  <si>
    <t>Netto driftsutg., fylkesveger, konsern</t>
  </si>
  <si>
    <t>Netto driftsutg., tannhelsetjeneste, konsern</t>
  </si>
  <si>
    <t>Netto driftsutg., fellesutgifter, konsern</t>
  </si>
  <si>
    <t>Netto driftsutg., administrasjon, konsern</t>
  </si>
  <si>
    <t>Netto driftsutg., lokal og reg. utvikling, natur og miljø, konsern</t>
  </si>
  <si>
    <t>Netto driftsutg., næring, konsern</t>
  </si>
  <si>
    <t>Netto driftsutg., kultur og idrett, konsern</t>
  </si>
  <si>
    <t>Netto driftsutg., interkommunale samarbeid (§ 27-samarbeid), konsern</t>
  </si>
  <si>
    <t>Netto driftsutg., tjenester utenf ordinært komm ansvarsområde, konsern</t>
  </si>
  <si>
    <t>Netto driftsutg., eiendom, konsern</t>
  </si>
  <si>
    <t>Avskrivning, videregående opplæring, konsern</t>
  </si>
  <si>
    <t>Avskrivning, fylkesveger, konsern</t>
  </si>
  <si>
    <t>Avskrivning, tannhelsetjeneste, konsern</t>
  </si>
  <si>
    <t>Avskrivning, fellesutgifter, konsern</t>
  </si>
  <si>
    <t>Avskrivning, administrasjon, konsern</t>
  </si>
  <si>
    <t>Avskrivning, lokal og reg. utvikling, natur og miljø, konsern</t>
  </si>
  <si>
    <t>Avskrivning, næring, konsern</t>
  </si>
  <si>
    <t>Avskrivning, kultur og idrett, konsern</t>
  </si>
  <si>
    <t>Avskrivning, interkommunale samarbeid (§ 27-samarbeid), konsern</t>
  </si>
  <si>
    <t>Avskrivning, tjenester utenf ordinært komm ansvarsområde, konsern</t>
  </si>
  <si>
    <t>Avskrivninger, eiendom, konsern</t>
  </si>
  <si>
    <t>Nto driftsutg eks avskr, videregående opplæring, konsern</t>
  </si>
  <si>
    <t>Nto driftsutg eks avskr, fylkesveger, konsern</t>
  </si>
  <si>
    <t>Nto driftsutg eks avskr, tannhelsetj, konsern</t>
  </si>
  <si>
    <t>Nto driftsutg administrasjon, konsern</t>
  </si>
  <si>
    <t>Nto driftsutg eks avskr, lokal og reg. utvikling, natur og miljø, konsern</t>
  </si>
  <si>
    <t>Nto driftsutg eks avskr, kultur og idrett, konsern</t>
  </si>
  <si>
    <t>Nto driftsutg eks avskr,  interkommunale samarbeid (§ 27-samarbeid), konsern</t>
  </si>
  <si>
    <t>Nto driftsutg eks avskr, eiendom, konsern</t>
  </si>
  <si>
    <t>Videregående opplæring</t>
  </si>
  <si>
    <t>Fylkesveger</t>
  </si>
  <si>
    <t>Tannhelsetjeneste</t>
  </si>
  <si>
    <t>Lokal og reg. utvikling, natur og miljø</t>
  </si>
  <si>
    <t>Kultur og idrett</t>
  </si>
  <si>
    <t>Korreksjon utg.behov videreående opplæring, kr per innbygger</t>
  </si>
  <si>
    <t>Korreksjon utg.behov fylkesveger, kr per innbygger</t>
  </si>
  <si>
    <t>Korreksjon utg.behov tannhelsetjeneste, kr per innbygger</t>
  </si>
  <si>
    <t>Korreksjon arb.avgift videregående opplæring</t>
  </si>
  <si>
    <t>Korreksjon arb.avgift fylkesveger</t>
  </si>
  <si>
    <t>Korreksjon arb.avgift tannhelsetjeneste</t>
  </si>
  <si>
    <t>Korreksjon arb.avg  administrasjon, konsern</t>
  </si>
  <si>
    <t>Korreksjon arb.avg lokal og reg. utvikling, natur og miljø, konsern</t>
  </si>
  <si>
    <t>Korreksjon arb.avg  kultur og idrett, konsern</t>
  </si>
  <si>
    <t>Korreksjon pensjon videregående opplæring</t>
  </si>
  <si>
    <t>Korreksjon pensjon fylkesveger</t>
  </si>
  <si>
    <t>Korreksjon pensjon tannhelsetjeneste</t>
  </si>
  <si>
    <t>Korreksjon pensjon  administrasjon, konsern</t>
  </si>
  <si>
    <t>Korreksjon pensjon  lokal og reg. utvikling, natur og miljø, konsern</t>
  </si>
  <si>
    <t>Korreksjon pensjon kultur og idrett, konsern</t>
  </si>
  <si>
    <t>Lønnsgrunnlag, videregående opplæring, konsern</t>
  </si>
  <si>
    <t>Lønnsgrunnlag, fylkesveger, konsern</t>
  </si>
  <si>
    <t>Lønnsgrunnlag, tannhelsetjeneste, konsern</t>
  </si>
  <si>
    <t>Lønnsgrunnlag, administrasjon, konsern</t>
  </si>
  <si>
    <t>Lønnsgrunnlag, lokal og reg. utvikling, natur og miljø, konsern</t>
  </si>
  <si>
    <t>Lønnsgrunnlag, kultur og idrett, konsern</t>
  </si>
  <si>
    <t>Lønnsgrunnlag, eiendom, konsern</t>
  </si>
  <si>
    <t>Arbeidsgiveravgift, videregående opplæring, konsern</t>
  </si>
  <si>
    <t>Arbeidsgiveravgift, fylkesveger, konsern</t>
  </si>
  <si>
    <t>Arbeidsgiveravgift, tannhelsetjeneste, konsern</t>
  </si>
  <si>
    <t>Arbeidsgiveravgift, administrasjon, konsern</t>
  </si>
  <si>
    <t>Arbeidsgiveravgift, lokal og reg. utvikling, natur og miljø, konsern</t>
  </si>
  <si>
    <t>Arbeidsgiveravgift, kultur og idrett, konsern</t>
  </si>
  <si>
    <t>Arbeidsgiveravgift, eiendom, konsern</t>
  </si>
  <si>
    <t>Pensjon, videregående opplæring, konsern</t>
  </si>
  <si>
    <t>Pensjon, fylkesveger, konsern</t>
  </si>
  <si>
    <t>Pensjon, tannhelsetjeneste, konsern</t>
  </si>
  <si>
    <t>Pensjon, administrasjon, konsern</t>
  </si>
  <si>
    <t>Pensjon, lokal og reg. utvikling, natur og miljø, konsern</t>
  </si>
  <si>
    <t>Pensjon, kultur og idrett, konsern</t>
  </si>
  <si>
    <t>Pensjon, eiendom, konsern</t>
  </si>
  <si>
    <t>Kostnadsindeks vidergående opplæring</t>
  </si>
  <si>
    <t>Kostnadsindeks fylkesveger</t>
  </si>
  <si>
    <t>Kostnadsindeks tannhelsetjeneste</t>
  </si>
  <si>
    <t>Videregående opplæring uvektet</t>
  </si>
  <si>
    <t>Videregående opplæring vektet</t>
  </si>
  <si>
    <t>Videregående opplæring vektet per innbygger</t>
  </si>
  <si>
    <t>Fylkesveger uvektet</t>
  </si>
  <si>
    <t>Fylkesveger vektet</t>
  </si>
  <si>
    <t>Fylkesveger vektet per innbygger</t>
  </si>
  <si>
    <t>Tannhelsetjeneste uvektet</t>
  </si>
  <si>
    <t>Tannhelsetjeneste vektet</t>
  </si>
  <si>
    <t>Tannhelsetjeneste vektet per innbygger</t>
  </si>
  <si>
    <t>Videregående opplæring vektet indeks</t>
  </si>
  <si>
    <t>Fylkesveger vektet indeks</t>
  </si>
  <si>
    <t>Tannhelsetjeneste vektet indeks</t>
  </si>
  <si>
    <t>Korr pensjon videregående opplæring vektet</t>
  </si>
  <si>
    <t>Korr pensjon videregående opplæring vektet per innbygger</t>
  </si>
  <si>
    <t>Korr pensjon fylkesveger vektet</t>
  </si>
  <si>
    <t>Korr pensjon fylkesveger vektet per innbygger</t>
  </si>
  <si>
    <t>Korr pensjon administrasjon vektet</t>
  </si>
  <si>
    <t>Korr pensjon administrasjon vektet per innbygger</t>
  </si>
  <si>
    <t>Korr pensjon næring vektet</t>
  </si>
  <si>
    <t>Korr pensjon næring vektet per innbygger</t>
  </si>
  <si>
    <t>Korr pensjon kultur og idrett vektet</t>
  </si>
  <si>
    <t>Korr pensjon kultur og idrett vektet per innbygger</t>
  </si>
  <si>
    <t>Tannhelse- tjenester</t>
  </si>
  <si>
    <t>Videregående opplæring, konsern</t>
  </si>
  <si>
    <t>Fylkesveger, konsern</t>
  </si>
  <si>
    <t>Tannhelse-tjenesten, konsern</t>
  </si>
  <si>
    <t>Administrasjon, konsern</t>
  </si>
  <si>
    <t xml:space="preserve"> Lokal og reg. utvikling, natur og miljø, konsern</t>
  </si>
  <si>
    <t>Kultur og idrett, konsern</t>
  </si>
  <si>
    <t>Tjenester utenf ordinært komm ansvarsområde, konsern</t>
  </si>
  <si>
    <t>Eiendom, konsern</t>
  </si>
  <si>
    <t>Arbeidsgiveravgift</t>
  </si>
  <si>
    <t>Brutto driftsutg eks avskr, videregående opplæring, konsern</t>
  </si>
  <si>
    <t>Brutto driftsutg eks avskr, fylkesveger, konsern</t>
  </si>
  <si>
    <t>Brutto driftsutg eks avskr, tannhelsetj, konsern</t>
  </si>
  <si>
    <t>Brutto driftsutg eks avskr, tjenester utenfor inntektssystemet, konsern</t>
  </si>
  <si>
    <t>Brutto driftsutg eks avskr, fellesutgifter, konsern</t>
  </si>
  <si>
    <t>Brutto driftsutg administrasjon, konsern</t>
  </si>
  <si>
    <t>Brutto driftsutg eks avskr, lokal og reg. utvikling, natur og miljø, konsern</t>
  </si>
  <si>
    <t>Brutto driftsutg eks avskr, næring, konsern</t>
  </si>
  <si>
    <t>Brutto driftsutg eks avskr, kultur og idrett, konsern</t>
  </si>
  <si>
    <t>Brutto driftsutg eks avskr,  interkommunale samarbeid (§ 27-samarbeid), konsern</t>
  </si>
  <si>
    <t>Brutto driftsutg eks avskr, tjenester utenf ordinært komm ansvarsområde, konsern</t>
  </si>
  <si>
    <t>Brutto driftsutg eks avskr, eiendom, konsern</t>
  </si>
  <si>
    <t>Bto driftsutg eks avskr, videregående opplæring, konsern</t>
  </si>
  <si>
    <t>Bto driftsutg eks avskr, fylkesveger, konsern</t>
  </si>
  <si>
    <t>Bto driftsutg eks avskr, tannhelsetjenesten, konsern</t>
  </si>
  <si>
    <t>Bto driftsutg eks avskr, administrasjon, konsern</t>
  </si>
  <si>
    <t>Bto driftsutg eks avskr, lokal og reg. utvikling, natur og miljø, konsern</t>
  </si>
  <si>
    <t>Bto driftsutg eks avskr, kultur og idrett, konsern</t>
  </si>
  <si>
    <t>Bto driftsutg eks avskr, eiendom, konsern</t>
  </si>
  <si>
    <t>Tannhelse-tjeneste</t>
  </si>
  <si>
    <t xml:space="preserve">Utgiftsbehov landsgjennnomsnitt       </t>
  </si>
  <si>
    <t>Reg. utvikling, natur og miljø</t>
  </si>
  <si>
    <t>Øvrige tjenester</t>
  </si>
  <si>
    <t>Tjenester innenfor INNTSYS</t>
  </si>
  <si>
    <t>Fylke</t>
  </si>
  <si>
    <t>Fylke utgiftskorrigert</t>
  </si>
  <si>
    <t>Fylke utgifts- og inntektskorrigert</t>
  </si>
  <si>
    <t>Sum                                       Bto driftsutg eks avskr, konsern</t>
  </si>
  <si>
    <t>Buss og bane</t>
  </si>
  <si>
    <t>Båt og ferje</t>
  </si>
  <si>
    <t>Korreksjon utg.behov buss og bane, kr per innbygger</t>
  </si>
  <si>
    <t>Korreksjon utg.behov båt og ferje, kr per innbygger</t>
  </si>
  <si>
    <t>Korreksjon arb.avgift buss og bane</t>
  </si>
  <si>
    <t>Korreksjon arb.avgift båt og ferje</t>
  </si>
  <si>
    <t>Korreksjon pensjon buss og bane</t>
  </si>
  <si>
    <t>Korreksjon pensjon båt og ferje</t>
  </si>
  <si>
    <t>Netto driftsutg., buss og bane, konsern</t>
  </si>
  <si>
    <t>Netto driftsutg., båt og ferje, konsern</t>
  </si>
  <si>
    <t>Avskrivning, buss og bane, konsern</t>
  </si>
  <si>
    <t>Avskrivning, båt og ferje, konsern</t>
  </si>
  <si>
    <t>Nto driftsutg eks avskr, buss og bane, konsern</t>
  </si>
  <si>
    <t>Nto driftsutg eks avskr, båt og ferje, konsern</t>
  </si>
  <si>
    <t>Lønnsgrunnlag, buss og bane, konsern</t>
  </si>
  <si>
    <t>Lønnsgrunnlag, båt og ferje, konsern</t>
  </si>
  <si>
    <t>Arbeidsgiveravgift, buss og bane, konsern</t>
  </si>
  <si>
    <t>Arbeidsgiveravgift, båt og ferje, konsern</t>
  </si>
  <si>
    <t>Pensjon, buss og bane, konsern</t>
  </si>
  <si>
    <t>Pensjon, båt og ferje, konsern</t>
  </si>
  <si>
    <t>Buss og bane, konsern</t>
  </si>
  <si>
    <t>Båt og ferje, konsern</t>
  </si>
  <si>
    <t>Kostnadsindeks buss og bane</t>
  </si>
  <si>
    <t>Kostnadsindeks båt og ferje</t>
  </si>
  <si>
    <t>Buss og bane uvektet</t>
  </si>
  <si>
    <t>Buss og bane vektet</t>
  </si>
  <si>
    <t>Buss og bane vektet per innbygger</t>
  </si>
  <si>
    <t>Buss og bane vektet indeks</t>
  </si>
  <si>
    <t>Båt og ferje vektet indeks</t>
  </si>
  <si>
    <t>Brutto driftsutg eks avskr, buss og bane, konsern</t>
  </si>
  <si>
    <t>Brutto driftsutg eks avskr, båt og ferje, konsern</t>
  </si>
  <si>
    <t>Bto driftsutg eks avskr, buss og bane, konsern</t>
  </si>
  <si>
    <t>Bto driftsutg eks avskr, båt og ferje, konsern</t>
  </si>
  <si>
    <t>Korr pensjon buss og bane vektet</t>
  </si>
  <si>
    <t>Korr pensjon buss og bane vektet per innbygger</t>
  </si>
  <si>
    <t>Korr pensjon båt og ferje vektet</t>
  </si>
  <si>
    <t>Korr pensjon båt og ferje vektet per innbygger</t>
  </si>
  <si>
    <t>Ressursbruk korrigert for utgiftsbehov</t>
  </si>
  <si>
    <t>Korreksjoner</t>
  </si>
  <si>
    <t>Videregående</t>
  </si>
  <si>
    <t>Båt og ferje uvektet</t>
  </si>
  <si>
    <t>Båt og ferje vektet</t>
  </si>
  <si>
    <t>Båt og ferje vektet per innbygger</t>
  </si>
  <si>
    <t>Differanse nøkkel GH</t>
  </si>
  <si>
    <t>Beregning gjennomsnitt pensjon, videregående opplæring</t>
  </si>
  <si>
    <t>Revektingsgrunnlag videregående opplæring</t>
  </si>
  <si>
    <t>Revektet kostnadsnøkkel, pensjon videregående opplæring</t>
  </si>
  <si>
    <t>Utgiftsandel pensjon, videregående opplæring</t>
  </si>
  <si>
    <t>Revektet beregning gjennomsnitt pensjon, videregående opplæring</t>
  </si>
  <si>
    <t>Beregning gjennomsnitt pensjon, fylkesveger</t>
  </si>
  <si>
    <t>Revektingsgrunnlag fylkesveger</t>
  </si>
  <si>
    <t>Utgiftsandel pensjon, fylkesveger</t>
  </si>
  <si>
    <t>Revektet kostnadsnøkkel, pensjon fylkesveger</t>
  </si>
  <si>
    <t>Revektet beregning gjennomsnitt pensjon, fylkesveger</t>
  </si>
  <si>
    <t>Beregning gjennomsnitt pensjon, buss og bane</t>
  </si>
  <si>
    <t>Revektingsgrunnlag buss og bane</t>
  </si>
  <si>
    <t>Utgiftsandel pensjon, buss og bane</t>
  </si>
  <si>
    <t>Revektet kostnadsnøkkel, pensjon buss og bane</t>
  </si>
  <si>
    <t>Revektet beregning gjennomsnitt pensjon, buss og bane</t>
  </si>
  <si>
    <t>Beregning gjennomsnitt pensjon, båt og ferje</t>
  </si>
  <si>
    <t>Revektingsgrunnlag båt og ferje</t>
  </si>
  <si>
    <t>Utgiftsandel pensjon, båt og ferje</t>
  </si>
  <si>
    <t>Revektet kostnadsnøkkel, pensjon båt og ferje</t>
  </si>
  <si>
    <t>Revektet beregning gjennomsnitt pensjon, båt og ferje</t>
  </si>
  <si>
    <t>Beregning gjennomsnitt pensjon, tannhelsetjeneste</t>
  </si>
  <si>
    <t>Revektingsgrunnlag tannhelsetjeneste</t>
  </si>
  <si>
    <t>Utgiftsandel pensjon, tannhelsetjeneste</t>
  </si>
  <si>
    <t>Revektet kostnadsnøkkel, pensjon tannhelsetjeneste</t>
  </si>
  <si>
    <t>Revektet beregning gjennomsnitt pensjon, tannhelsetjeneste</t>
  </si>
  <si>
    <t>Korr pensjon tannhelsetjeneste vektet per innbygger</t>
  </si>
  <si>
    <t>Korr pensjon tannhelsetjeneste vektet</t>
  </si>
  <si>
    <t>Beregning gjennomsnitt pensjon, administrasjon</t>
  </si>
  <si>
    <t>Revektingsgrunnlag administrasjon</t>
  </si>
  <si>
    <t>Utgiftsandel pensjon, administrasjon</t>
  </si>
  <si>
    <t>Revektet kostnadsnøkkel, pensjon administrasjon</t>
  </si>
  <si>
    <t>Revektet beregning gjennomsnitt pensjon, administrasjon</t>
  </si>
  <si>
    <t>Beregning gjennomsnitt pensjon, lokal pg reg.utvikling, natur og miljø</t>
  </si>
  <si>
    <t>Revektingsgrunnlag lokal pg reg.utvikling, natur og miljø</t>
  </si>
  <si>
    <t>Utgiftsandel pensjon, lokal pg reg.utvikling, natur og miljø</t>
  </si>
  <si>
    <t>Revektet kostnadsnøkkel, pensjon lokal pg reg.utvikling, natur og miljø</t>
  </si>
  <si>
    <t>Revektet beregning gjennomsnitt pensjon, lokal pg reg.utvikling, natur og miljø</t>
  </si>
  <si>
    <t>Korr pensjon lokal pg reg.utvikling, natur og miljø vektet per innbygger</t>
  </si>
  <si>
    <t>Korr pensjon lokal pg reg.utvikling, natur og miljø vektet</t>
  </si>
  <si>
    <t>Beregning gjennomsnitt pensjon, næring</t>
  </si>
  <si>
    <t>Revektingsgrunnlag næring</t>
  </si>
  <si>
    <t>Utgiftsandel pensjon, næring</t>
  </si>
  <si>
    <t>Revektet kostnadsnøkkel, pensjon næring</t>
  </si>
  <si>
    <t>Revektet beregning gjennomsnitt pensjon, næring</t>
  </si>
  <si>
    <t>Beregning gjennomsnitt pensjon, kultur og idrett</t>
  </si>
  <si>
    <t>Revektingsgrunnlag kultur og idrett</t>
  </si>
  <si>
    <t>Utgiftsandel pensjon, kultur og idrett</t>
  </si>
  <si>
    <t>Revektet kostnadsnøkkel, pensjon kultur og idrett</t>
  </si>
  <si>
    <t>Revektet beregning gjennomsnitt pensjon, kultur og idrett</t>
  </si>
  <si>
    <t>Beregning gjennomsnitt pensjon, interkommunale samarbeid</t>
  </si>
  <si>
    <t>Revektingsgrunnlag interkommunale samarbeid</t>
  </si>
  <si>
    <t>Utgiftsandel pensjon, interkommunale samarbeid</t>
  </si>
  <si>
    <t>Revektet kostnadsnøkkel, pensjon interkommunale samarbeid</t>
  </si>
  <si>
    <t>Revektet beregning gjennomsnitt pensjon, interkommunale samarbeid</t>
  </si>
  <si>
    <t>Korr pensjon interkommunale samarbeid vektet per innbygger</t>
  </si>
  <si>
    <t>Korr pensjon interkommunale samarbeid vektet</t>
  </si>
  <si>
    <t>Beregning gjennomsnitt pensjon, tjenester utenfor</t>
  </si>
  <si>
    <t>Revektingsgrunnlag tjenester utenfor</t>
  </si>
  <si>
    <t>Utgiftsandel pensjon, tjenester utenfor</t>
  </si>
  <si>
    <t>Revektet kostnadsnøkkel, pensjon tjenester utenfor</t>
  </si>
  <si>
    <t>Revektet beregning gjennomsnitt pensjon, tjenester utenfor</t>
  </si>
  <si>
    <t>Korr pensjon tjenester utenfor vektet per innbygger</t>
  </si>
  <si>
    <t>Korr pensjon tjenester utenfor vektet</t>
  </si>
  <si>
    <t>Lønnsutgiftsbehov kroner per innbygger</t>
  </si>
  <si>
    <t>Indeks lønnsutgiftsbehov</t>
  </si>
  <si>
    <t>Beregning av gjennomsnittlig premieavvik</t>
  </si>
  <si>
    <t>Korreksjon premieavvik, kroner</t>
  </si>
  <si>
    <t>Sammenlignes med:</t>
  </si>
  <si>
    <t>TRØNDELAG</t>
  </si>
  <si>
    <t>Innbyggere 1.7.2018 korrigert</t>
  </si>
  <si>
    <t>VIKEN</t>
  </si>
  <si>
    <t>INNLANDET</t>
  </si>
  <si>
    <t>VESTFOLD OG TELEMARK</t>
  </si>
  <si>
    <t>AGDER</t>
  </si>
  <si>
    <t>VESTLAND</t>
  </si>
  <si>
    <t>TROMS OG FINNMARK</t>
  </si>
  <si>
    <t>VESTFOLD OG TELEMRK</t>
  </si>
  <si>
    <t>Innbyggere 1.7.2021</t>
  </si>
  <si>
    <t>Innbyggere 1.7.2021 korrigert</t>
  </si>
  <si>
    <t>Innbyggere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</si>
</sst>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0000"/>
    <numFmt numFmtId="166" formatCode="#,##0.000000"/>
    <numFmt numFmtId="167" formatCode="0.00000"/>
    <numFmt numFmtId="168" formatCode="0.0\ %"/>
    <numFmt numFmtId="169" formatCode="#,##0.0000"/>
    <numFmt numFmtId="170" formatCode="0.0000"/>
    <numFmt numFmtId="171" formatCode="0.000000"/>
    <numFmt numFmtId="172" formatCode="#,##0.000000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0"/>
      <color indexed="30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name val="Comic Sans MS"/>
      <family val="4"/>
    </font>
    <font>
      <i/>
      <sz val="9"/>
      <name val="Comic Sans MS"/>
      <family val="4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0" borderId="0"/>
    <xf numFmtId="0" fontId="4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3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8" borderId="3" applyNumberFormat="0" applyAlignment="0" applyProtection="0"/>
    <xf numFmtId="0" fontId="14" fillId="0" borderId="4" applyNumberFormat="0" applyFill="0" applyAlignment="0" applyProtection="0"/>
    <xf numFmtId="164" fontId="4" fillId="0" borderId="0" applyFont="0" applyFill="0" applyBorder="0" applyAlignment="0" applyProtection="0"/>
    <xf numFmtId="0" fontId="15" fillId="18" borderId="5" applyNumberFormat="0" applyAlignment="0" applyProtection="0"/>
    <xf numFmtId="0" fontId="7" fillId="19" borderId="6" applyNumberFormat="0" applyFont="0" applyAlignment="0" applyProtection="0"/>
    <xf numFmtId="0" fontId="7" fillId="0" borderId="0"/>
    <xf numFmtId="0" fontId="7" fillId="0" borderId="0"/>
    <xf numFmtId="0" fontId="16" fillId="2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7" borderId="11" applyNumberForma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122">
    <xf numFmtId="0" fontId="0" fillId="0" borderId="0" xfId="0"/>
    <xf numFmtId="3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167" fontId="0" fillId="0" borderId="0" xfId="0" applyNumberFormat="1"/>
    <xf numFmtId="3" fontId="0" fillId="0" borderId="0" xfId="0" applyNumberFormat="1"/>
    <xf numFmtId="0" fontId="3" fillId="2" borderId="0" xfId="1" applyFill="1" applyAlignment="1">
      <alignment horizontal="center" wrapText="1"/>
    </xf>
    <xf numFmtId="0" fontId="2" fillId="0" borderId="0" xfId="0" applyFont="1"/>
    <xf numFmtId="3" fontId="24" fillId="0" borderId="0" xfId="0" applyNumberFormat="1" applyFont="1"/>
    <xf numFmtId="0" fontId="24" fillId="0" borderId="0" xfId="0" applyFont="1"/>
    <xf numFmtId="167" fontId="0" fillId="27" borderId="0" xfId="0" applyNumberFormat="1" applyFill="1"/>
    <xf numFmtId="3" fontId="3" fillId="27" borderId="0" xfId="0" applyNumberFormat="1" applyFont="1" applyFill="1"/>
    <xf numFmtId="0" fontId="3" fillId="27" borderId="2" xfId="1" applyFill="1" applyBorder="1" applyAlignment="1">
      <alignment horizontal="center"/>
    </xf>
    <xf numFmtId="0" fontId="3" fillId="27" borderId="1" xfId="1" applyFill="1" applyBorder="1" applyAlignment="1">
      <alignment horizontal="center" wrapText="1"/>
    </xf>
    <xf numFmtId="3" fontId="0" fillId="0" borderId="13" xfId="0" applyNumberFormat="1" applyBorder="1"/>
    <xf numFmtId="0" fontId="0" fillId="26" borderId="14" xfId="0" applyFill="1" applyBorder="1" applyAlignment="1">
      <alignment horizontal="center" wrapText="1"/>
    </xf>
    <xf numFmtId="3" fontId="0" fillId="27" borderId="16" xfId="0" applyNumberFormat="1" applyFill="1" applyBorder="1"/>
    <xf numFmtId="3" fontId="0" fillId="27" borderId="0" xfId="0" applyNumberFormat="1" applyFill="1"/>
    <xf numFmtId="0" fontId="0" fillId="27" borderId="15" xfId="0" applyFill="1" applyBorder="1" applyAlignment="1">
      <alignment horizontal="center" wrapText="1"/>
    </xf>
    <xf numFmtId="0" fontId="0" fillId="27" borderId="1" xfId="0" applyFill="1" applyBorder="1" applyAlignment="1">
      <alignment horizontal="center" wrapText="1"/>
    </xf>
    <xf numFmtId="0" fontId="0" fillId="26" borderId="1" xfId="0" applyFill="1" applyBorder="1" applyAlignment="1">
      <alignment horizontal="center" wrapText="1"/>
    </xf>
    <xf numFmtId="0" fontId="0" fillId="27" borderId="0" xfId="0" applyFill="1"/>
    <xf numFmtId="3" fontId="0" fillId="0" borderId="2" xfId="0" applyNumberFormat="1" applyBorder="1"/>
    <xf numFmtId="0" fontId="0" fillId="0" borderId="2" xfId="0" applyBorder="1"/>
    <xf numFmtId="0" fontId="3" fillId="2" borderId="1" xfId="1" applyFill="1" applyBorder="1" applyAlignment="1">
      <alignment horizontal="center" wrapText="1"/>
    </xf>
    <xf numFmtId="3" fontId="2" fillId="0" borderId="0" xfId="0" applyNumberFormat="1" applyFont="1"/>
    <xf numFmtId="3" fontId="0" fillId="0" borderId="17" xfId="0" applyNumberFormat="1" applyBorder="1"/>
    <xf numFmtId="3" fontId="0" fillId="27" borderId="18" xfId="0" applyNumberFormat="1" applyFill="1" applyBorder="1"/>
    <xf numFmtId="0" fontId="0" fillId="0" borderId="23" xfId="0" applyBorder="1"/>
    <xf numFmtId="3" fontId="0" fillId="0" borderId="19" xfId="0" applyNumberFormat="1" applyBorder="1"/>
    <xf numFmtId="3" fontId="0" fillId="0" borderId="12" xfId="0" applyNumberFormat="1" applyBorder="1"/>
    <xf numFmtId="3" fontId="0" fillId="27" borderId="12" xfId="0" applyNumberFormat="1" applyFill="1" applyBorder="1"/>
    <xf numFmtId="0" fontId="0" fillId="0" borderId="24" xfId="0" applyBorder="1"/>
    <xf numFmtId="0" fontId="0" fillId="0" borderId="22" xfId="0" applyBorder="1"/>
    <xf numFmtId="3" fontId="0" fillId="27" borderId="20" xfId="0" applyNumberFormat="1" applyFill="1" applyBorder="1"/>
    <xf numFmtId="0" fontId="0" fillId="26" borderId="2" xfId="0" applyFill="1" applyBorder="1" applyAlignment="1">
      <alignment horizontal="center" wrapText="1"/>
    </xf>
    <xf numFmtId="0" fontId="0" fillId="27" borderId="2" xfId="0" applyFill="1" applyBorder="1" applyAlignment="1">
      <alignment horizontal="center" wrapText="1"/>
    </xf>
    <xf numFmtId="0" fontId="0" fillId="27" borderId="18" xfId="0" applyFill="1" applyBorder="1" applyAlignment="1">
      <alignment horizontal="center" wrapText="1"/>
    </xf>
    <xf numFmtId="0" fontId="0" fillId="26" borderId="21" xfId="0" applyFill="1" applyBorder="1"/>
    <xf numFmtId="0" fontId="0" fillId="26" borderId="22" xfId="0" applyFill="1" applyBorder="1"/>
    <xf numFmtId="3" fontId="0" fillId="27" borderId="2" xfId="0" applyNumberFormat="1" applyFill="1" applyBorder="1"/>
    <xf numFmtId="0" fontId="0" fillId="26" borderId="17" xfId="0" applyFill="1" applyBorder="1" applyAlignment="1">
      <alignment horizontal="center" wrapText="1"/>
    </xf>
    <xf numFmtId="0" fontId="25" fillId="0" borderId="0" xfId="0" applyFont="1"/>
    <xf numFmtId="165" fontId="3" fillId="0" borderId="0" xfId="31" applyNumberFormat="1" applyFont="1" applyAlignment="1">
      <alignment horizontal="left"/>
    </xf>
    <xf numFmtId="3" fontId="3" fillId="0" borderId="0" xfId="31" applyNumberFormat="1" applyFont="1"/>
    <xf numFmtId="0" fontId="7" fillId="0" borderId="0" xfId="31"/>
    <xf numFmtId="168" fontId="0" fillId="0" borderId="0" xfId="0" applyNumberFormat="1"/>
    <xf numFmtId="0" fontId="3" fillId="28" borderId="1" xfId="1" applyFill="1" applyBorder="1" applyAlignment="1">
      <alignment horizontal="center" wrapText="1"/>
    </xf>
    <xf numFmtId="0" fontId="3" fillId="28" borderId="2" xfId="1" applyFill="1" applyBorder="1" applyAlignment="1">
      <alignment horizontal="center"/>
    </xf>
    <xf numFmtId="0" fontId="0" fillId="28" borderId="0" xfId="0" applyFill="1"/>
    <xf numFmtId="3" fontId="3" fillId="28" borderId="0" xfId="0" applyNumberFormat="1" applyFont="1" applyFill="1"/>
    <xf numFmtId="167" fontId="0" fillId="28" borderId="0" xfId="0" applyNumberFormat="1" applyFill="1"/>
    <xf numFmtId="0" fontId="3" fillId="0" borderId="1" xfId="1" applyBorder="1" applyAlignment="1">
      <alignment horizontal="center" wrapText="1"/>
    </xf>
    <xf numFmtId="0" fontId="3" fillId="0" borderId="2" xfId="1" applyBorder="1" applyAlignment="1">
      <alignment horizontal="center"/>
    </xf>
    <xf numFmtId="3" fontId="0" fillId="29" borderId="0" xfId="0" applyNumberFormat="1" applyFill="1"/>
    <xf numFmtId="0" fontId="26" fillId="2" borderId="2" xfId="0" applyFont="1" applyFill="1" applyBorder="1" applyAlignment="1">
      <alignment horizontal="center" wrapText="1"/>
    </xf>
    <xf numFmtId="10" fontId="27" fillId="30" borderId="0" xfId="38" applyNumberFormat="1" applyFont="1" applyFill="1"/>
    <xf numFmtId="3" fontId="0" fillId="0" borderId="0" xfId="0" applyNumberFormat="1" applyAlignment="1">
      <alignment horizontal="center"/>
    </xf>
    <xf numFmtId="0" fontId="0" fillId="0" borderId="0" xfId="0" quotePrefix="1"/>
    <xf numFmtId="169" fontId="0" fillId="0" borderId="0" xfId="0" applyNumberFormat="1"/>
    <xf numFmtId="166" fontId="0" fillId="0" borderId="0" xfId="0" applyNumberFormat="1"/>
    <xf numFmtId="0" fontId="0" fillId="31" borderId="22" xfId="0" applyFill="1" applyBorder="1"/>
    <xf numFmtId="0" fontId="0" fillId="0" borderId="13" xfId="0" applyBorder="1"/>
    <xf numFmtId="0" fontId="0" fillId="0" borderId="17" xfId="0" applyBorder="1"/>
    <xf numFmtId="3" fontId="0" fillId="27" borderId="21" xfId="0" applyNumberFormat="1" applyFill="1" applyBorder="1"/>
    <xf numFmtId="3" fontId="0" fillId="27" borderId="24" xfId="0" applyNumberFormat="1" applyFill="1" applyBorder="1"/>
    <xf numFmtId="3" fontId="0" fillId="27" borderId="22" xfId="0" applyNumberFormat="1" applyFill="1" applyBorder="1"/>
    <xf numFmtId="0" fontId="0" fillId="26" borderId="15" xfId="0" applyFill="1" applyBorder="1" applyAlignment="1">
      <alignment horizontal="center" wrapText="1"/>
    </xf>
    <xf numFmtId="170" fontId="0" fillId="0" borderId="16" xfId="0" applyNumberFormat="1" applyBorder="1"/>
    <xf numFmtId="170" fontId="0" fillId="0" borderId="18" xfId="0" applyNumberFormat="1" applyBorder="1"/>
    <xf numFmtId="170" fontId="0" fillId="0" borderId="13" xfId="0" applyNumberFormat="1" applyBorder="1"/>
    <xf numFmtId="170" fontId="0" fillId="0" borderId="17" xfId="0" applyNumberFormat="1" applyBorder="1"/>
    <xf numFmtId="0" fontId="28" fillId="0" borderId="0" xfId="0" applyFont="1"/>
    <xf numFmtId="0" fontId="0" fillId="26" borderId="23" xfId="0" applyFill="1" applyBorder="1"/>
    <xf numFmtId="3" fontId="0" fillId="0" borderId="24" xfId="0" applyNumberFormat="1" applyBorder="1"/>
    <xf numFmtId="3" fontId="0" fillId="0" borderId="22" xfId="0" applyNumberFormat="1" applyBorder="1"/>
    <xf numFmtId="0" fontId="0" fillId="26" borderId="23" xfId="0" applyFill="1" applyBorder="1" applyAlignment="1">
      <alignment horizontal="center" wrapText="1"/>
    </xf>
    <xf numFmtId="0" fontId="0" fillId="26" borderId="14" xfId="0" applyFill="1" applyBorder="1"/>
    <xf numFmtId="0" fontId="0" fillId="26" borderId="17" xfId="0" applyFill="1" applyBorder="1"/>
    <xf numFmtId="0" fontId="25" fillId="25" borderId="0" xfId="0" applyFont="1" applyFill="1"/>
    <xf numFmtId="0" fontId="0" fillId="0" borderId="19" xfId="0" applyBorder="1"/>
    <xf numFmtId="170" fontId="0" fillId="0" borderId="19" xfId="0" applyNumberFormat="1" applyBorder="1"/>
    <xf numFmtId="170" fontId="0" fillId="0" borderId="20" xfId="0" applyNumberFormat="1" applyBorder="1"/>
    <xf numFmtId="0" fontId="24" fillId="26" borderId="24" xfId="0" applyFont="1" applyFill="1" applyBorder="1"/>
    <xf numFmtId="3" fontId="24" fillId="26" borderId="0" xfId="0" applyNumberFormat="1" applyFont="1" applyFill="1" applyAlignment="1">
      <alignment horizontal="right" wrapText="1"/>
    </xf>
    <xf numFmtId="3" fontId="24" fillId="27" borderId="0" xfId="0" applyNumberFormat="1" applyFont="1" applyFill="1"/>
    <xf numFmtId="3" fontId="24" fillId="27" borderId="16" xfId="0" applyNumberFormat="1" applyFont="1" applyFill="1" applyBorder="1"/>
    <xf numFmtId="3" fontId="24" fillId="26" borderId="14" xfId="0" applyNumberFormat="1" applyFont="1" applyFill="1" applyBorder="1" applyAlignment="1">
      <alignment horizontal="right" wrapText="1"/>
    </xf>
    <xf numFmtId="3" fontId="24" fillId="27" borderId="0" xfId="0" applyNumberFormat="1" applyFont="1" applyFill="1" applyAlignment="1">
      <alignment horizontal="right" wrapText="1"/>
    </xf>
    <xf numFmtId="3" fontId="24" fillId="26" borderId="13" xfId="0" applyNumberFormat="1" applyFont="1" applyFill="1" applyBorder="1" applyAlignment="1">
      <alignment horizontal="right" wrapText="1"/>
    </xf>
    <xf numFmtId="3" fontId="24" fillId="27" borderId="16" xfId="0" applyNumberFormat="1" applyFont="1" applyFill="1" applyBorder="1" applyAlignment="1">
      <alignment horizontal="right" wrapText="1"/>
    </xf>
    <xf numFmtId="171" fontId="0" fillId="0" borderId="0" xfId="0" applyNumberFormat="1"/>
    <xf numFmtId="165" fontId="25" fillId="25" borderId="0" xfId="0" applyNumberFormat="1" applyFont="1" applyFill="1" applyProtection="1">
      <protection locked="0"/>
    </xf>
    <xf numFmtId="3" fontId="0" fillId="0" borderId="0" xfId="0" applyNumberFormat="1" applyAlignment="1">
      <alignment horizontal="right"/>
    </xf>
    <xf numFmtId="3" fontId="0" fillId="27" borderId="0" xfId="0" applyNumberFormat="1" applyFill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27" borderId="16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27" borderId="2" xfId="0" applyNumberFormat="1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0" xfId="0" quotePrefix="1" applyNumberFormat="1"/>
    <xf numFmtId="3" fontId="0" fillId="0" borderId="21" xfId="0" applyNumberFormat="1" applyBorder="1"/>
    <xf numFmtId="0" fontId="3" fillId="2" borderId="0" xfId="1" applyFill="1" applyAlignment="1">
      <alignment horizontal="center"/>
    </xf>
    <xf numFmtId="10" fontId="0" fillId="0" borderId="0" xfId="0" applyNumberFormat="1"/>
    <xf numFmtId="3" fontId="3" fillId="0" borderId="0" xfId="0" applyNumberFormat="1" applyFont="1" applyAlignment="1">
      <alignment horizontal="right"/>
    </xf>
    <xf numFmtId="172" fontId="0" fillId="0" borderId="0" xfId="0" applyNumberFormat="1"/>
    <xf numFmtId="0" fontId="25" fillId="25" borderId="0" xfId="0" applyFont="1" applyFill="1" applyAlignment="1">
      <alignment horizontal="center"/>
    </xf>
    <xf numFmtId="0" fontId="3" fillId="2" borderId="2" xfId="1" applyFill="1" applyBorder="1" applyAlignment="1">
      <alignment horizontal="center"/>
    </xf>
    <xf numFmtId="0" fontId="3" fillId="29" borderId="1" xfId="1" applyFill="1" applyBorder="1" applyAlignment="1">
      <alignment horizontal="center" wrapText="1"/>
    </xf>
    <xf numFmtId="0" fontId="3" fillId="29" borderId="2" xfId="1" applyFill="1" applyBorder="1" applyAlignment="1">
      <alignment horizontal="center"/>
    </xf>
    <xf numFmtId="0" fontId="30" fillId="0" borderId="0" xfId="0" applyFont="1"/>
    <xf numFmtId="0" fontId="29" fillId="0" borderId="0" xfId="0" applyFont="1"/>
    <xf numFmtId="3" fontId="31" fillId="25" borderId="0" xfId="0" applyNumberFormat="1" applyFont="1" applyFill="1"/>
    <xf numFmtId="3" fontId="32" fillId="25" borderId="0" xfId="0" applyNumberFormat="1" applyFont="1" applyFill="1"/>
    <xf numFmtId="0" fontId="25" fillId="33" borderId="0" xfId="0" applyFont="1" applyFill="1"/>
    <xf numFmtId="0" fontId="0" fillId="33" borderId="0" xfId="0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2" borderId="2" xfId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3" fillId="2" borderId="12" xfId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20% - uthevingsfarge 1 2" xfId="3" xr:uid="{00000000-0005-0000-0000-000000000000}"/>
    <cellStyle name="20% - uthevingsfarge 2 2" xfId="4" xr:uid="{00000000-0005-0000-0000-000001000000}"/>
    <cellStyle name="20% - uthevingsfarge 3 2" xfId="5" xr:uid="{00000000-0005-0000-0000-000002000000}"/>
    <cellStyle name="20% - uthevingsfarge 4 2" xfId="6" xr:uid="{00000000-0005-0000-0000-000003000000}"/>
    <cellStyle name="20% - uthevingsfarge 5 2" xfId="7" xr:uid="{00000000-0005-0000-0000-000004000000}"/>
    <cellStyle name="20% - uthevingsfarge 6 2" xfId="8" xr:uid="{00000000-0005-0000-0000-000005000000}"/>
    <cellStyle name="40% - uthevingsfarge 1 2" xfId="9" xr:uid="{00000000-0005-0000-0000-000006000000}"/>
    <cellStyle name="40% - uthevingsfarge 2 2" xfId="10" xr:uid="{00000000-0005-0000-0000-000007000000}"/>
    <cellStyle name="40% - uthevingsfarge 3 2" xfId="11" xr:uid="{00000000-0005-0000-0000-000008000000}"/>
    <cellStyle name="40% - uthevingsfarge 4 2" xfId="12" xr:uid="{00000000-0005-0000-0000-000009000000}"/>
    <cellStyle name="40% - uthevingsfarge 5 2" xfId="13" xr:uid="{00000000-0005-0000-0000-00000A000000}"/>
    <cellStyle name="40% - uthevingsfarge 6 2" xfId="14" xr:uid="{00000000-0005-0000-0000-00000B000000}"/>
    <cellStyle name="60% - uthevingsfarge 1 2" xfId="15" xr:uid="{00000000-0005-0000-0000-00000C000000}"/>
    <cellStyle name="60% - uthevingsfarge 2 2" xfId="16" xr:uid="{00000000-0005-0000-0000-00000D000000}"/>
    <cellStyle name="60% - uthevingsfarge 3 2" xfId="17" xr:uid="{00000000-0005-0000-0000-00000E000000}"/>
    <cellStyle name="60% - uthevingsfarge 4 2" xfId="18" xr:uid="{00000000-0005-0000-0000-00000F000000}"/>
    <cellStyle name="60% - uthevingsfarge 5 2" xfId="19" xr:uid="{00000000-0005-0000-0000-000010000000}"/>
    <cellStyle name="60% - uthevingsfarge 6 2" xfId="20" xr:uid="{00000000-0005-0000-0000-000011000000}"/>
    <cellStyle name="Beregning 2" xfId="21" xr:uid="{00000000-0005-0000-0000-000012000000}"/>
    <cellStyle name="Dårlig 2" xfId="22" xr:uid="{00000000-0005-0000-0000-000013000000}"/>
    <cellStyle name="Forklarende tekst 2" xfId="23" xr:uid="{00000000-0005-0000-0000-000014000000}"/>
    <cellStyle name="God 2" xfId="24" xr:uid="{00000000-0005-0000-0000-000015000000}"/>
    <cellStyle name="Hyperkobling 2" xfId="25" xr:uid="{00000000-0005-0000-0000-000016000000}"/>
    <cellStyle name="Inndata 2" xfId="26" xr:uid="{00000000-0005-0000-0000-000017000000}"/>
    <cellStyle name="Koblet celle 2" xfId="27" xr:uid="{00000000-0005-0000-0000-000018000000}"/>
    <cellStyle name="Komma 2" xfId="28" xr:uid="{00000000-0005-0000-0000-000019000000}"/>
    <cellStyle name="Kontrollcelle 2" xfId="29" xr:uid="{00000000-0005-0000-0000-00001A000000}"/>
    <cellStyle name="Merknad 2" xfId="30" xr:uid="{00000000-0005-0000-0000-00001B000000}"/>
    <cellStyle name="Normal" xfId="0" builtinId="0"/>
    <cellStyle name="Normal 2" xfId="31" xr:uid="{00000000-0005-0000-0000-00001D000000}"/>
    <cellStyle name="Normal 3" xfId="32" xr:uid="{00000000-0005-0000-0000-00001E000000}"/>
    <cellStyle name="Normal 4" xfId="50" xr:uid="{00000000-0005-0000-0000-00001F000000}"/>
    <cellStyle name="Normal 5" xfId="2" xr:uid="{00000000-0005-0000-0000-000020000000}"/>
    <cellStyle name="Normal_Krit97" xfId="1" xr:uid="{00000000-0005-0000-0000-000021000000}"/>
    <cellStyle name="Nøytral 2" xfId="33" xr:uid="{00000000-0005-0000-0000-000022000000}"/>
    <cellStyle name="Overskrift 1 2" xfId="34" xr:uid="{00000000-0005-0000-0000-000023000000}"/>
    <cellStyle name="Overskrift 2 2" xfId="35" xr:uid="{00000000-0005-0000-0000-000024000000}"/>
    <cellStyle name="Overskrift 3 2" xfId="36" xr:uid="{00000000-0005-0000-0000-000025000000}"/>
    <cellStyle name="Overskrift 4 2" xfId="37" xr:uid="{00000000-0005-0000-0000-000026000000}"/>
    <cellStyle name="Prosent 2" xfId="38" xr:uid="{00000000-0005-0000-0000-000027000000}"/>
    <cellStyle name="times" xfId="39" xr:uid="{00000000-0005-0000-0000-000028000000}"/>
    <cellStyle name="Tittel 2" xfId="40" xr:uid="{00000000-0005-0000-0000-000029000000}"/>
    <cellStyle name="Totalt 2" xfId="41" xr:uid="{00000000-0005-0000-0000-00002A000000}"/>
    <cellStyle name="Utdata 2" xfId="42" xr:uid="{00000000-0005-0000-0000-00002B000000}"/>
    <cellStyle name="Uthevingsfarge1 2" xfId="43" xr:uid="{00000000-0005-0000-0000-00002C000000}"/>
    <cellStyle name="Uthevingsfarge2 2" xfId="44" xr:uid="{00000000-0005-0000-0000-00002D000000}"/>
    <cellStyle name="Uthevingsfarge3 2" xfId="45" xr:uid="{00000000-0005-0000-0000-00002E000000}"/>
    <cellStyle name="Uthevingsfarge4 2" xfId="46" xr:uid="{00000000-0005-0000-0000-00002F000000}"/>
    <cellStyle name="Uthevingsfarge5 2" xfId="47" xr:uid="{00000000-0005-0000-0000-000030000000}"/>
    <cellStyle name="Uthevingsfarge6 2" xfId="48" xr:uid="{00000000-0005-0000-0000-000031000000}"/>
    <cellStyle name="Varseltekst 2" xfId="49" xr:uid="{00000000-0005-0000-0000-00003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3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6.xml"/><Relationship Id="rId39" Type="http://schemas.openxmlformats.org/officeDocument/2006/relationships/styles" Target="styles.xml"/><Relationship Id="rId21" Type="http://schemas.openxmlformats.org/officeDocument/2006/relationships/worksheet" Target="worksheets/sheet11.xml"/><Relationship Id="rId34" Type="http://schemas.openxmlformats.org/officeDocument/2006/relationships/worksheet" Target="worksheets/sheet24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6.xml"/><Relationship Id="rId20" Type="http://schemas.openxmlformats.org/officeDocument/2006/relationships/worksheet" Target="worksheets/sheet10.xml"/><Relationship Id="rId29" Type="http://schemas.openxmlformats.org/officeDocument/2006/relationships/worksheet" Target="worksheets/sheet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4.xml"/><Relationship Id="rId32" Type="http://schemas.openxmlformats.org/officeDocument/2006/relationships/worksheet" Target="worksheets/sheet22.xml"/><Relationship Id="rId37" Type="http://schemas.openxmlformats.org/officeDocument/2006/relationships/worksheet" Target="worksheets/sheet27.xml"/><Relationship Id="rId40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5.xml"/><Relationship Id="rId23" Type="http://schemas.openxmlformats.org/officeDocument/2006/relationships/worksheet" Target="worksheets/sheet13.xml"/><Relationship Id="rId28" Type="http://schemas.openxmlformats.org/officeDocument/2006/relationships/worksheet" Target="worksheets/sheet18.xml"/><Relationship Id="rId36" Type="http://schemas.openxmlformats.org/officeDocument/2006/relationships/worksheet" Target="worksheets/sheet26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9.xml"/><Relationship Id="rId31" Type="http://schemas.openxmlformats.org/officeDocument/2006/relationships/worksheet" Target="worksheets/sheet2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4.xml"/><Relationship Id="rId22" Type="http://schemas.openxmlformats.org/officeDocument/2006/relationships/worksheet" Target="worksheets/sheet12.xml"/><Relationship Id="rId27" Type="http://schemas.openxmlformats.org/officeDocument/2006/relationships/worksheet" Target="worksheets/sheet17.xml"/><Relationship Id="rId30" Type="http://schemas.openxmlformats.org/officeDocument/2006/relationships/worksheet" Target="worksheets/sheet20.xml"/><Relationship Id="rId35" Type="http://schemas.openxmlformats.org/officeDocument/2006/relationships/worksheet" Target="worksheets/sheet25.xml"/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2.xml"/><Relationship Id="rId17" Type="http://schemas.openxmlformats.org/officeDocument/2006/relationships/worksheet" Target="worksheets/sheet7.xml"/><Relationship Id="rId25" Type="http://schemas.openxmlformats.org/officeDocument/2006/relationships/worksheet" Target="worksheets/sheet15.xml"/><Relationship Id="rId33" Type="http://schemas.openxmlformats.org/officeDocument/2006/relationships/worksheet" Target="worksheets/sheet23.xml"/><Relationship Id="rId38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Slik ser fylkeskommunens ressursbruk ut - rapporterte tall KOSTRA</a:t>
            </a:r>
            <a:br>
              <a:rPr lang="en-US">
                <a:solidFill>
                  <a:srgbClr val="FF0000"/>
                </a:solidFill>
              </a:rPr>
            </a:b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sammenlignet med landsgjennomsnitt(=0), (kroner per innbygger)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1'!$C$69:$C$78</c:f>
              <c:numCache>
                <c:formatCode>#,##0</c:formatCode>
                <c:ptCount val="10"/>
                <c:pt idx="0">
                  <c:v>892.61869524919052</c:v>
                </c:pt>
                <c:pt idx="1">
                  <c:v>279.96210334184252</c:v>
                </c:pt>
                <c:pt idx="2">
                  <c:v>548.60199168170948</c:v>
                </c:pt>
                <c:pt idx="3">
                  <c:v>-476.17426313965007</c:v>
                </c:pt>
                <c:pt idx="4">
                  <c:v>-13.499589419728864</c:v>
                </c:pt>
                <c:pt idx="5">
                  <c:v>86.683905502686571</c:v>
                </c:pt>
                <c:pt idx="6">
                  <c:v>390.77701987943078</c:v>
                </c:pt>
                <c:pt idx="7">
                  <c:v>16.102122118508078</c:v>
                </c:pt>
                <c:pt idx="8">
                  <c:v>469.61927057867376</c:v>
                </c:pt>
                <c:pt idx="9">
                  <c:v>-409.45386529428174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8-43EB-878E-79D05B0AFD82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2'!$C$69:$C$78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8-43EB-878E-79D05B0AFD82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3'!$C$69:$C$78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F8-43EB-878E-79D05B0AFD82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4'!$C$69:$C$78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F8-43EB-878E-79D05B0AF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08544"/>
        <c:axId val="187710080"/>
      </c:barChart>
      <c:catAx>
        <c:axId val="18770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0"/>
            </a:pPr>
            <a:endParaRPr lang="nb-NO"/>
          </a:p>
        </c:txPr>
        <c:crossAx val="187710080"/>
        <c:crosses val="autoZero"/>
        <c:auto val="1"/>
        <c:lblAlgn val="ctr"/>
        <c:lblOffset val="100"/>
        <c:noMultiLvlLbl val="0"/>
      </c:catAx>
      <c:valAx>
        <c:axId val="187710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nb-NO"/>
          </a:p>
        </c:txPr>
        <c:crossAx val="1877085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nb-N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2000" b="1">
                <a:solidFill>
                  <a:srgbClr val="FF0000"/>
                </a:solidFill>
              </a:rPr>
              <a:t>Ressursbruk til</a:t>
            </a:r>
            <a:r>
              <a:rPr lang="en-US" sz="2000" b="1" baseline="0">
                <a:solidFill>
                  <a:srgbClr val="FF0000"/>
                </a:solidFill>
              </a:rPr>
              <a:t> (prioritering av) øvrige tjenester                                    korrigert for forskjeller i inntektsnivå</a:t>
            </a:r>
            <a:endParaRPr lang="en-US" sz="2000" b="1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0741589883626"/>
          <c:y val="0.20952343823380445"/>
          <c:w val="0.87690576012038424"/>
          <c:h val="0.5064093232142237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1'!$H$47:$H$53</c:f>
              <c:numCache>
                <c:formatCode>#,##0</c:formatCode>
                <c:ptCount val="7"/>
                <c:pt idx="0">
                  <c:v>304.44436369538886</c:v>
                </c:pt>
                <c:pt idx="1">
                  <c:v>-5.2819683035155549</c:v>
                </c:pt>
                <c:pt idx="2">
                  <c:v>-24.755209107267206</c:v>
                </c:pt>
                <c:pt idx="3">
                  <c:v>132.36379951973728</c:v>
                </c:pt>
                <c:pt idx="4">
                  <c:v>202.28913122431891</c:v>
                </c:pt>
                <c:pt idx="5">
                  <c:v>0.21101197352462961</c:v>
                </c:pt>
                <c:pt idx="6">
                  <c:v>-0.38240161140926326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F-4E22-B78C-0BB1423F6FAA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2'!$H$47:$H$53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F-4E22-B78C-0BB1423F6FAA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3'!$H$47:$H$53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F-4E22-B78C-0BB1423F6FAA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4'!$H$47:$H$53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0F-4E22-B78C-0BB1423F6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21216"/>
        <c:axId val="198522752"/>
      </c:barChart>
      <c:catAx>
        <c:axId val="19852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700000"/>
          <a:lstStyle/>
          <a:p>
            <a:pPr>
              <a:defRPr sz="1300"/>
            </a:pPr>
            <a:endParaRPr lang="nb-NO"/>
          </a:p>
        </c:txPr>
        <c:crossAx val="198522752"/>
        <c:crosses val="autoZero"/>
        <c:auto val="1"/>
        <c:lblAlgn val="ctr"/>
        <c:lblOffset val="100"/>
        <c:noMultiLvlLbl val="0"/>
      </c:catAx>
      <c:valAx>
        <c:axId val="198522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85212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</a:defRPr>
            </a:pPr>
            <a:r>
              <a:rPr lang="en-US" sz="1500" b="1">
                <a:solidFill>
                  <a:srgbClr val="FF0000"/>
                </a:solidFill>
              </a:rPr>
              <a:t>Anslag for fylkeskommunens ressursbruk sammenlignet</a:t>
            </a:r>
            <a:r>
              <a:rPr lang="en-US" sz="1500" b="1" baseline="0">
                <a:solidFill>
                  <a:srgbClr val="FF0000"/>
                </a:solidFill>
              </a:rPr>
              <a:t> med landsgjennomsnittet (=1) som staten benytter. Fylkeskommunen blir kompensert/trukket ut fra dette i rammetilskuddet.</a:t>
            </a:r>
            <a:r>
              <a:rPr lang="en-US" sz="1500" b="1">
                <a:solidFill>
                  <a:schemeClr val="accent5">
                    <a:lumMod val="75000"/>
                  </a:schemeClr>
                </a:solidFill>
              </a:rPr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Buss og bane</c:v>
                </c:pt>
                <c:pt idx="3">
                  <c:v>Båt og ferje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1'!$C$59:$C$64</c:f>
              <c:numCache>
                <c:formatCode>0.0000</c:formatCode>
                <c:ptCount val="6"/>
                <c:pt idx="0">
                  <c:v>1.012572546855</c:v>
                </c:pt>
                <c:pt idx="1">
                  <c:v>1.2942396964060001</c:v>
                </c:pt>
                <c:pt idx="2">
                  <c:v>1.05514238388</c:v>
                </c:pt>
                <c:pt idx="3">
                  <c:v>1.138105922492</c:v>
                </c:pt>
                <c:pt idx="4">
                  <c:v>0.99297800244399992</c:v>
                </c:pt>
                <c:pt idx="5">
                  <c:v>1.08347192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D-4F13-BC2B-6067D2EFF472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Buss og bane</c:v>
                </c:pt>
                <c:pt idx="3">
                  <c:v>Båt og ferje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2'!$C$59:$C$64</c:f>
              <c:numCache>
                <c:formatCode>0.0000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D-4F13-BC2B-6067D2EFF472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Buss og bane</c:v>
                </c:pt>
                <c:pt idx="3">
                  <c:v>Båt og ferje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3'!$C$59:$C$64</c:f>
              <c:numCache>
                <c:formatCode>0.0000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BD-4F13-BC2B-6067D2EFF472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Buss og bane</c:v>
                </c:pt>
                <c:pt idx="3">
                  <c:v>Båt og ferje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4'!$C$59:$C$64</c:f>
              <c:numCache>
                <c:formatCode>0.0000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BD-4F13-BC2B-6067D2EFF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58816"/>
        <c:axId val="192260352"/>
      </c:barChart>
      <c:lineChart>
        <c:grouping val="standard"/>
        <c:varyColors val="0"/>
        <c:ser>
          <c:idx val="4"/>
          <c:order val="4"/>
          <c:tx>
            <c:strRef>
              <c:f>'Tabeller fylkeskom 2'!$D$58</c:f>
              <c:strCache>
                <c:ptCount val="1"/>
                <c:pt idx="0">
                  <c:v>Landet</c:v>
                </c:pt>
              </c:strCache>
            </c:strRef>
          </c:tx>
          <c:spPr>
            <a:ln w="50800"/>
          </c:spPr>
          <c:marker>
            <c:symbol val="none"/>
          </c:marker>
          <c:val>
            <c:numRef>
              <c:f>'Tabeller fylkeskom 2'!$D$59:$D$64</c:f>
              <c:numCache>
                <c:formatCode>0.0000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BD-4F13-BC2B-6067D2EFF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58816"/>
        <c:axId val="192260352"/>
      </c:lineChart>
      <c:catAx>
        <c:axId val="19225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/>
            </a:pPr>
            <a:endParaRPr lang="nb-NO"/>
          </a:p>
        </c:txPr>
        <c:crossAx val="192260352"/>
        <c:crosses val="autoZero"/>
        <c:auto val="1"/>
        <c:lblAlgn val="ctr"/>
        <c:lblOffset val="100"/>
        <c:noMultiLvlLbl val="0"/>
      </c:catAx>
      <c:valAx>
        <c:axId val="19226035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22588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73024"/>
        <c:axId val="192274816"/>
      </c:barChart>
      <c:catAx>
        <c:axId val="19227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274816"/>
        <c:crosses val="autoZero"/>
        <c:auto val="1"/>
        <c:lblAlgn val="ctr"/>
        <c:lblOffset val="100"/>
        <c:noMultiLvlLbl val="0"/>
      </c:catAx>
      <c:valAx>
        <c:axId val="19227481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92273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Fylkeskommunens frie disponible</a:t>
            </a:r>
            <a:r>
              <a:rPr lang="en-US" baseline="0">
                <a:solidFill>
                  <a:srgbClr val="FF0000"/>
                </a:solidFill>
              </a:rPr>
              <a:t> inntekter </a:t>
            </a:r>
            <a:r>
              <a:rPr lang="en-US">
                <a:solidFill>
                  <a:srgbClr val="FF0000"/>
                </a:solidFill>
              </a:rPr>
              <a:t>og ressursbruk (kr per innb)</a:t>
            </a:r>
            <a:r>
              <a:rPr lang="en-US"/>
              <a:t> </a:t>
            </a:r>
          </a:p>
          <a:p>
            <a:pPr>
              <a:defRPr/>
            </a:pPr>
            <a:r>
              <a:rPr lang="en-US">
                <a:solidFill>
                  <a:schemeClr val="accent5">
                    <a:lumMod val="75000"/>
                  </a:schemeClr>
                </a:solidFill>
              </a:rPr>
              <a:t>avvik fra landsgjennomsnitt(=0) korrigert for kommunens utgiftsbehov m.m </a:t>
            </a:r>
          </a:p>
          <a:p>
            <a:pPr>
              <a:defRPr/>
            </a:pPr>
            <a:r>
              <a:rPr lang="en-US">
                <a:solidFill>
                  <a:schemeClr val="accent5">
                    <a:lumMod val="75000"/>
                  </a:schemeClr>
                </a:solidFill>
              </a:rPr>
              <a:t>(kroner </a:t>
            </a:r>
            <a:r>
              <a:rPr lang="en-US" baseline="0">
                <a:solidFill>
                  <a:schemeClr val="accent5">
                    <a:lumMod val="75000"/>
                  </a:schemeClr>
                </a:solidFill>
              </a:rPr>
              <a:t>per innbygger)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1'!$C$7:$C$12</c:f>
              <c:numCache>
                <c:formatCode>#,##0</c:formatCode>
                <c:ptCount val="6"/>
                <c:pt idx="0">
                  <c:v>-67.43964362562474</c:v>
                </c:pt>
                <c:pt idx="1">
                  <c:v>-413.18995420616397</c:v>
                </c:pt>
                <c:pt idx="2">
                  <c:v>298.275230156715</c:v>
                </c:pt>
                <c:pt idx="3">
                  <c:v>-12.690324860571394</c:v>
                </c:pt>
                <c:pt idx="4">
                  <c:v>469.61927057867376</c:v>
                </c:pt>
                <c:pt idx="5">
                  <c:v>-409.45386529428174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B-4B4C-8C9C-0728C535B8D9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2'!$C$7:$C$12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B-4B4C-8C9C-0728C535B8D9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3'!$C$7:$C$12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B-4B4C-8C9C-0728C535B8D9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4'!$C$7:$C$12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5B-4B4C-8C9C-0728C535B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29056"/>
        <c:axId val="195630592"/>
      </c:barChart>
      <c:catAx>
        <c:axId val="19562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 sz="1400"/>
            </a:pPr>
            <a:endParaRPr lang="nb-NO"/>
          </a:p>
        </c:txPr>
        <c:crossAx val="195630592"/>
        <c:crosses val="autoZero"/>
        <c:auto val="1"/>
        <c:lblAlgn val="ctr"/>
        <c:lblOffset val="100"/>
        <c:noMultiLvlLbl val="0"/>
      </c:catAx>
      <c:valAx>
        <c:axId val="195630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6290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900" b="0">
                <a:solidFill>
                  <a:srgbClr val="FF0000"/>
                </a:solidFill>
              </a:rPr>
              <a:t>Tjenester innenfor</a:t>
            </a:r>
            <a:r>
              <a:rPr lang="en-US" sz="1900" b="0" baseline="0">
                <a:solidFill>
                  <a:srgbClr val="FF0000"/>
                </a:solidFill>
              </a:rPr>
              <a:t> inntektssystemet  </a:t>
            </a:r>
          </a:p>
          <a:p>
            <a:pPr>
              <a:defRPr/>
            </a:pPr>
            <a:r>
              <a:rPr lang="en-US" sz="1900" b="0">
                <a:solidFill>
                  <a:srgbClr val="FF0000"/>
                </a:solidFill>
              </a:rPr>
              <a:t>Fylkeskommunens ressursbruk korrigert for  forskjeller i utgiftsbehov m.m </a:t>
            </a:r>
            <a:endParaRPr lang="en-US" sz="1400" b="0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31024089973402"/>
          <c:y val="0.1975637876816175"/>
          <c:w val="0.86802982770881298"/>
          <c:h val="0.5645899265214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1'!$E$30:$E$35</c:f>
              <c:numCache>
                <c:formatCode>#,##0</c:formatCode>
                <c:ptCount val="6"/>
                <c:pt idx="0">
                  <c:v>-413.18995420616397</c:v>
                </c:pt>
                <c:pt idx="1">
                  <c:v>193.45954329395227</c:v>
                </c:pt>
                <c:pt idx="2">
                  <c:v>41.650174251371936</c:v>
                </c:pt>
                <c:pt idx="3">
                  <c:v>-615.12635673089017</c:v>
                </c:pt>
                <c:pt idx="4">
                  <c:v>-125.23240810736411</c:v>
                </c:pt>
                <c:pt idx="5">
                  <c:v>92.059093086766097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6-42CA-9757-E4A8461BB363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2'!$E$30:$E$35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6-42CA-9757-E4A8461BB363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3'!$E$30:$E$35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16-42CA-9757-E4A8461BB363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4'!$E$30:$E$35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16-42CA-9757-E4A8461BB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55168"/>
        <c:axId val="195656704"/>
      </c:barChart>
      <c:catAx>
        <c:axId val="19565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400000" vert="horz"/>
          <a:lstStyle/>
          <a:p>
            <a:pPr>
              <a:defRPr sz="1400"/>
            </a:pPr>
            <a:endParaRPr lang="nb-NO"/>
          </a:p>
        </c:txPr>
        <c:crossAx val="195656704"/>
        <c:crosses val="autoZero"/>
        <c:auto val="1"/>
        <c:lblAlgn val="ctr"/>
        <c:lblOffset val="100"/>
        <c:noMultiLvlLbl val="0"/>
      </c:catAx>
      <c:valAx>
        <c:axId val="19565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65516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2000" b="0">
                <a:solidFill>
                  <a:srgbClr val="FF0000"/>
                </a:solidFill>
              </a:rPr>
              <a:t>Ressursbruk</a:t>
            </a:r>
            <a:r>
              <a:rPr lang="en-US" sz="2000" b="0" baseline="0">
                <a:solidFill>
                  <a:srgbClr val="FF0000"/>
                </a:solidFill>
              </a:rPr>
              <a:t> øvrige tjenester</a:t>
            </a:r>
            <a:endParaRPr lang="en-US" sz="2000" b="0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9637713928636"/>
          <c:y val="0.15851829626672365"/>
          <c:w val="0.8660161477158832"/>
          <c:h val="0.521056502419483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1'!$E$47:$E$53</c:f>
              <c:numCache>
                <c:formatCode>#,##0</c:formatCode>
                <c:ptCount val="7"/>
                <c:pt idx="0">
                  <c:v>298.27523015671483</c:v>
                </c:pt>
                <c:pt idx="1">
                  <c:v>-8.7227549897183962</c:v>
                </c:pt>
                <c:pt idx="2">
                  <c:v>-25.667435625649915</c:v>
                </c:pt>
                <c:pt idx="3">
                  <c:v>132.07871816802148</c:v>
                </c:pt>
                <c:pt idx="4">
                  <c:v>200.75886664121577</c:v>
                </c:pt>
                <c:pt idx="5">
                  <c:v>0.21196540058221064</c:v>
                </c:pt>
                <c:pt idx="6">
                  <c:v>-0.38412943773632058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7-4691-90EB-9DF5DCEF7E1B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2'!$E$47:$E$53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7-4691-90EB-9DF5DCEF7E1B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3'!$E$47:$E$53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7-4691-90EB-9DF5DCEF7E1B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4'!$E$47:$E$53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47-4691-90EB-9DF5DCEF7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82848"/>
        <c:axId val="197584384"/>
      </c:barChart>
      <c:catAx>
        <c:axId val="19758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700000"/>
          <a:lstStyle/>
          <a:p>
            <a:pPr>
              <a:defRPr sz="1400"/>
            </a:pPr>
            <a:endParaRPr lang="nb-NO"/>
          </a:p>
        </c:txPr>
        <c:crossAx val="197584384"/>
        <c:crosses val="autoZero"/>
        <c:auto val="1"/>
        <c:lblAlgn val="ctr"/>
        <c:lblOffset val="100"/>
        <c:noMultiLvlLbl val="0"/>
      </c:catAx>
      <c:valAx>
        <c:axId val="19758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758284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21568"/>
        <c:axId val="198584576"/>
      </c:barChart>
      <c:catAx>
        <c:axId val="19222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8584576"/>
        <c:crosses val="autoZero"/>
        <c:auto val="1"/>
        <c:lblAlgn val="ctr"/>
        <c:lblOffset val="100"/>
        <c:noMultiLvlLbl val="0"/>
      </c:catAx>
      <c:valAx>
        <c:axId val="19858457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9222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nb-NO" sz="2000" b="0">
                <a:solidFill>
                  <a:srgbClr val="FF0000"/>
                </a:solidFill>
              </a:rPr>
              <a:t>Ressursbruk (prioritering) justert</a:t>
            </a:r>
            <a:r>
              <a:rPr lang="nb-NO" sz="2000" b="0" baseline="0">
                <a:solidFill>
                  <a:srgbClr val="FF0000"/>
                </a:solidFill>
              </a:rPr>
              <a:t> for  ulikheter i</a:t>
            </a:r>
            <a:r>
              <a:rPr lang="nb-NO" sz="2000" b="0">
                <a:solidFill>
                  <a:srgbClr val="FF0000"/>
                </a:solidFill>
              </a:rPr>
              <a:t> inntekt og utgiftsbehov </a:t>
            </a:r>
            <a:r>
              <a:rPr lang="nb-NO" sz="1600" b="1">
                <a:solidFill>
                  <a:schemeClr val="tx2">
                    <a:lumMod val="75000"/>
                  </a:schemeClr>
                </a:solidFill>
              </a:rPr>
              <a:t>sammenlignet</a:t>
            </a:r>
            <a:r>
              <a:rPr lang="nb-NO" sz="1600" b="1" baseline="0">
                <a:solidFill>
                  <a:schemeClr val="tx2">
                    <a:lumMod val="75000"/>
                  </a:schemeClr>
                </a:solidFill>
              </a:rPr>
              <a:t> </a:t>
            </a:r>
            <a:r>
              <a:rPr lang="nb-NO" sz="1600" b="1">
                <a:solidFill>
                  <a:schemeClr val="tx2">
                    <a:lumMod val="75000"/>
                  </a:schemeClr>
                </a:solidFill>
              </a:rPr>
              <a:t>med landsgjennomsnitt(=0) (kroner per innbygger)</a:t>
            </a:r>
          </a:p>
        </c:rich>
      </c:tx>
      <c:layout>
        <c:manualLayout>
          <c:xMode val="edge"/>
          <c:yMode val="edge"/>
          <c:x val="0.13367382767690716"/>
          <c:y val="1.04448743382925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1'!$D$8:$D$12</c:f>
              <c:numCache>
                <c:formatCode>#,##0</c:formatCode>
                <c:ptCount val="5"/>
                <c:pt idx="0">
                  <c:v>-360.90125067898515</c:v>
                </c:pt>
                <c:pt idx="1">
                  <c:v>304.44436369538903</c:v>
                </c:pt>
                <c:pt idx="2">
                  <c:v>-13.468537893287277</c:v>
                </c:pt>
                <c:pt idx="3">
                  <c:v>472.91612299286965</c:v>
                </c:pt>
                <c:pt idx="4">
                  <c:v>-402.99069811599065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A-43A4-A1F2-14BCA481C74C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2'!$D$8:$D$12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6A-43A4-A1F2-14BCA481C74C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3'!$D$8:$D$12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6A-43A4-A1F2-14BCA481C74C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4'!$D$8:$D$12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6A-43A4-A1F2-14BCA481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86816"/>
        <c:axId val="198388352"/>
      </c:barChart>
      <c:catAx>
        <c:axId val="19838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 sz="1400"/>
            </a:pPr>
            <a:endParaRPr lang="nb-NO"/>
          </a:p>
        </c:txPr>
        <c:crossAx val="198388352"/>
        <c:crosses val="autoZero"/>
        <c:auto val="1"/>
        <c:lblAlgn val="ctr"/>
        <c:lblOffset val="100"/>
        <c:noMultiLvlLbl val="0"/>
      </c:catAx>
      <c:valAx>
        <c:axId val="198388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83868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600"/>
          </a:pPr>
          <a:endParaRPr lang="nb-NO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800" b="1">
                <a:solidFill>
                  <a:srgbClr val="FF0000"/>
                </a:solidFill>
              </a:rPr>
              <a:t>Tjenester innenfor inntektssystemet  </a:t>
            </a:r>
          </a:p>
          <a:p>
            <a:pPr>
              <a:defRPr/>
            </a:pPr>
            <a:r>
              <a:rPr lang="en-US" sz="1800" b="1">
                <a:solidFill>
                  <a:srgbClr val="FF0000"/>
                </a:solidFill>
              </a:rPr>
              <a:t>Ressursbruk (prioritering)</a:t>
            </a:r>
            <a:r>
              <a:rPr lang="en-US" sz="1800" b="1" baseline="0">
                <a:solidFill>
                  <a:srgbClr val="FF0000"/>
                </a:solidFill>
              </a:rPr>
              <a:t> hensyntatt forskjeller i inntekter og utgiftsbehov</a:t>
            </a:r>
            <a:endParaRPr lang="en-US" sz="1800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3458520642083505"/>
          <c:y val="1.9661362699704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25659609486498"/>
          <c:y val="0.19865899919907107"/>
          <c:w val="0.86972332301388189"/>
          <c:h val="0.630271034418888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1'!$H$30:$H$35</c:f>
              <c:numCache>
                <c:formatCode>#,##0</c:formatCode>
                <c:ptCount val="6"/>
                <c:pt idx="0">
                  <c:v>-360.90125067898515</c:v>
                </c:pt>
                <c:pt idx="1">
                  <c:v>221.12154650845696</c:v>
                </c:pt>
                <c:pt idx="2">
                  <c:v>49.06901001587994</c:v>
                </c:pt>
                <c:pt idx="3">
                  <c:v>-603.82159375902393</c:v>
                </c:pt>
                <c:pt idx="4">
                  <c:v>-121.58812344882847</c:v>
                </c:pt>
                <c:pt idx="5">
                  <c:v>94.317910004530347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B-4362-85F3-FB3B4D9966A4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2'!$H$30:$H$35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B-4362-85F3-FB3B4D9966A4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3'!$H$30:$H$35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FB-4362-85F3-FB3B4D9966A4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4'!$H$30:$H$35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FB-4362-85F3-FB3B4D996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15072"/>
        <c:axId val="199733248"/>
      </c:barChart>
      <c:catAx>
        <c:axId val="19971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/>
            </a:pPr>
            <a:endParaRPr lang="nb-NO"/>
          </a:p>
        </c:txPr>
        <c:crossAx val="199733248"/>
        <c:crosses val="autoZero"/>
        <c:auto val="1"/>
        <c:lblAlgn val="ctr"/>
        <c:lblOffset val="100"/>
        <c:noMultiLvlLbl val="0"/>
      </c:catAx>
      <c:valAx>
        <c:axId val="19973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97150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Diagram1"/>
  <sheetViews>
    <sheetView zoomScale="118" workbookViewId="0" zoomToFit="1"/>
  </sheetViews>
  <sheetProtection password="F91D" objects="1"/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Diagram5"/>
  <sheetViews>
    <sheetView zoomScale="118" workbookViewId="0" zoomToFit="1"/>
  </sheetViews>
  <sheetProtection password="F91D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2"/>
  <sheetViews>
    <sheetView zoomScale="118" workbookViewId="0" zoomToFit="1"/>
  </sheetViews>
  <sheetProtection password="F91D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130" workbookViewId="0" zoomToFit="1"/>
  </sheetViews>
  <sheetProtection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Diagram6"/>
  <sheetViews>
    <sheetView zoomScale="118" workbookViewId="0" zoomToFit="1"/>
  </sheetViews>
  <sheetProtection password="F91D" objects="1"/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Diagram7"/>
  <sheetViews>
    <sheetView workbookViewId="0"/>
  </sheetViews>
  <sheetProtection password="F91D" objects="1"/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8"/>
  <sheetViews>
    <sheetView zoomScale="118" workbookViewId="0" zoomToFit="1"/>
  </sheetViews>
  <sheetProtection password="F91D" objects="1"/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9"/>
  <sheetViews>
    <sheetView zoomScale="118" workbookViewId="0" zoomToFit="1"/>
  </sheetViews>
  <sheetProtection objects="1"/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Diagram10"/>
  <sheetViews>
    <sheetView zoomScale="118" workbookViewId="0" zoomToFit="1"/>
  </sheetViews>
  <sheetProtection password="F91D" objects="1"/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Diagram3"/>
  <sheetViews>
    <sheetView zoomScale="118" workbookViewId="0" zoomToFit="1"/>
  </sheetViews>
  <sheetProtection password="F91D" objects="1"/>
  <pageMargins left="0.7" right="0.7" top="0.75" bottom="0.75" header="0.3" footer="0.3"/>
  <pageSetup paperSize="9" orientation="landscape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AB8FB9ED-CA21-4562-89F6-03C87F6CFA4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304586" cy="6077107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0.19509</cdr:x>
      <cdr:y>0.93679</cdr:y>
    </cdr:from>
    <cdr:to>
      <cdr:x>0.77497</cdr:x>
      <cdr:y>0.98708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1814689" y="5695244"/>
          <a:ext cx="5393737" cy="305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0.22808</cdr:x>
      <cdr:y>0.948</cdr:y>
    </cdr:from>
    <cdr:to>
      <cdr:x>0.80795</cdr:x>
      <cdr:y>0.99829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2121311" y="5763049"/>
          <a:ext cx="5393303" cy="305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605971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2DE9002-CB5C-43F0-A015-5536DDD11DA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304587" cy="6077107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0.24247</cdr:x>
      <cdr:y>0.94158</cdr:y>
    </cdr:from>
    <cdr:to>
      <cdr:x>0.82528</cdr:x>
      <cdr:y>0.99187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2255191" y="5724022"/>
          <a:ext cx="5420647" cy="305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0.24906</cdr:x>
      <cdr:y>0.94971</cdr:y>
    </cdr:from>
    <cdr:to>
      <cdr:x>0.82893</cdr:x>
      <cdr:y>1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2316454" y="5773468"/>
          <a:ext cx="5393302" cy="305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I14"/>
  <sheetViews>
    <sheetView showGridLines="0" tabSelected="1" workbookViewId="0">
      <selection activeCell="B5" sqref="B5"/>
    </sheetView>
  </sheetViews>
  <sheetFormatPr baseColWidth="10" defaultRowHeight="14.4" x14ac:dyDescent="0.3"/>
  <cols>
    <col min="1" max="1" width="19.88671875" customWidth="1"/>
    <col min="2" max="2" width="18.5546875" bestFit="1" customWidth="1"/>
  </cols>
  <sheetData>
    <row r="1" spans="1:9" x14ac:dyDescent="0.3">
      <c r="I1" s="111">
        <f>B5/VLOOKUP(B$5,'2021 Nto driftsutg'!$A$5:$B$15,1,TRUE)</f>
        <v>1</v>
      </c>
    </row>
    <row r="2" spans="1:9" ht="25.8" x14ac:dyDescent="0.5">
      <c r="A2" s="72" t="s">
        <v>136</v>
      </c>
    </row>
    <row r="3" spans="1:9" ht="25.8" x14ac:dyDescent="0.5">
      <c r="A3" s="72"/>
    </row>
    <row r="5" spans="1:9" ht="26.25" customHeight="1" x14ac:dyDescent="0.5">
      <c r="A5" s="42" t="s">
        <v>1</v>
      </c>
      <c r="B5" s="92">
        <v>5000</v>
      </c>
      <c r="C5" s="114" t="str">
        <f>IF(B5=0,"",IF(I1=1,VLOOKUP(B5,Fylkeskommuner!$A$5:$B$15,2),"Kommunenr. er ikke i bruk"))</f>
        <v>TRØNDELAG</v>
      </c>
      <c r="D5" s="115"/>
      <c r="E5" s="115"/>
      <c r="F5" s="115"/>
      <c r="G5" s="115"/>
    </row>
    <row r="6" spans="1:9" ht="25.8" x14ac:dyDescent="0.5">
      <c r="A6" s="42"/>
      <c r="B6" s="42"/>
      <c r="C6" s="110" t="str">
        <f>IF(C5="Kommunenr. er ikke i bruk","NB! Sør- og Nord-Trøndelag er slått sammen til 5000 Trøndelag fra 2017","")</f>
        <v/>
      </c>
    </row>
    <row r="7" spans="1:9" ht="25.8" x14ac:dyDescent="0.5">
      <c r="A7" s="72" t="s">
        <v>389</v>
      </c>
      <c r="B7" s="42"/>
      <c r="C7" s="42"/>
    </row>
    <row r="9" spans="1:9" ht="25.8" x14ac:dyDescent="0.5">
      <c r="A9" s="42" t="s">
        <v>1</v>
      </c>
      <c r="B9" s="92">
        <v>0</v>
      </c>
      <c r="C9" s="114" t="str">
        <f>IF(B9=0,"",IF(I1=1,VLOOKUP(B9,Fylkeskommuner!$A$5:$B$15,2),"Kommunenr. er ikke i bruk"))</f>
        <v/>
      </c>
      <c r="D9" s="115"/>
      <c r="E9" s="115"/>
      <c r="F9" s="115"/>
      <c r="G9" s="115"/>
    </row>
    <row r="10" spans="1:9" x14ac:dyDescent="0.3">
      <c r="C10" s="110" t="str">
        <f>IF(C9="Kommunenr. er ikke i bruk","NB! Sør- og Nord-Trøndelag er slått sammen til 5000 Trøndelag fra 2017","")</f>
        <v/>
      </c>
    </row>
    <row r="11" spans="1:9" ht="25.8" x14ac:dyDescent="0.5">
      <c r="A11" s="42" t="s">
        <v>1</v>
      </c>
      <c r="B11" s="92">
        <v>0</v>
      </c>
      <c r="C11" s="114" t="str">
        <f>IF(B11=0,"",IF(I1=1,VLOOKUP(B11,Fylkeskommuner!$A$5:$B$15,2),"Kommunenr. er ikke i bruk"))</f>
        <v/>
      </c>
      <c r="D11" s="115"/>
      <c r="E11" s="115"/>
      <c r="F11" s="115"/>
      <c r="G11" s="115"/>
    </row>
    <row r="12" spans="1:9" x14ac:dyDescent="0.3">
      <c r="C12" s="110" t="str">
        <f>IF(C11="Kommunenr. er ikke i bruk","NB! Sør- og Nord-Trøndelag er slått sammen til 5000 Trøndelag fra 2017","")</f>
        <v/>
      </c>
    </row>
    <row r="13" spans="1:9" ht="25.8" x14ac:dyDescent="0.5">
      <c r="A13" s="42" t="s">
        <v>1</v>
      </c>
      <c r="B13" s="92">
        <v>0</v>
      </c>
      <c r="C13" s="114" t="str">
        <f>IF(B13=0,"",IF(I1=1,VLOOKUP(B13,Fylkeskommuner!$A$5:$B$15,2),"Kommunenr. er ikke i bruk"))</f>
        <v/>
      </c>
      <c r="D13" s="115"/>
      <c r="E13" s="115"/>
      <c r="F13" s="115"/>
      <c r="G13" s="115"/>
    </row>
    <row r="14" spans="1:9" x14ac:dyDescent="0.3">
      <c r="C14" s="110" t="str">
        <f>IF(C13="Kommunenr. er ikke i bruk","NB! Sør- og Nord-Trøndelag er slått sammen til 5000 Trøndelag fra 2017","")</f>
        <v/>
      </c>
    </row>
  </sheetData>
  <sheetProtection selectLockedCells="1"/>
  <mergeCells count="4">
    <mergeCell ref="C5:G5"/>
    <mergeCell ref="C9:G9"/>
    <mergeCell ref="C11:G11"/>
    <mergeCell ref="C13:G13"/>
  </mergeCells>
  <pageMargins left="0.7" right="0.7" top="0.75" bottom="0.75" header="0.3" footer="0.3"/>
  <ignoredErrors>
    <ignoredError sqref="C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W18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20" width="13.109375" customWidth="1"/>
    <col min="21" max="21" width="5.44140625" customWidth="1"/>
    <col min="22" max="22" width="12.44140625" customWidth="1"/>
  </cols>
  <sheetData>
    <row r="1" spans="1:23" x14ac:dyDescent="0.3">
      <c r="I1" s="5"/>
    </row>
    <row r="2" spans="1:23" ht="104.25" customHeight="1" x14ac:dyDescent="0.3">
      <c r="A2" s="24" t="s">
        <v>2</v>
      </c>
      <c r="B2" s="24" t="s">
        <v>1</v>
      </c>
      <c r="C2" s="24" t="s">
        <v>26</v>
      </c>
      <c r="D2" s="24" t="s">
        <v>166</v>
      </c>
      <c r="E2" s="24" t="s">
        <v>167</v>
      </c>
      <c r="F2" s="24" t="s">
        <v>290</v>
      </c>
      <c r="G2" s="24" t="s">
        <v>291</v>
      </c>
      <c r="H2" s="24" t="s">
        <v>168</v>
      </c>
      <c r="I2" s="13" t="s">
        <v>28</v>
      </c>
      <c r="J2" s="24" t="s">
        <v>14</v>
      </c>
      <c r="K2" s="24" t="s">
        <v>169</v>
      </c>
      <c r="L2" s="24" t="s">
        <v>170</v>
      </c>
      <c r="M2" s="24" t="s">
        <v>15</v>
      </c>
      <c r="N2" s="24" t="s">
        <v>171</v>
      </c>
      <c r="O2" s="24" t="s">
        <v>172</v>
      </c>
      <c r="P2" s="24" t="s">
        <v>16</v>
      </c>
      <c r="Q2" s="24" t="s">
        <v>173</v>
      </c>
      <c r="R2" s="24" t="s">
        <v>13</v>
      </c>
      <c r="S2" s="24" t="s">
        <v>19</v>
      </c>
      <c r="T2" s="24" t="s">
        <v>20</v>
      </c>
      <c r="U2" s="24"/>
      <c r="V2" s="24"/>
      <c r="W2" s="24"/>
    </row>
    <row r="3" spans="1:23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>H3+1</f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/>
      <c r="W3" s="107"/>
    </row>
    <row r="4" spans="1:23" x14ac:dyDescent="0.3">
      <c r="I4" s="21"/>
    </row>
    <row r="5" spans="1:23" x14ac:dyDescent="0.3">
      <c r="A5" s="43">
        <v>300</v>
      </c>
      <c r="B5" s="44" t="s">
        <v>0</v>
      </c>
      <c r="C5" s="1">
        <f t="shared" ref="C5:C15" si="1">SUM(D5:I5)+R5+S5+T5</f>
        <v>6852081.9003129108</v>
      </c>
      <c r="D5" s="1">
        <f>+'2021 Nto driftsutg'!D5-'2021 Avskrivning'!D5</f>
        <v>3056478</v>
      </c>
      <c r="E5" s="1">
        <f>+'2021 Nto driftsutg'!E5-'2021 Avskrivning'!E5</f>
        <v>0</v>
      </c>
      <c r="F5" s="1">
        <f>+'2021 Nto driftsutg'!F5-'2021 Avskrivning'!F5</f>
        <v>3178024</v>
      </c>
      <c r="G5" s="1">
        <f>+'2021 Nto driftsutg'!G5-'2021 Avskrivning'!G5</f>
        <v>26603</v>
      </c>
      <c r="H5" s="1">
        <f>+'2021 Nto driftsutg'!H5-'2021 Avskrivning'!H5</f>
        <v>229653</v>
      </c>
      <c r="I5" s="11">
        <f t="shared" ref="I5:I15" si="2">SUM(J5:Q5)</f>
        <v>55030</v>
      </c>
      <c r="J5" s="1">
        <f>+'2021 Nto driftsutg'!J5-'2021 Avskrivning'!J5</f>
        <v>0</v>
      </c>
      <c r="K5" s="1">
        <f>+'2021 Nto driftsutg'!K5-'2021 Avskrivning'!K5</f>
        <v>106270</v>
      </c>
      <c r="L5" s="1">
        <f>+'2021 Nto driftsutg'!L5-'2021 Avskrivning'!L5</f>
        <v>0</v>
      </c>
      <c r="M5" s="1">
        <f>+'2021 Nto driftsutg'!M5-'2021 Avskrivning'!M5</f>
        <v>2526</v>
      </c>
      <c r="N5" s="1">
        <f>+'2021 Nto driftsutg'!N5-'2021 Avskrivning'!N5</f>
        <v>-53766</v>
      </c>
      <c r="O5" s="1">
        <f>+'2021 Nto driftsutg'!O5-'2021 Avskrivning'!O5</f>
        <v>0</v>
      </c>
      <c r="P5" s="1">
        <f>+'2021 Nto driftsutg'!P5-'2021 Avskrivning'!P5</f>
        <v>0</v>
      </c>
      <c r="Q5" s="1">
        <f>+'2021 Nto driftsutg'!Q5-'2021 Avskrivning'!Q5</f>
        <v>0</v>
      </c>
      <c r="R5" s="1">
        <f>+'2021 Nto driftsutg'!R5-'2021 Avskrivning'!R5</f>
        <v>-325414.06606233004</v>
      </c>
      <c r="S5" s="1">
        <f>+'2021 Nto driftsutg'!S5</f>
        <v>171434.88734342158</v>
      </c>
      <c r="T5" s="1">
        <f>+'2021 Nto driftsutg'!T5</f>
        <v>460273.07903181907</v>
      </c>
      <c r="V5" s="1"/>
      <c r="W5" s="1"/>
    </row>
    <row r="6" spans="1:23" x14ac:dyDescent="0.3">
      <c r="A6" s="43">
        <v>1100</v>
      </c>
      <c r="B6" s="44" t="s">
        <v>141</v>
      </c>
      <c r="C6" s="1">
        <f t="shared" si="1"/>
        <v>6885145</v>
      </c>
      <c r="D6" s="1">
        <f>+'2021 Nto driftsutg'!D6-'2021 Avskrivning'!D6</f>
        <v>3073428</v>
      </c>
      <c r="E6" s="1">
        <f>+'2021 Nto driftsutg'!E6-'2021 Avskrivning'!E6</f>
        <v>643043</v>
      </c>
      <c r="F6" s="1">
        <f>+'2021 Nto driftsutg'!F6-'2021 Avskrivning'!F6</f>
        <v>838441</v>
      </c>
      <c r="G6" s="1">
        <f>+'2021 Nto driftsutg'!G6-'2021 Avskrivning'!G6</f>
        <v>466365</v>
      </c>
      <c r="H6" s="1">
        <f>+'2021 Nto driftsutg'!H6-'2021 Avskrivning'!H6</f>
        <v>249126</v>
      </c>
      <c r="I6" s="11">
        <f t="shared" si="2"/>
        <v>397445</v>
      </c>
      <c r="J6" s="1">
        <f>+'2021 Nto driftsutg'!J6-'2021 Avskrivning'!J6</f>
        <v>0</v>
      </c>
      <c r="K6" s="1">
        <f>+'2021 Nto driftsutg'!K6-'2021 Avskrivning'!K6</f>
        <v>253508</v>
      </c>
      <c r="L6" s="1">
        <f>+'2021 Nto driftsutg'!L6-'2021 Avskrivning'!L6</f>
        <v>73429</v>
      </c>
      <c r="M6" s="1">
        <f>+'2021 Nto driftsutg'!M6-'2021 Avskrivning'!M6</f>
        <v>-82802</v>
      </c>
      <c r="N6" s="1">
        <f>+'2021 Nto driftsutg'!N6-'2021 Avskrivning'!N6</f>
        <v>153908</v>
      </c>
      <c r="O6" s="1">
        <f>+'2021 Nto driftsutg'!O6-'2021 Avskrivning'!O6</f>
        <v>0</v>
      </c>
      <c r="P6" s="1">
        <f>+'2021 Nto driftsutg'!P6-'2021 Avskrivning'!P6</f>
        <v>-598</v>
      </c>
      <c r="Q6" s="1">
        <f>+'2021 Nto driftsutg'!Q6-'2021 Avskrivning'!Q6</f>
        <v>0</v>
      </c>
      <c r="R6" s="1">
        <f>+'2021 Nto driftsutg'!R6-'2021 Avskrivning'!R6</f>
        <v>-62600</v>
      </c>
      <c r="S6" s="1">
        <f>+'2021 Nto driftsutg'!S6</f>
        <v>512526</v>
      </c>
      <c r="T6" s="1">
        <f>+'2021 Nto driftsutg'!T6</f>
        <v>767371</v>
      </c>
      <c r="V6" s="1"/>
      <c r="W6" s="1"/>
    </row>
    <row r="7" spans="1:23" x14ac:dyDescent="0.3">
      <c r="A7" s="43">
        <v>1500</v>
      </c>
      <c r="B7" s="44" t="s">
        <v>142</v>
      </c>
      <c r="C7" s="1">
        <f t="shared" si="1"/>
        <v>5120815</v>
      </c>
      <c r="D7" s="1">
        <f>+'2021 Nto driftsutg'!D7-'2021 Avskrivning'!D7</f>
        <v>1754080</v>
      </c>
      <c r="E7" s="1">
        <f>+'2021 Nto driftsutg'!E7-'2021 Avskrivning'!E7</f>
        <v>703595</v>
      </c>
      <c r="F7" s="1">
        <f>+'2021 Nto driftsutg'!F7-'2021 Avskrivning'!F7</f>
        <v>552263</v>
      </c>
      <c r="G7" s="1">
        <f>+'2021 Nto driftsutg'!G7-'2021 Avskrivning'!G7</f>
        <v>803504</v>
      </c>
      <c r="H7" s="1">
        <f>+'2021 Nto driftsutg'!H7-'2021 Avskrivning'!H7</f>
        <v>165971</v>
      </c>
      <c r="I7" s="11">
        <f t="shared" si="2"/>
        <v>468809</v>
      </c>
      <c r="J7" s="1">
        <f>+'2021 Nto driftsutg'!J7-'2021 Avskrivning'!J7</f>
        <v>0</v>
      </c>
      <c r="K7" s="1">
        <f>+'2021 Nto driftsutg'!K7-'2021 Avskrivning'!K7</f>
        <v>211673</v>
      </c>
      <c r="L7" s="1">
        <f>+'2021 Nto driftsutg'!L7-'2021 Avskrivning'!L7</f>
        <v>101369</v>
      </c>
      <c r="M7" s="1">
        <f>+'2021 Nto driftsutg'!M7-'2021 Avskrivning'!M7</f>
        <v>49902</v>
      </c>
      <c r="N7" s="1">
        <f>+'2021 Nto driftsutg'!N7-'2021 Avskrivning'!N7</f>
        <v>104700</v>
      </c>
      <c r="O7" s="1">
        <f>+'2021 Nto driftsutg'!O7-'2021 Avskrivning'!O7</f>
        <v>-1139</v>
      </c>
      <c r="P7" s="1">
        <f>+'2021 Nto driftsutg'!P7-'2021 Avskrivning'!P7</f>
        <v>2304</v>
      </c>
      <c r="Q7" s="1">
        <f>+'2021 Nto driftsutg'!Q7-'2021 Avskrivning'!Q7</f>
        <v>0</v>
      </c>
      <c r="R7" s="1">
        <f>+'2021 Nto driftsutg'!R7-'2021 Avskrivning'!R7</f>
        <v>-65024</v>
      </c>
      <c r="S7" s="1">
        <f>+'2021 Nto driftsutg'!S7</f>
        <v>320785</v>
      </c>
      <c r="T7" s="1">
        <f>+'2021 Nto driftsutg'!T7</f>
        <v>416832</v>
      </c>
      <c r="V7" s="1"/>
      <c r="W7" s="1"/>
    </row>
    <row r="8" spans="1:23" x14ac:dyDescent="0.3">
      <c r="A8" s="43">
        <v>1800</v>
      </c>
      <c r="B8" s="44" t="s">
        <v>143</v>
      </c>
      <c r="C8" s="1">
        <f t="shared" si="1"/>
        <v>5774295</v>
      </c>
      <c r="D8" s="1">
        <f>+'2021 Nto driftsutg'!D8-'2021 Avskrivning'!D8</f>
        <v>1867449</v>
      </c>
      <c r="E8" s="1">
        <f>+'2021 Nto driftsutg'!E8-'2021 Avskrivning'!E8</f>
        <v>734435</v>
      </c>
      <c r="F8" s="1">
        <f>+'2021 Nto driftsutg'!F8-'2021 Avskrivning'!F8</f>
        <v>434186</v>
      </c>
      <c r="G8" s="1">
        <f>+'2021 Nto driftsutg'!G8-'2021 Avskrivning'!G8</f>
        <v>976616</v>
      </c>
      <c r="H8" s="1">
        <f>+'2021 Nto driftsutg'!H8-'2021 Avskrivning'!H8</f>
        <v>192008</v>
      </c>
      <c r="I8" s="11">
        <f t="shared" si="2"/>
        <v>626287</v>
      </c>
      <c r="J8" s="1">
        <f>+'2021 Nto driftsutg'!J8-'2021 Avskrivning'!J8</f>
        <v>0</v>
      </c>
      <c r="K8" s="1">
        <f>+'2021 Nto driftsutg'!K8-'2021 Avskrivning'!K8</f>
        <v>287925</v>
      </c>
      <c r="L8" s="1">
        <f>+'2021 Nto driftsutg'!L8-'2021 Avskrivning'!L8</f>
        <v>97137</v>
      </c>
      <c r="M8" s="1">
        <f>+'2021 Nto driftsutg'!M8-'2021 Avskrivning'!M8</f>
        <v>106044</v>
      </c>
      <c r="N8" s="1">
        <f>+'2021 Nto driftsutg'!N8-'2021 Avskrivning'!N8</f>
        <v>135156</v>
      </c>
      <c r="O8" s="1">
        <f>+'2021 Nto driftsutg'!O8-'2021 Avskrivning'!O8</f>
        <v>0</v>
      </c>
      <c r="P8" s="1">
        <f>+'2021 Nto driftsutg'!P8-'2021 Avskrivning'!P8</f>
        <v>25</v>
      </c>
      <c r="Q8" s="1">
        <f>+'2021 Nto driftsutg'!Q8-'2021 Avskrivning'!Q8</f>
        <v>0</v>
      </c>
      <c r="R8" s="1">
        <f>+'2021 Nto driftsutg'!R8-'2021 Avskrivning'!R8</f>
        <v>-56604</v>
      </c>
      <c r="S8" s="1">
        <f>+'2021 Nto driftsutg'!S8</f>
        <v>272404</v>
      </c>
      <c r="T8" s="1">
        <f>+'2021 Nto driftsutg'!T8</f>
        <v>727514</v>
      </c>
      <c r="V8" s="1"/>
      <c r="W8" s="1"/>
    </row>
    <row r="9" spans="1:23" x14ac:dyDescent="0.3">
      <c r="A9" s="43">
        <v>3000</v>
      </c>
      <c r="B9" s="44" t="s">
        <v>392</v>
      </c>
      <c r="C9" s="1">
        <f t="shared" si="1"/>
        <v>16170426</v>
      </c>
      <c r="D9" s="1">
        <f>+'2021 Nto driftsutg'!D9-'2021 Avskrivning'!D9</f>
        <v>7672543</v>
      </c>
      <c r="E9" s="1">
        <f>+'2021 Nto driftsutg'!E9-'2021 Avskrivning'!E9</f>
        <v>1453128</v>
      </c>
      <c r="F9" s="1">
        <f>+'2021 Nto driftsutg'!F9-'2021 Avskrivning'!F9</f>
        <v>3225047</v>
      </c>
      <c r="G9" s="1">
        <f>+'2021 Nto driftsutg'!G9-'2021 Avskrivning'!G9</f>
        <v>10889</v>
      </c>
      <c r="H9" s="1">
        <f>+'2021 Nto driftsutg'!H9-'2021 Avskrivning'!H9</f>
        <v>492614</v>
      </c>
      <c r="I9" s="11">
        <f t="shared" si="2"/>
        <v>1675041</v>
      </c>
      <c r="J9" s="1">
        <f>+'2021 Nto driftsutg'!J9-'2021 Avskrivning'!J9</f>
        <v>0</v>
      </c>
      <c r="K9" s="1">
        <f>+'2021 Nto driftsutg'!K9-'2021 Avskrivning'!K9</f>
        <v>1010846</v>
      </c>
      <c r="L9" s="1">
        <f>+'2021 Nto driftsutg'!L9-'2021 Avskrivning'!L9</f>
        <v>168993</v>
      </c>
      <c r="M9" s="1">
        <f>+'2021 Nto driftsutg'!M9-'2021 Avskrivning'!M9</f>
        <v>148548</v>
      </c>
      <c r="N9" s="1">
        <f>+'2021 Nto driftsutg'!N9-'2021 Avskrivning'!N9</f>
        <v>345150</v>
      </c>
      <c r="O9" s="1">
        <f>+'2021 Nto driftsutg'!O9-'2021 Avskrivning'!O9</f>
        <v>0</v>
      </c>
      <c r="P9" s="1">
        <f>+'2021 Nto driftsutg'!P9-'2021 Avskrivning'!P9</f>
        <v>1504</v>
      </c>
      <c r="Q9" s="1">
        <f>+'2021 Nto driftsutg'!Q9-'2021 Avskrivning'!Q9</f>
        <v>0</v>
      </c>
      <c r="R9" s="1">
        <f>+'2021 Nto driftsutg'!R9-'2021 Avskrivning'!R9</f>
        <v>-157830</v>
      </c>
      <c r="S9" s="1">
        <f>+'2021 Nto driftsutg'!S9</f>
        <v>416108</v>
      </c>
      <c r="T9" s="1">
        <f>+'2021 Nto driftsutg'!T9</f>
        <v>1382886</v>
      </c>
      <c r="V9" s="1"/>
      <c r="W9" s="1"/>
    </row>
    <row r="10" spans="1:23" x14ac:dyDescent="0.3">
      <c r="A10" s="43">
        <v>3400</v>
      </c>
      <c r="B10" s="44" t="s">
        <v>393</v>
      </c>
      <c r="C10" s="1">
        <f t="shared" si="1"/>
        <v>5658957</v>
      </c>
      <c r="D10" s="1">
        <f>+'2021 Nto driftsutg'!D10-'2021 Avskrivning'!D10</f>
        <v>2376645</v>
      </c>
      <c r="E10" s="1">
        <f>+'2021 Nto driftsutg'!E10-'2021 Avskrivning'!E10</f>
        <v>894537</v>
      </c>
      <c r="F10" s="1">
        <f>+'2021 Nto driftsutg'!F10-'2021 Avskrivning'!F10</f>
        <v>803905</v>
      </c>
      <c r="G10" s="1">
        <f>+'2021 Nto driftsutg'!G10-'2021 Avskrivning'!G10</f>
        <v>11461</v>
      </c>
      <c r="H10" s="1">
        <f>+'2021 Nto driftsutg'!H10-'2021 Avskrivning'!H10</f>
        <v>205317</v>
      </c>
      <c r="I10" s="11">
        <f t="shared" si="2"/>
        <v>672370</v>
      </c>
      <c r="J10" s="1">
        <f>+'2021 Nto driftsutg'!J10-'2021 Avskrivning'!J10</f>
        <v>0</v>
      </c>
      <c r="K10" s="1">
        <f>+'2021 Nto driftsutg'!K10-'2021 Avskrivning'!K10</f>
        <v>360471</v>
      </c>
      <c r="L10" s="1">
        <f>+'2021 Nto driftsutg'!L10-'2021 Avskrivning'!L10</f>
        <v>95979</v>
      </c>
      <c r="M10" s="1">
        <f>+'2021 Nto driftsutg'!M10-'2021 Avskrivning'!M10</f>
        <v>47634</v>
      </c>
      <c r="N10" s="1">
        <f>+'2021 Nto driftsutg'!N10-'2021 Avskrivning'!N10</f>
        <v>168286</v>
      </c>
      <c r="O10" s="1">
        <f>+'2021 Nto driftsutg'!O10-'2021 Avskrivning'!O10</f>
        <v>0</v>
      </c>
      <c r="P10" s="1">
        <f>+'2021 Nto driftsutg'!P10-'2021 Avskrivning'!P10</f>
        <v>0</v>
      </c>
      <c r="Q10" s="1">
        <f>+'2021 Nto driftsutg'!Q10-'2021 Avskrivning'!Q10</f>
        <v>0</v>
      </c>
      <c r="R10" s="1">
        <f>+'2021 Nto driftsutg'!R10-'2021 Avskrivning'!R10</f>
        <v>-39984</v>
      </c>
      <c r="S10" s="1">
        <f>+'2021 Nto driftsutg'!S10</f>
        <v>162825</v>
      </c>
      <c r="T10" s="1">
        <f>+'2021 Nto driftsutg'!T10</f>
        <v>571881</v>
      </c>
      <c r="V10" s="1"/>
      <c r="W10" s="1"/>
    </row>
    <row r="11" spans="1:23" x14ac:dyDescent="0.3">
      <c r="A11" s="43">
        <v>3800</v>
      </c>
      <c r="B11" s="44" t="s">
        <v>394</v>
      </c>
      <c r="C11" s="1">
        <f t="shared" si="1"/>
        <v>5704206</v>
      </c>
      <c r="D11" s="1">
        <f>+'2021 Nto driftsutg'!D11-'2021 Avskrivning'!D11</f>
        <v>2663927</v>
      </c>
      <c r="E11" s="1">
        <f>+'2021 Nto driftsutg'!E11-'2021 Avskrivning'!E11</f>
        <v>741680</v>
      </c>
      <c r="F11" s="1">
        <f>+'2021 Nto driftsutg'!F11-'2021 Avskrivning'!F11</f>
        <v>680920</v>
      </c>
      <c r="G11" s="1">
        <f>+'2021 Nto driftsutg'!G11-'2021 Avskrivning'!G11</f>
        <v>28001</v>
      </c>
      <c r="H11" s="1">
        <f>+'2021 Nto driftsutg'!H11-'2021 Avskrivning'!H11</f>
        <v>205871</v>
      </c>
      <c r="I11" s="11">
        <f t="shared" si="2"/>
        <v>780213</v>
      </c>
      <c r="J11" s="1">
        <f>+'2021 Nto driftsutg'!J11-'2021 Avskrivning'!J11</f>
        <v>0</v>
      </c>
      <c r="K11" s="1">
        <f>+'2021 Nto driftsutg'!K11-'2021 Avskrivning'!K11</f>
        <v>354859</v>
      </c>
      <c r="L11" s="1">
        <f>+'2021 Nto driftsutg'!L11-'2021 Avskrivning'!L11</f>
        <v>123364</v>
      </c>
      <c r="M11" s="1">
        <f>+'2021 Nto driftsutg'!M11-'2021 Avskrivning'!M11</f>
        <v>141864</v>
      </c>
      <c r="N11" s="1">
        <f>+'2021 Nto driftsutg'!N11-'2021 Avskrivning'!N11</f>
        <v>158220</v>
      </c>
      <c r="O11" s="1">
        <f>+'2021 Nto driftsutg'!O11-'2021 Avskrivning'!O11</f>
        <v>-6</v>
      </c>
      <c r="P11" s="1">
        <f>+'2021 Nto driftsutg'!P11-'2021 Avskrivning'!P11</f>
        <v>1912</v>
      </c>
      <c r="Q11" s="1">
        <f>+'2021 Nto driftsutg'!Q11-'2021 Avskrivning'!Q11</f>
        <v>0</v>
      </c>
      <c r="R11" s="1">
        <f>+'2021 Nto driftsutg'!R11-'2021 Avskrivning'!R11</f>
        <v>-57383</v>
      </c>
      <c r="S11" s="1">
        <f>+'2021 Nto driftsutg'!S11</f>
        <v>233300</v>
      </c>
      <c r="T11" s="1">
        <f>+'2021 Nto driftsutg'!T11</f>
        <v>427677</v>
      </c>
      <c r="V11" s="1"/>
      <c r="W11" s="1"/>
    </row>
    <row r="12" spans="1:23" x14ac:dyDescent="0.3">
      <c r="A12" s="43">
        <v>4200</v>
      </c>
      <c r="B12" s="44" t="s">
        <v>395</v>
      </c>
      <c r="C12" s="1">
        <f t="shared" si="1"/>
        <v>4501178</v>
      </c>
      <c r="D12" s="1">
        <f>+'2021 Nto driftsutg'!D12-'2021 Avskrivning'!D12</f>
        <v>2188314</v>
      </c>
      <c r="E12" s="1">
        <f>+'2021 Nto driftsutg'!E12-'2021 Avskrivning'!E12</f>
        <v>567939</v>
      </c>
      <c r="F12" s="1">
        <f>+'2021 Nto driftsutg'!F12-'2021 Avskrivning'!F12</f>
        <v>560922</v>
      </c>
      <c r="G12" s="1">
        <f>+'2021 Nto driftsutg'!G12-'2021 Avskrivning'!G12</f>
        <v>42889</v>
      </c>
      <c r="H12" s="1">
        <f>+'2021 Nto driftsutg'!H12-'2021 Avskrivning'!H12</f>
        <v>164965</v>
      </c>
      <c r="I12" s="11">
        <f t="shared" si="2"/>
        <v>394390</v>
      </c>
      <c r="J12" s="1">
        <f>+'2021 Nto driftsutg'!J12-'2021 Avskrivning'!J12</f>
        <v>0</v>
      </c>
      <c r="K12" s="1">
        <f>+'2021 Nto driftsutg'!K12-'2021 Avskrivning'!K12</f>
        <v>252347</v>
      </c>
      <c r="L12" s="1">
        <f>+'2021 Nto driftsutg'!L12-'2021 Avskrivning'!L12</f>
        <v>135179</v>
      </c>
      <c r="M12" s="1">
        <f>+'2021 Nto driftsutg'!M12-'2021 Avskrivning'!M12</f>
        <v>-122389</v>
      </c>
      <c r="N12" s="1">
        <f>+'2021 Nto driftsutg'!N12-'2021 Avskrivning'!N12</f>
        <v>129202</v>
      </c>
      <c r="O12" s="1">
        <f>+'2021 Nto driftsutg'!O12-'2021 Avskrivning'!O12</f>
        <v>0</v>
      </c>
      <c r="P12" s="1">
        <f>+'2021 Nto driftsutg'!P12-'2021 Avskrivning'!P12</f>
        <v>51</v>
      </c>
      <c r="Q12" s="1">
        <f>+'2021 Nto driftsutg'!Q12-'2021 Avskrivning'!Q12</f>
        <v>0</v>
      </c>
      <c r="R12" s="1">
        <f>+'2021 Nto driftsutg'!R12-'2021 Avskrivning'!R12</f>
        <v>-79573</v>
      </c>
      <c r="S12" s="1">
        <f>+'2021 Nto driftsutg'!S12</f>
        <v>201617</v>
      </c>
      <c r="T12" s="1">
        <f>+'2021 Nto driftsutg'!T12</f>
        <v>459715</v>
      </c>
      <c r="V12" s="1"/>
      <c r="W12" s="1"/>
    </row>
    <row r="13" spans="1:23" x14ac:dyDescent="0.3">
      <c r="A13" s="43">
        <v>4600</v>
      </c>
      <c r="B13" s="44" t="s">
        <v>396</v>
      </c>
      <c r="C13" s="1">
        <f t="shared" si="1"/>
        <v>11188586</v>
      </c>
      <c r="D13" s="1">
        <f>+'2021 Nto driftsutg'!D13-'2021 Avskrivning'!D13</f>
        <v>3704025</v>
      </c>
      <c r="E13" s="1">
        <f>+'2021 Nto driftsutg'!E13-'2021 Avskrivning'!E13</f>
        <v>1238251</v>
      </c>
      <c r="F13" s="1">
        <f>+'2021 Nto driftsutg'!F13-'2021 Avskrivning'!F13</f>
        <v>1610185</v>
      </c>
      <c r="G13" s="1">
        <f>+'2021 Nto driftsutg'!G13-'2021 Avskrivning'!G13</f>
        <v>1086984</v>
      </c>
      <c r="H13" s="1">
        <f>+'2021 Nto driftsutg'!H13-'2021 Avskrivning'!H13</f>
        <v>300103</v>
      </c>
      <c r="I13" s="11">
        <f t="shared" si="2"/>
        <v>921842</v>
      </c>
      <c r="J13" s="1">
        <f>+'2021 Nto driftsutg'!J13-'2021 Avskrivning'!J13</f>
        <v>0</v>
      </c>
      <c r="K13" s="1">
        <f>+'2021 Nto driftsutg'!K13-'2021 Avskrivning'!K13</f>
        <v>547789</v>
      </c>
      <c r="L13" s="1">
        <f>+'2021 Nto driftsutg'!L13-'2021 Avskrivning'!L13</f>
        <v>165487</v>
      </c>
      <c r="M13" s="1">
        <f>+'2021 Nto driftsutg'!M13-'2021 Avskrivning'!M13</f>
        <v>-85775</v>
      </c>
      <c r="N13" s="1">
        <f>+'2021 Nto driftsutg'!N13-'2021 Avskrivning'!N13</f>
        <v>293900</v>
      </c>
      <c r="O13" s="1">
        <f>+'2021 Nto driftsutg'!O13-'2021 Avskrivning'!O13</f>
        <v>0</v>
      </c>
      <c r="P13" s="1">
        <f>+'2021 Nto driftsutg'!P13-'2021 Avskrivning'!P13</f>
        <v>441</v>
      </c>
      <c r="Q13" s="1">
        <f>+'2021 Nto driftsutg'!Q13-'2021 Avskrivning'!Q13</f>
        <v>0</v>
      </c>
      <c r="R13" s="1">
        <f>+'2021 Nto driftsutg'!R13-'2021 Avskrivning'!R13</f>
        <v>55231</v>
      </c>
      <c r="S13" s="1">
        <f>+'2021 Nto driftsutg'!S13</f>
        <v>853000</v>
      </c>
      <c r="T13" s="1">
        <f>+'2021 Nto driftsutg'!T13</f>
        <v>1418965</v>
      </c>
      <c r="V13" s="1"/>
      <c r="W13" s="1"/>
    </row>
    <row r="14" spans="1:23" x14ac:dyDescent="0.3">
      <c r="A14" s="43">
        <v>5000</v>
      </c>
      <c r="B14" s="44" t="s">
        <v>390</v>
      </c>
      <c r="C14" s="1">
        <f t="shared" si="1"/>
        <v>7481941</v>
      </c>
      <c r="D14" s="1">
        <f>+'2021 Nto driftsutg'!D14-'2021 Avskrivning'!D14</f>
        <v>3028316</v>
      </c>
      <c r="E14" s="1">
        <f>+'2021 Nto driftsutg'!E14-'2021 Avskrivning'!E14</f>
        <v>1035201</v>
      </c>
      <c r="F14" s="1">
        <f>+'2021 Nto driftsutg'!F14-'2021 Avskrivning'!F14</f>
        <v>959439</v>
      </c>
      <c r="G14" s="1">
        <f>+'2021 Nto driftsutg'!G14-'2021 Avskrivning'!G14</f>
        <v>375231</v>
      </c>
      <c r="H14" s="1">
        <f>+'2021 Nto driftsutg'!H14-'2021 Avskrivning'!H14</f>
        <v>277345</v>
      </c>
      <c r="I14" s="11">
        <f t="shared" si="2"/>
        <v>830013</v>
      </c>
      <c r="J14" s="1">
        <f>+'2021 Nto driftsutg'!J14-'2021 Avskrivning'!J14</f>
        <v>0</v>
      </c>
      <c r="K14" s="1">
        <f>+'2021 Nto driftsutg'!K14-'2021 Avskrivning'!K14</f>
        <v>398748</v>
      </c>
      <c r="L14" s="1">
        <f>+'2021 Nto driftsutg'!L14-'2021 Avskrivning'!L14</f>
        <v>84286</v>
      </c>
      <c r="M14" s="1">
        <f>+'2021 Nto driftsutg'!M14-'2021 Avskrivning'!M14</f>
        <v>92039</v>
      </c>
      <c r="N14" s="1">
        <f>+'2021 Nto driftsutg'!N14-'2021 Avskrivning'!N14</f>
        <v>254940</v>
      </c>
      <c r="O14" s="1">
        <f>+'2021 Nto driftsutg'!O14-'2021 Avskrivning'!O14</f>
        <v>0</v>
      </c>
      <c r="P14" s="1">
        <f>+'2021 Nto driftsutg'!P14-'2021 Avskrivning'!P14</f>
        <v>0</v>
      </c>
      <c r="Q14" s="1">
        <f>+'2021 Nto driftsutg'!Q14-'2021 Avskrivning'!Q14</f>
        <v>0</v>
      </c>
      <c r="R14" s="1">
        <f>+'2021 Nto driftsutg'!R14-'2021 Avskrivning'!R14</f>
        <v>-73902</v>
      </c>
      <c r="S14" s="1">
        <f>+'2021 Nto driftsutg'!S14</f>
        <v>566393</v>
      </c>
      <c r="T14" s="1">
        <f>+'2021 Nto driftsutg'!T14</f>
        <v>483905</v>
      </c>
      <c r="V14" s="1"/>
      <c r="W14" s="1"/>
    </row>
    <row r="15" spans="1:23" x14ac:dyDescent="0.3">
      <c r="A15" s="43">
        <v>5400</v>
      </c>
      <c r="B15" s="44" t="s">
        <v>397</v>
      </c>
      <c r="C15" s="1">
        <f t="shared" si="1"/>
        <v>5652720</v>
      </c>
      <c r="D15" s="1">
        <f>+'2021 Nto driftsutg'!D15-'2021 Avskrivning'!D15</f>
        <v>1834949</v>
      </c>
      <c r="E15" s="1">
        <f>+'2021 Nto driftsutg'!E15-'2021 Avskrivning'!E15</f>
        <v>897700</v>
      </c>
      <c r="F15" s="1">
        <f>+'2021 Nto driftsutg'!F15-'2021 Avskrivning'!F15</f>
        <v>732907</v>
      </c>
      <c r="G15" s="1">
        <f>+'2021 Nto driftsutg'!G15-'2021 Avskrivning'!G15</f>
        <v>547991</v>
      </c>
      <c r="H15" s="1">
        <f>+'2021 Nto driftsutg'!H15-'2021 Avskrivning'!H15</f>
        <v>229710</v>
      </c>
      <c r="I15" s="11">
        <f t="shared" si="2"/>
        <v>587263</v>
      </c>
      <c r="J15" s="1">
        <f>+'2021 Nto driftsutg'!J15-'2021 Avskrivning'!J15</f>
        <v>0</v>
      </c>
      <c r="K15" s="1">
        <f>+'2021 Nto driftsutg'!K15-'2021 Avskrivning'!K15</f>
        <v>347711</v>
      </c>
      <c r="L15" s="1">
        <f>+'2021 Nto driftsutg'!L15-'2021 Avskrivning'!L15</f>
        <v>50298</v>
      </c>
      <c r="M15" s="1">
        <f>+'2021 Nto driftsutg'!M15-'2021 Avskrivning'!M15</f>
        <v>44772</v>
      </c>
      <c r="N15" s="1">
        <f>+'2021 Nto driftsutg'!N15-'2021 Avskrivning'!N15</f>
        <v>148046</v>
      </c>
      <c r="O15" s="1">
        <f>+'2021 Nto driftsutg'!O15-'2021 Avskrivning'!O15</f>
        <v>0</v>
      </c>
      <c r="P15" s="1">
        <f>+'2021 Nto driftsutg'!P15-'2021 Avskrivning'!P15</f>
        <v>-3564</v>
      </c>
      <c r="Q15" s="1">
        <f>+'2021 Nto driftsutg'!Q15-'2021 Avskrivning'!Q15</f>
        <v>0</v>
      </c>
      <c r="R15" s="1">
        <f>+'2021 Nto driftsutg'!R15-'2021 Avskrivning'!R15</f>
        <v>-71497</v>
      </c>
      <c r="S15" s="1">
        <f>+'2021 Nto driftsutg'!S15</f>
        <v>248899</v>
      </c>
      <c r="T15" s="1">
        <f>+'2021 Nto driftsutg'!T15</f>
        <v>644798</v>
      </c>
      <c r="V15" s="1"/>
      <c r="W15" s="1"/>
    </row>
    <row r="16" spans="1:23" x14ac:dyDescent="0.3">
      <c r="C16" s="1"/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3" x14ac:dyDescent="0.3">
      <c r="B17" s="1" t="s">
        <v>3</v>
      </c>
      <c r="C17" s="1">
        <f>+'2021 Nto driftsutg'!C17-'2021 Avskrivning'!C17</f>
        <v>80990350.900312915</v>
      </c>
      <c r="D17" s="1">
        <f t="shared" ref="D17:T17" si="3">SUM(D5:D15)</f>
        <v>33220154</v>
      </c>
      <c r="E17" s="1">
        <f t="shared" si="3"/>
        <v>8909509</v>
      </c>
      <c r="F17" s="1">
        <f t="shared" si="3"/>
        <v>13576239</v>
      </c>
      <c r="G17" s="1">
        <f t="shared" si="3"/>
        <v>4376534</v>
      </c>
      <c r="H17" s="1">
        <f t="shared" si="3"/>
        <v>2712683</v>
      </c>
      <c r="I17" s="11">
        <f t="shared" si="3"/>
        <v>7408703</v>
      </c>
      <c r="J17" s="1">
        <f t="shared" si="3"/>
        <v>0</v>
      </c>
      <c r="K17" s="1">
        <f t="shared" si="3"/>
        <v>4132147</v>
      </c>
      <c r="L17" s="1">
        <f t="shared" si="3"/>
        <v>1095521</v>
      </c>
      <c r="M17" s="1">
        <f t="shared" si="3"/>
        <v>342363</v>
      </c>
      <c r="N17" s="1">
        <f t="shared" si="3"/>
        <v>1837742</v>
      </c>
      <c r="O17" s="1">
        <f t="shared" si="3"/>
        <v>-1145</v>
      </c>
      <c r="P17" s="1">
        <f t="shared" si="3"/>
        <v>2075</v>
      </c>
      <c r="Q17" s="1">
        <f t="shared" si="3"/>
        <v>0</v>
      </c>
      <c r="R17" s="1">
        <f t="shared" si="3"/>
        <v>-934580.06606233004</v>
      </c>
      <c r="S17" s="1">
        <f t="shared" si="3"/>
        <v>3959291.8873434216</v>
      </c>
      <c r="T17" s="1">
        <f t="shared" si="3"/>
        <v>7761817.0790318195</v>
      </c>
      <c r="U17" s="1"/>
      <c r="V17" s="1"/>
      <c r="W17" s="1"/>
    </row>
    <row r="18" spans="2:23" x14ac:dyDescent="0.3">
      <c r="C18" s="5"/>
      <c r="H18" s="5"/>
      <c r="I18" s="5">
        <f>SUM(J17:Q17)</f>
        <v>7408703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P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4" width="20.5546875" customWidth="1"/>
  </cols>
  <sheetData>
    <row r="2" spans="1:16" ht="104.25" customHeight="1" x14ac:dyDescent="0.3">
      <c r="A2" s="24" t="s">
        <v>2</v>
      </c>
      <c r="B2" s="24" t="s">
        <v>1</v>
      </c>
      <c r="C2" s="24" t="s">
        <v>22</v>
      </c>
      <c r="D2" s="24" t="s">
        <v>89</v>
      </c>
    </row>
    <row r="3" spans="1:16" x14ac:dyDescent="0.3">
      <c r="A3" s="107">
        <v>1</v>
      </c>
      <c r="B3" s="107">
        <f>+A3+1</f>
        <v>2</v>
      </c>
      <c r="C3" s="107">
        <f t="shared" ref="C3:D3" si="0">+B3+1</f>
        <v>3</v>
      </c>
      <c r="D3" s="107">
        <f t="shared" si="0"/>
        <v>4</v>
      </c>
    </row>
    <row r="5" spans="1:16" x14ac:dyDescent="0.3">
      <c r="A5" s="43">
        <v>300</v>
      </c>
      <c r="B5" s="44" t="s">
        <v>0</v>
      </c>
      <c r="C5" s="3">
        <f>(('2021 Nto driftsutg eks avskriv'!C5*1000/'2021 Nto driftsutg'!W5)-'2021 Korreksjoner'!AV5)/'2021 Nto driftsutg landet'!$C$19</f>
        <v>0.82670319181547747</v>
      </c>
      <c r="D5" s="1">
        <f>C5*'2021 Nto driftsutg landet'!$C$19-'2021 Nto driftsutg landet'!$C$19</f>
        <v>-2598.2643467288726</v>
      </c>
      <c r="E5" s="1"/>
      <c r="G5" s="5"/>
      <c r="H5" s="5"/>
      <c r="I5" s="5"/>
      <c r="J5" s="5"/>
      <c r="K5" s="5"/>
      <c r="L5" s="5"/>
      <c r="N5" s="5"/>
      <c r="P5" s="5"/>
    </row>
    <row r="6" spans="1:16" x14ac:dyDescent="0.3">
      <c r="A6" s="43">
        <v>1100</v>
      </c>
      <c r="B6" s="44" t="s">
        <v>141</v>
      </c>
      <c r="C6" s="3">
        <f>(('2021 Nto driftsutg eks avskriv'!C6*1000/'2021 Nto driftsutg'!W6)-'2021 Korreksjoner'!AV6)/'2021 Nto driftsutg landet'!$C$19</f>
        <v>0.94466558846667614</v>
      </c>
      <c r="D6" s="1">
        <f>C6*'2021 Nto driftsutg landet'!$C$19-'2021 Nto driftsutg landet'!$C$19</f>
        <v>-829.63691103399651</v>
      </c>
      <c r="G6" s="5"/>
      <c r="H6" s="5"/>
      <c r="I6" s="5"/>
      <c r="J6" s="5"/>
      <c r="K6" s="5"/>
      <c r="L6" s="5"/>
      <c r="N6" s="5"/>
    </row>
    <row r="7" spans="1:16" x14ac:dyDescent="0.3">
      <c r="A7" s="43">
        <v>1500</v>
      </c>
      <c r="B7" s="44" t="s">
        <v>142</v>
      </c>
      <c r="C7" s="3">
        <f>(('2021 Nto driftsutg eks avskriv'!C7*1000/'2021 Nto driftsutg'!W7)-'2021 Korreksjoner'!AV7)/'2021 Nto driftsutg landet'!$C$19</f>
        <v>1.0577923099792974</v>
      </c>
      <c r="D7" s="1">
        <f>C7*'2021 Nto driftsutg landet'!$C$19-'2021 Nto driftsutg landet'!$C$19</f>
        <v>866.48854129168467</v>
      </c>
      <c r="G7" s="5"/>
      <c r="H7" s="5"/>
      <c r="I7" s="5"/>
      <c r="J7" s="5"/>
      <c r="K7" s="5"/>
      <c r="L7" s="5"/>
      <c r="N7" s="5"/>
    </row>
    <row r="8" spans="1:16" x14ac:dyDescent="0.3">
      <c r="A8" s="43">
        <v>1800</v>
      </c>
      <c r="B8" s="44" t="s">
        <v>143</v>
      </c>
      <c r="C8" s="3">
        <f>(('2021 Nto driftsutg eks avskriv'!C8*1000/'2021 Nto driftsutg'!W8)-'2021 Korreksjoner'!AV8)/'2021 Nto driftsutg landet'!$C$19</f>
        <v>1.2281808635790703</v>
      </c>
      <c r="D8" s="1">
        <f>C8*'2021 Nto driftsutg landet'!$C$19-'2021 Nto driftsutg landet'!$C$19</f>
        <v>3421.1490024214654</v>
      </c>
      <c r="G8" s="5"/>
      <c r="H8" s="5"/>
      <c r="I8" s="5"/>
      <c r="J8" s="5"/>
      <c r="K8" s="5"/>
      <c r="L8" s="5"/>
      <c r="N8" s="5"/>
    </row>
    <row r="9" spans="1:16" x14ac:dyDescent="0.3">
      <c r="A9" s="43">
        <v>3000</v>
      </c>
      <c r="B9" s="44" t="s">
        <v>392</v>
      </c>
      <c r="C9" s="3">
        <f>(('2021 Nto driftsutg eks avskriv'!C9*1000/'2021 Nto driftsutg'!W9)-'2021 Korreksjoner'!AV9)/'2021 Nto driftsutg landet'!$C$19</f>
        <v>0.98649645145009357</v>
      </c>
      <c r="D9" s="1">
        <f>C9*'2021 Nto driftsutg landet'!$C$19-'2021 Nto driftsutg landet'!$C$19</f>
        <v>-202.46067494899035</v>
      </c>
      <c r="G9" s="5"/>
      <c r="H9" s="5"/>
      <c r="I9" s="5"/>
      <c r="J9" s="5"/>
      <c r="K9" s="5"/>
      <c r="L9" s="5"/>
      <c r="N9" s="5"/>
    </row>
    <row r="10" spans="1:16" x14ac:dyDescent="0.3">
      <c r="A10" s="43">
        <v>3400</v>
      </c>
      <c r="B10" s="44" t="s">
        <v>393</v>
      </c>
      <c r="C10" s="3">
        <f>(('2021 Nto driftsutg eks avskriv'!C10*1000/'2021 Nto driftsutg'!W10)-'2021 Korreksjoner'!AV10)/'2021 Nto driftsutg landet'!$C$19</f>
        <v>0.98568227754121618</v>
      </c>
      <c r="D10" s="1">
        <f>C10*'2021 Nto driftsutg landet'!$C$19-'2021 Nto driftsutg landet'!$C$19</f>
        <v>-214.66770323551646</v>
      </c>
      <c r="G10" s="5"/>
      <c r="H10" s="5"/>
      <c r="I10" s="5"/>
      <c r="J10" s="5"/>
      <c r="K10" s="5"/>
      <c r="L10" s="5"/>
      <c r="N10" s="5"/>
    </row>
    <row r="11" spans="1:16" x14ac:dyDescent="0.3">
      <c r="A11" s="43">
        <v>3800</v>
      </c>
      <c r="B11" s="44" t="s">
        <v>394</v>
      </c>
      <c r="C11" s="3">
        <f>(('2021 Nto driftsutg eks avskriv'!C11*1000/'2021 Nto driftsutg'!W11)-'2021 Korreksjoner'!AV11)/'2021 Nto driftsutg landet'!$C$19</f>
        <v>0.97509570731532258</v>
      </c>
      <c r="D11" s="1">
        <f>C11*'2021 Nto driftsutg landet'!$C$19-'2021 Nto driftsutg landet'!$C$19</f>
        <v>-373.39369628896202</v>
      </c>
      <c r="G11" s="5"/>
      <c r="H11" s="5"/>
      <c r="I11" s="5"/>
      <c r="J11" s="5"/>
      <c r="K11" s="5"/>
      <c r="L11" s="5"/>
      <c r="N11" s="5"/>
    </row>
    <row r="12" spans="1:16" x14ac:dyDescent="0.3">
      <c r="A12" s="43">
        <v>4200</v>
      </c>
      <c r="B12" s="44" t="s">
        <v>395</v>
      </c>
      <c r="C12" s="3">
        <f>(('2021 Nto driftsutg eks avskriv'!C12*1000/'2021 Nto driftsutg'!W12)-'2021 Korreksjoner'!AV12)/'2021 Nto driftsutg landet'!$C$19</f>
        <v>0.99649775172996313</v>
      </c>
      <c r="D12" s="1">
        <f>C12*'2021 Nto driftsutg landet'!$C$19-'2021 Nto driftsutg landet'!$C$19</f>
        <v>-52.509719646655867</v>
      </c>
      <c r="G12" s="5"/>
      <c r="H12" s="5"/>
      <c r="I12" s="5"/>
      <c r="J12" s="5"/>
      <c r="K12" s="5"/>
      <c r="L12" s="5"/>
      <c r="N12" s="5"/>
    </row>
    <row r="13" spans="1:16" x14ac:dyDescent="0.3">
      <c r="A13" s="43">
        <v>4600</v>
      </c>
      <c r="B13" s="44" t="s">
        <v>396</v>
      </c>
      <c r="C13" s="3">
        <f>(('2021 Nto driftsutg eks avskriv'!C13*1000/'2021 Nto driftsutg'!W13)-'2021 Korreksjoner'!AV13)/'2021 Nto driftsutg landet'!$C$19</f>
        <v>1.0704001605992597</v>
      </c>
      <c r="D13" s="1">
        <f>C13*'2021 Nto driftsutg landet'!$C$19-'2021 Nto driftsutg landet'!$C$19</f>
        <v>1055.5198864036556</v>
      </c>
      <c r="G13" s="5"/>
      <c r="H13" s="5"/>
      <c r="I13" s="5"/>
      <c r="J13" s="5"/>
      <c r="K13" s="5"/>
      <c r="L13" s="5"/>
      <c r="N13" s="5"/>
    </row>
    <row r="14" spans="1:16" x14ac:dyDescent="0.3">
      <c r="A14" s="43">
        <v>5000</v>
      </c>
      <c r="B14" s="44" t="s">
        <v>390</v>
      </c>
      <c r="C14" s="3">
        <f>(('2021 Nto driftsutg eks avskriv'!C14*1000/'2021 Nto driftsutg'!W14)-'2021 Korreksjoner'!AV14)/'2021 Nto driftsutg landet'!$C$19</f>
        <v>0.99550196845823791</v>
      </c>
      <c r="D14" s="1">
        <f>C14*'2021 Nto driftsutg landet'!$C$19-'2021 Nto driftsutg landet'!$C$19</f>
        <v>-67.43964362562474</v>
      </c>
      <c r="G14" s="5"/>
      <c r="H14" s="5"/>
      <c r="I14" s="5"/>
      <c r="J14" s="5"/>
      <c r="K14" s="5"/>
      <c r="L14" s="5"/>
      <c r="N14" s="5"/>
    </row>
    <row r="15" spans="1:16" x14ac:dyDescent="0.3">
      <c r="A15" s="43">
        <v>5400</v>
      </c>
      <c r="B15" s="44" t="s">
        <v>397</v>
      </c>
      <c r="C15" s="3">
        <f>(('2021 Nto driftsutg eks avskriv'!C15*1000/'2021 Nto driftsutg'!W15)-'2021 Korreksjoner'!AV15)/'2021 Nto driftsutg landet'!$C$19</f>
        <v>1.2825881633944662</v>
      </c>
      <c r="D15" s="1">
        <f>C15*'2021 Nto driftsutg landet'!$C$19-'2021 Nto driftsutg landet'!$C$19</f>
        <v>4236.8855921087379</v>
      </c>
      <c r="G15" s="5"/>
      <c r="H15" s="5"/>
      <c r="I15" s="5"/>
      <c r="J15" s="5"/>
      <c r="K15" s="5"/>
      <c r="L15" s="5"/>
      <c r="N15" s="5"/>
    </row>
    <row r="17" spans="2:4" x14ac:dyDescent="0.3">
      <c r="B17" s="1" t="s">
        <v>3</v>
      </c>
      <c r="C17" s="3">
        <f>(('2021 Nto driftsutg eks avskriv'!C17*1000/'2021 Nto driftsutg'!W17)-'2021 Korreksjoner'!AV17)/'2021 Nto driftsutg landet'!$C$19</f>
        <v>1.0000010461625322</v>
      </c>
      <c r="D17" s="104">
        <f>C17*'2021 Nto driftsutg landet'!$C$19-'2021 Nto driftsutg landet'!$C$19</f>
        <v>1.5685267586377449E-2</v>
      </c>
    </row>
  </sheetData>
  <sheetProtection algorithmName="SHA-512" hashValue="uFxmmWemLSPTf7ToShhwm2kcibrFdwizHxIkylyB7nRhTiMv73ZcqG5hfF+Sk33iq7KP5+0Dh60z3MQOpLqOjA==" saltValue="wHzgLl/qH+k6IeyHsWTEZ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F25"/>
  <sheetViews>
    <sheetView workbookViewId="0"/>
  </sheetViews>
  <sheetFormatPr baseColWidth="10" defaultRowHeight="14.4" x14ac:dyDescent="0.3"/>
  <cols>
    <col min="1" max="3" width="40.5546875" customWidth="1"/>
    <col min="4" max="5" width="21" customWidth="1"/>
  </cols>
  <sheetData>
    <row r="2" spans="1:6" ht="27" x14ac:dyDescent="0.3">
      <c r="A2" s="24" t="s">
        <v>10</v>
      </c>
      <c r="B2" s="24" t="s">
        <v>115</v>
      </c>
      <c r="C2" s="24" t="s">
        <v>116</v>
      </c>
      <c r="D2" s="24" t="s">
        <v>73</v>
      </c>
      <c r="E2" s="24" t="s">
        <v>75</v>
      </c>
    </row>
    <row r="3" spans="1:6" x14ac:dyDescent="0.3">
      <c r="A3" s="6"/>
      <c r="B3" s="6"/>
      <c r="C3" s="6"/>
      <c r="D3" s="6"/>
      <c r="E3" s="6"/>
    </row>
    <row r="4" spans="1:6" x14ac:dyDescent="0.3">
      <c r="A4" s="107">
        <v>1</v>
      </c>
      <c r="B4" s="107">
        <f>+A4+1</f>
        <v>2</v>
      </c>
      <c r="C4" s="107">
        <f t="shared" ref="C4:E4" si="0">+B4+1</f>
        <v>3</v>
      </c>
      <c r="D4" s="107">
        <f t="shared" si="0"/>
        <v>4</v>
      </c>
      <c r="E4" s="107">
        <f t="shared" si="0"/>
        <v>5</v>
      </c>
    </row>
    <row r="5" spans="1:6" x14ac:dyDescent="0.3">
      <c r="A5" s="9" t="s">
        <v>31</v>
      </c>
      <c r="B5" s="9"/>
      <c r="C5" s="9"/>
      <c r="D5" s="46"/>
      <c r="E5" s="5"/>
    </row>
    <row r="6" spans="1:6" x14ac:dyDescent="0.3">
      <c r="A6" t="s">
        <v>174</v>
      </c>
      <c r="B6" s="57">
        <f>+'2021 Bto driftsutg eks avskriv'!D$17*1000/'2021 Nto driftsutg'!W$17</f>
        <v>7290.9183470401204</v>
      </c>
      <c r="C6" s="57">
        <f>+'2021 Nto driftsutg eks avskriv'!D$17*1000/'2021 Nto driftsutg'!$W$17</f>
        <v>6149.8019650766173</v>
      </c>
      <c r="D6" s="46">
        <f>+'2021 Lønnsgr arbavg tjeneste'!D$17*1000/(B6*'2021 Nto driftsutg'!$W$17)</f>
        <v>0.61853793640683663</v>
      </c>
      <c r="E6" s="46">
        <f>+'2021 Arbavg tjeneste'!D$17/'2021 Lønnsgr arbavg tjeneste'!D$17</f>
        <v>0.12564880215488397</v>
      </c>
    </row>
    <row r="7" spans="1:6" x14ac:dyDescent="0.3">
      <c r="A7" t="s">
        <v>175</v>
      </c>
      <c r="B7" s="57">
        <f>+'2021 Bto driftsutg eks avskriv'!E$17*1000/'2021 Nto driftsutg'!W$17</f>
        <v>1807.7907003651544</v>
      </c>
      <c r="C7" s="57">
        <f>+'2021 Nto driftsutg eks avskriv'!E$17*1000/'2021 Nto driftsutg'!$W$17</f>
        <v>1649.3516543020182</v>
      </c>
      <c r="D7" s="46">
        <f>+'2021 Lønnsgr arbavg tjeneste'!E$17*1000/(B7*'2021 Nto driftsutg'!$W$17)</f>
        <v>8.5066524367896384E-2</v>
      </c>
      <c r="E7" s="46">
        <f>+'2021 Arbavg tjeneste'!E$17/'2021 Lønnsgr arbavg tjeneste'!E$17</f>
        <v>0.19733335259405854</v>
      </c>
    </row>
    <row r="8" spans="1:6" x14ac:dyDescent="0.3">
      <c r="A8" t="s">
        <v>278</v>
      </c>
      <c r="B8" s="57">
        <f>+'2021 Bto driftsutg eks avskriv'!F$17*1000/'2021 Nto driftsutg'!W$17</f>
        <v>3333.4826655806141</v>
      </c>
      <c r="C8" s="57">
        <f>+'2021 Nto driftsutg eks avskriv'!F$17*1000/'2021 Nto driftsutg'!$W$17</f>
        <v>2513.2689415151362</v>
      </c>
      <c r="D8" s="46">
        <f>+'2021 Lønnsgr arbavg tjeneste'!F$17*1000/(B8*'2021 Nto driftsutg'!$W$17)</f>
        <v>1.6624136649915671E-2</v>
      </c>
      <c r="E8" s="46">
        <f>+'2021 Arbavg tjeneste'!F$17/'2021 Lønnsgr arbavg tjeneste'!F$17</f>
        <v>0.12867255277285042</v>
      </c>
    </row>
    <row r="9" spans="1:6" x14ac:dyDescent="0.3">
      <c r="A9" t="s">
        <v>279</v>
      </c>
      <c r="B9" s="57">
        <f>+'2021 Bto driftsutg eks avskriv'!G$17*1000/'2021 Nto driftsutg'!W$17</f>
        <v>1044.3540840364137</v>
      </c>
      <c r="C9" s="57">
        <f>+'2021 Nto driftsutg eks avskriv'!G$17*1000/'2021 Nto driftsutg'!$W$17</f>
        <v>810.19544320669399</v>
      </c>
      <c r="D9" s="46">
        <f>+'2021 Lønnsgr arbavg tjeneste'!G$17*1000/(B9*'2021 Nto driftsutg'!$W$17)</f>
        <v>6.6493920500129569E-3</v>
      </c>
      <c r="E9" s="46">
        <f>+'2021 Arbavg tjeneste'!G$17/'2021 Lønnsgr arbavg tjeneste'!G$17</f>
        <v>0.11420345489443379</v>
      </c>
    </row>
    <row r="10" spans="1:6" x14ac:dyDescent="0.3">
      <c r="A10" t="s">
        <v>176</v>
      </c>
      <c r="B10" s="57">
        <f>+'2021 Bto driftsutg eks avskriv'!H$17*1000/'2021 Nto driftsutg'!W$17</f>
        <v>677.02100678937211</v>
      </c>
      <c r="C10" s="57">
        <f>+'2021 Nto driftsutg eks avskriv'!H$17*1000/'2021 Nto driftsutg'!$W$17</f>
        <v>502.17898580572307</v>
      </c>
      <c r="D10" s="46">
        <f>+'2021 Lønnsgr arbavg tjeneste'!H$17*1000/(B10*'2021 Nto driftsutg'!$W$17)</f>
        <v>0.6401975965430996</v>
      </c>
      <c r="E10" s="46">
        <f>+'2021 Arbavg tjeneste'!H$17/'2021 Lønnsgr arbavg tjeneste'!H$17</f>
        <v>0.11599377781042823</v>
      </c>
    </row>
    <row r="11" spans="1:6" x14ac:dyDescent="0.3">
      <c r="A11" s="9"/>
      <c r="B11" s="57"/>
      <c r="C11" s="57"/>
      <c r="D11" s="8"/>
      <c r="E11" s="46"/>
    </row>
    <row r="12" spans="1:6" x14ac:dyDescent="0.3">
      <c r="A12" s="9" t="s">
        <v>74</v>
      </c>
      <c r="B12" s="57"/>
      <c r="C12" s="57"/>
      <c r="D12" s="46"/>
      <c r="E12" s="46"/>
    </row>
    <row r="13" spans="1:6" x14ac:dyDescent="0.3">
      <c r="A13" t="s">
        <v>4</v>
      </c>
      <c r="B13" s="57">
        <f>+'2021 Bto driftsutg eks avskriv'!K$17*1000/'2021 Nto driftsutg'!W$17</f>
        <v>828.3419029679784</v>
      </c>
      <c r="C13" s="57">
        <f>+'2021 Nto driftsutg eks avskriv'!K$17*1000/'2021 Nto driftsutg'!$W$17</f>
        <v>764.95388132714402</v>
      </c>
      <c r="D13" s="46">
        <f>+'2021 Lønnsgr arbavg tjeneste'!K$17*1000/(B13*'2021 Nto driftsutg'!$W$17)</f>
        <v>0.56162552815272482</v>
      </c>
      <c r="E13" s="46">
        <f>+'2021 Arbavg tjeneste'!K$17/'2021 Lønnsgr arbavg tjeneste'!K$17</f>
        <v>9.5700959719477632E-2</v>
      </c>
    </row>
    <row r="14" spans="1:6" x14ac:dyDescent="0.3">
      <c r="A14" t="s">
        <v>177</v>
      </c>
      <c r="B14" s="57">
        <f>+'2021 Bto driftsutg eks avskriv'!L$17*1000/'2021 Nto driftsutg'!W$17</f>
        <v>447.65611621998119</v>
      </c>
      <c r="C14" s="57">
        <f>+'2021 Nto driftsutg eks avskriv'!L$17*1000/'2021 Nto driftsutg'!$W$17</f>
        <v>202.80571843775022</v>
      </c>
      <c r="D14" s="46">
        <f>+'2021 Lønnsgr arbavg tjeneste'!L$17*1000/(B14*'2021 Nto driftsutg'!$W$17)</f>
        <v>0.25666209018427233</v>
      </c>
      <c r="E14" s="46">
        <f>+'2021 Arbavg tjeneste'!L$17/'2021 Lønnsgr arbavg tjeneste'!L$17</f>
        <v>0.12668814952066382</v>
      </c>
    </row>
    <row r="15" spans="1:6" x14ac:dyDescent="0.3">
      <c r="A15" t="s">
        <v>37</v>
      </c>
      <c r="B15" s="57">
        <f>+'2021 Bto driftsutg eks avskriv'!M$17*1000/'2021 Nto driftsutg'!W$17</f>
        <v>471.2905360688286</v>
      </c>
      <c r="C15" s="57">
        <f>+'2021 Nto driftsutg eks avskriv'!M$17*1000/'2021 Nto driftsutg'!$W$17</f>
        <v>63.379135755045752</v>
      </c>
      <c r="D15" s="46">
        <f>+'2021 Lønnsgr arbavg tjeneste'!M$17*1000/(B15*'2021 Nto driftsutg'!$W$17)</f>
        <v>8.9319431902142685E-2</v>
      </c>
      <c r="E15" s="46">
        <f>+'2021 Arbavg tjeneste'!M$17/'2021 Lønnsgr arbavg tjeneste'!M$17</f>
        <v>0.12288031241204615</v>
      </c>
      <c r="F15" s="46"/>
    </row>
    <row r="16" spans="1:6" x14ac:dyDescent="0.3">
      <c r="A16" t="s">
        <v>178</v>
      </c>
      <c r="B16" s="57">
        <f>+'2021 Bto driftsutg eks avskriv'!N$17*1000/'2021 Nto driftsutg'!W$17</f>
        <v>734.27628625510818</v>
      </c>
      <c r="C16" s="57">
        <f>+'2021 Nto driftsutg eks avskriv'!N$17*1000/'2021 Nto driftsutg'!$W$17</f>
        <v>340.20761501899818</v>
      </c>
      <c r="D16" s="46">
        <f>+'2021 Lønnsgr arbavg tjeneste'!N$17*1000/(B16*'2021 Nto driftsutg'!$W$17)</f>
        <v>8.5798521189825019E-2</v>
      </c>
      <c r="E16" s="46">
        <f>+'2021 Arbavg tjeneste'!N$17/'2021 Lønnsgr arbavg tjeneste'!N$17</f>
        <v>0.11600756947995088</v>
      </c>
      <c r="F16" s="46"/>
    </row>
    <row r="17" spans="1:6" x14ac:dyDescent="0.3">
      <c r="A17" t="s">
        <v>38</v>
      </c>
      <c r="B17" s="57">
        <f>+'2021 Bto driftsutg eks avskriv'!O$17*1000/'2021 Nto driftsutg'!W$17</f>
        <v>3.8407390095014184</v>
      </c>
      <c r="C17" s="57">
        <f>+'2021 Nto driftsutg eks avskriv'!O$17*1000/'2021 Nto driftsutg'!$W$17</f>
        <v>-0.21196540058221064</v>
      </c>
      <c r="D17" s="46">
        <f>+'2021 Lønnsgr arbavg tjeneste'!O$17*1000/(B17*'2021 Nto driftsutg'!$W$17)</f>
        <v>8.0348966115582982E-2</v>
      </c>
      <c r="E17" s="46">
        <f>+'2021 Arbavg tjeneste'!O$17/'2021 Lønnsgr arbavg tjeneste'!O$17</f>
        <v>0.10617876424715057</v>
      </c>
      <c r="F17" s="46"/>
    </row>
    <row r="18" spans="1:6" x14ac:dyDescent="0.3">
      <c r="A18" t="s">
        <v>39</v>
      </c>
      <c r="B18" s="57">
        <f>+'2021 Bto driftsutg eks avskriv'!P$17*1000/'2021 Nto driftsutg'!W$17</f>
        <v>49.312963674313771</v>
      </c>
      <c r="C18" s="57">
        <f>+'2021 Nto driftsutg eks avskriv'!P$17*1000/'2021 Nto driftsutg'!$W$17</f>
        <v>0.38412943773632058</v>
      </c>
      <c r="D18" s="46">
        <f>+'2021 Lønnsgr arbavg tjeneste'!P$17*1000/(B18*'2021 Nto driftsutg'!$W$17)</f>
        <v>0.20457241534649748</v>
      </c>
      <c r="E18" s="46">
        <f>+'2021 Arbavg tjeneste'!P$17/'2021 Lønnsgr arbavg tjeneste'!P$17</f>
        <v>9.103754541784416E-2</v>
      </c>
      <c r="F18" s="46"/>
    </row>
    <row r="19" spans="1:6" x14ac:dyDescent="0.3">
      <c r="A19" s="9"/>
      <c r="B19" s="9"/>
      <c r="C19" s="57"/>
      <c r="D19" s="46"/>
      <c r="E19" s="8"/>
    </row>
    <row r="20" spans="1:6" x14ac:dyDescent="0.3">
      <c r="A20" s="9" t="s">
        <v>27</v>
      </c>
      <c r="B20" s="57"/>
      <c r="C20" s="57"/>
      <c r="D20" s="46"/>
      <c r="E20" s="46">
        <f>+'2021 Arbavg tjeneste'!R$17/'2021 Lønnsgr arbavg tjeneste'!R$17</f>
        <v>9.2570484733039943E-2</v>
      </c>
    </row>
    <row r="21" spans="1:6" x14ac:dyDescent="0.3">
      <c r="A21" s="9"/>
      <c r="B21" s="9"/>
      <c r="C21" s="57"/>
      <c r="D21" s="46"/>
      <c r="E21" s="8"/>
    </row>
    <row r="22" spans="1:6" x14ac:dyDescent="0.3">
      <c r="A22" s="9" t="s">
        <v>76</v>
      </c>
      <c r="B22" s="9"/>
      <c r="C22" s="57"/>
      <c r="D22" s="46">
        <f>+'2021 Lønnsgr arbavg tjeneste'!C$17/'2021 Bto driftsutg eks avskriv'!C17</f>
        <v>0.34490613882280047</v>
      </c>
      <c r="E22" s="46">
        <f>+'2021 Arbavg tjeneste'!C$17/'2021 Lønnsgr arbavg tjeneste'!C$17</f>
        <v>0.12517193017304185</v>
      </c>
    </row>
    <row r="23" spans="1:6" x14ac:dyDescent="0.3">
      <c r="A23" s="9"/>
      <c r="B23" s="9"/>
      <c r="C23" s="9"/>
      <c r="D23" s="46"/>
      <c r="E23" s="8"/>
    </row>
    <row r="24" spans="1:6" x14ac:dyDescent="0.3">
      <c r="A24" s="9"/>
      <c r="B24" s="8"/>
      <c r="C24" s="8"/>
      <c r="D24" s="46"/>
      <c r="E24" s="46"/>
    </row>
    <row r="25" spans="1:6" x14ac:dyDescent="0.3">
      <c r="A25" s="9"/>
      <c r="B25" s="9"/>
      <c r="C25" s="9"/>
      <c r="D25" s="8"/>
      <c r="E25" s="8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2:H24"/>
  <sheetViews>
    <sheetView workbookViewId="0"/>
  </sheetViews>
  <sheetFormatPr baseColWidth="10" defaultRowHeight="14.4" x14ac:dyDescent="0.3"/>
  <cols>
    <col min="1" max="3" width="40.5546875" customWidth="1"/>
    <col min="4" max="5" width="21" customWidth="1"/>
    <col min="8" max="8" width="11.5546875" style="91"/>
  </cols>
  <sheetData>
    <row r="2" spans="1:7" x14ac:dyDescent="0.3">
      <c r="A2" s="24" t="s">
        <v>10</v>
      </c>
      <c r="B2" s="24" t="s">
        <v>115</v>
      </c>
      <c r="C2" s="24" t="s">
        <v>116</v>
      </c>
      <c r="D2" s="24" t="s">
        <v>73</v>
      </c>
      <c r="E2" s="24" t="s">
        <v>98</v>
      </c>
    </row>
    <row r="3" spans="1:7" x14ac:dyDescent="0.3">
      <c r="A3" s="6"/>
      <c r="B3" s="6"/>
      <c r="C3" s="6"/>
      <c r="D3" s="6"/>
      <c r="E3" s="6"/>
    </row>
    <row r="4" spans="1:7" x14ac:dyDescent="0.3">
      <c r="A4" s="107">
        <v>1</v>
      </c>
      <c r="B4" s="107">
        <f>+A4+1</f>
        <v>2</v>
      </c>
      <c r="C4" s="107">
        <f t="shared" ref="C4" si="0">+B4+1</f>
        <v>3</v>
      </c>
      <c r="D4" s="107">
        <f>+A4+1</f>
        <v>2</v>
      </c>
      <c r="E4" s="107">
        <f>+D4+1</f>
        <v>3</v>
      </c>
    </row>
    <row r="5" spans="1:7" x14ac:dyDescent="0.3">
      <c r="A5" s="9" t="s">
        <v>31</v>
      </c>
      <c r="B5" s="9"/>
      <c r="C5" s="9"/>
      <c r="D5" s="46"/>
      <c r="E5" s="5"/>
    </row>
    <row r="6" spans="1:7" x14ac:dyDescent="0.3">
      <c r="A6" t="s">
        <v>174</v>
      </c>
      <c r="B6" s="57">
        <f>+'2021 Bto driftsutg eks avskriv'!D$17*1000/'2021 Nto driftsutg'!W$17</f>
        <v>7290.9183470401204</v>
      </c>
      <c r="C6" s="57">
        <f>+'2021 Nto driftsutg eks avskriv'!D$17*1000/'2021 Nto driftsutg'!$W$17</f>
        <v>6149.8019650766173</v>
      </c>
      <c r="D6" s="46">
        <f>+'2021 Lønnsgr pensjon tjeneste'!D$17*1000/(B6*'2021 Nto driftsutg'!$W$17)</f>
        <v>0.55490328434464886</v>
      </c>
      <c r="E6" s="46">
        <f>+'2021 Pensjon tjeneste'!D$17/'2021 Lønnsgr pensjon tjeneste'!D$17</f>
        <v>0.11467701463930151</v>
      </c>
      <c r="G6" s="57"/>
    </row>
    <row r="7" spans="1:7" x14ac:dyDescent="0.3">
      <c r="A7" t="s">
        <v>175</v>
      </c>
      <c r="B7" s="57">
        <f>+'2021 Bto driftsutg eks avskriv'!E$17*1000/'2021 Nto driftsutg'!W$17</f>
        <v>1807.7907003651544</v>
      </c>
      <c r="C7" s="57">
        <f>+'2021 Nto driftsutg eks avskriv'!E$17*1000/'2021 Nto driftsutg'!$W$17</f>
        <v>1649.3516543020182</v>
      </c>
      <c r="D7" s="46">
        <f>+'2021 Lønnsgr pensjon tjeneste'!E$17*1000/(B7*'2021 Nto driftsutg'!$W$17)</f>
        <v>6.5058063858109208E-2</v>
      </c>
      <c r="E7" s="46">
        <f>+'2021 Pensjon tjeneste'!E$17/'2021 Lønnsgr pensjon tjeneste'!E$17</f>
        <v>0.30754774002228813</v>
      </c>
      <c r="G7" s="57"/>
    </row>
    <row r="8" spans="1:7" x14ac:dyDescent="0.3">
      <c r="A8" t="s">
        <v>278</v>
      </c>
      <c r="B8" s="57">
        <f>+'2021 Bto driftsutg eks avskriv'!F$17*1000/'2021 Nto driftsutg'!W$17</f>
        <v>3333.4826655806141</v>
      </c>
      <c r="C8" s="57">
        <f>+'2021 Nto driftsutg eks avskriv'!F$17*1000/'2021 Nto driftsutg'!$W$17</f>
        <v>2513.2689415151362</v>
      </c>
      <c r="D8" s="46">
        <f>+'2021 Lønnsgr pensjon tjeneste'!F$17*1000/(B8*'2021 Nto driftsutg'!$W$17)</f>
        <v>1.3766397195740075E-2</v>
      </c>
      <c r="E8" s="46">
        <f>+'2021 Pensjon tjeneste'!F$17/'2021 Lønnsgr pensjon tjeneste'!F$17</f>
        <v>0.2075880430836258</v>
      </c>
      <c r="G8" s="57"/>
    </row>
    <row r="9" spans="1:7" x14ac:dyDescent="0.3">
      <c r="A9" t="s">
        <v>279</v>
      </c>
      <c r="B9" s="57">
        <f>+'2021 Bto driftsutg eks avskriv'!G$17*1000/'2021 Nto driftsutg'!W$17</f>
        <v>1044.3540840364137</v>
      </c>
      <c r="C9" s="57">
        <f>+'2021 Nto driftsutg eks avskriv'!G$17*1000/'2021 Nto driftsutg'!$W$17</f>
        <v>810.19544320669399</v>
      </c>
      <c r="D9" s="46">
        <f>+'2021 Lønnsgr pensjon tjeneste'!G$17*1000/(B9*'2021 Nto driftsutg'!$W$17)</f>
        <v>5.6937812443609024E-3</v>
      </c>
      <c r="E9" s="46">
        <f>+'2021 Pensjon tjeneste'!G$17/'2021 Lønnsgr pensjon tjeneste'!G$17</f>
        <v>0.16783412720650043</v>
      </c>
      <c r="G9" s="57"/>
    </row>
    <row r="10" spans="1:7" x14ac:dyDescent="0.3">
      <c r="A10" t="s">
        <v>176</v>
      </c>
      <c r="B10" s="57">
        <f>+'2021 Bto driftsutg eks avskriv'!H$17*1000/'2021 Nto driftsutg'!W$17</f>
        <v>677.02100678937211</v>
      </c>
      <c r="C10" s="57">
        <f>+'2021 Nto driftsutg eks avskriv'!H$17*1000/'2021 Nto driftsutg'!$W$17</f>
        <v>502.17898580572307</v>
      </c>
      <c r="D10" s="46">
        <f>+'2021 Lønnsgr pensjon tjeneste'!H$17*1000/(B10*'2021 Nto driftsutg'!$W$17)</f>
        <v>0.52903231451603416</v>
      </c>
      <c r="E10" s="46">
        <f>+'2021 Pensjon tjeneste'!H$17/'2021 Lønnsgr pensjon tjeneste'!H$17</f>
        <v>0.21012947409225999</v>
      </c>
      <c r="G10" s="57"/>
    </row>
    <row r="11" spans="1:7" x14ac:dyDescent="0.3">
      <c r="A11" s="9"/>
      <c r="B11" s="57"/>
      <c r="C11" s="57"/>
      <c r="D11" s="8"/>
      <c r="E11" s="46"/>
      <c r="G11" s="57"/>
    </row>
    <row r="12" spans="1:7" x14ac:dyDescent="0.3">
      <c r="A12" s="9" t="s">
        <v>74</v>
      </c>
      <c r="B12" s="57"/>
      <c r="C12" s="57"/>
      <c r="D12" s="46"/>
      <c r="E12" s="46"/>
      <c r="G12" s="57"/>
    </row>
    <row r="13" spans="1:7" x14ac:dyDescent="0.3">
      <c r="A13" t="s">
        <v>4</v>
      </c>
      <c r="B13" s="57">
        <f>+'2021 Bto driftsutg eks avskriv'!K$17*1000/'2021 Nto driftsutg'!W$17</f>
        <v>828.3419029679784</v>
      </c>
      <c r="C13" s="57">
        <f>+'2021 Nto driftsutg eks avskriv'!K$17*1000/'2021 Nto driftsutg'!$W$17</f>
        <v>764.95388132714402</v>
      </c>
      <c r="D13" s="46">
        <f>+'2021 Lønnsgr pensjon tjeneste'!K$17*1000/(B13*'2021 Nto driftsutg'!$W$17)</f>
        <v>0.41705795298664139</v>
      </c>
      <c r="E13" s="46">
        <f>+'2021 Pensjon tjeneste'!K$17/'2021 Lønnsgr pensjon tjeneste'!K$17</f>
        <v>0.34663665836079627</v>
      </c>
      <c r="G13" s="57"/>
    </row>
    <row r="14" spans="1:7" x14ac:dyDescent="0.3">
      <c r="A14" t="s">
        <v>177</v>
      </c>
      <c r="B14" s="57">
        <f>+'2021 Bto driftsutg eks avskriv'!L$17*1000/'2021 Nto driftsutg'!W$17</f>
        <v>447.65611621998119</v>
      </c>
      <c r="C14" s="57">
        <f>+'2021 Nto driftsutg eks avskriv'!L$17*1000/'2021 Nto driftsutg'!$W$17</f>
        <v>202.80571843775022</v>
      </c>
      <c r="D14" s="46">
        <f>+'2021 Lønnsgr pensjon tjeneste'!L$17*1000/(B14*'2021 Nto driftsutg'!$W$17)</f>
        <v>0.21408757071492374</v>
      </c>
      <c r="E14" s="46">
        <f>+'2021 Pensjon tjeneste'!L$17/'2021 Lønnsgr pensjon tjeneste'!L$17</f>
        <v>0.19886497533310926</v>
      </c>
      <c r="G14" s="57"/>
    </row>
    <row r="15" spans="1:7" x14ac:dyDescent="0.3">
      <c r="A15" t="s">
        <v>37</v>
      </c>
      <c r="B15" s="57">
        <f>+'2021 Bto driftsutg eks avskriv'!M$17*1000/'2021 Nto driftsutg'!W$17</f>
        <v>471.2905360688286</v>
      </c>
      <c r="C15" s="57">
        <f>+'2021 Nto driftsutg eks avskriv'!M$17*1000/'2021 Nto driftsutg'!$W$17</f>
        <v>63.379135755045752</v>
      </c>
      <c r="D15" s="46">
        <f>+'2021 Lønnsgr pensjon tjeneste'!M$17*1000/(B15*'2021 Nto driftsutg'!$W$17)</f>
        <v>7.5568311932969576E-2</v>
      </c>
      <c r="E15" s="46">
        <f>+'2021 Pensjon tjeneste'!M$17/'2021 Lønnsgr pensjon tjeneste'!M$17</f>
        <v>0.18196939454424485</v>
      </c>
      <c r="G15" s="57"/>
    </row>
    <row r="16" spans="1:7" x14ac:dyDescent="0.3">
      <c r="A16" t="s">
        <v>178</v>
      </c>
      <c r="B16" s="57">
        <f>+'2021 Bto driftsutg eks avskriv'!N$17*1000/'2021 Nto driftsutg'!W$17</f>
        <v>734.27628625510818</v>
      </c>
      <c r="C16" s="57">
        <f>+'2021 Nto driftsutg eks avskriv'!N$17*1000/'2021 Nto driftsutg'!$W$17</f>
        <v>340.20761501899818</v>
      </c>
      <c r="D16" s="46">
        <f>+'2021 Lønnsgr pensjon tjeneste'!N$17*1000/(B16*'2021 Nto driftsutg'!$W$17)</f>
        <v>7.2708923284201019E-2</v>
      </c>
      <c r="E16" s="46">
        <f>+'2021 Pensjon tjeneste'!N$17/'2021 Lønnsgr pensjon tjeneste'!N$17</f>
        <v>0.18002739298531528</v>
      </c>
      <c r="G16" s="57"/>
    </row>
    <row r="17" spans="1:7" x14ac:dyDescent="0.3">
      <c r="A17" t="s">
        <v>38</v>
      </c>
      <c r="B17" s="57">
        <f>+'2021 Bto driftsutg eks avskriv'!O$17*1000/'2021 Nto driftsutg'!W$17</f>
        <v>3.8407390095014184</v>
      </c>
      <c r="C17" s="57">
        <f>+'2021 Nto driftsutg eks avskriv'!O$17*1000/'2021 Nto driftsutg'!$W$17</f>
        <v>-0.21196540058221064</v>
      </c>
      <c r="D17" s="46">
        <f>+'2021 Lønnsgr pensjon tjeneste'!O$17*1000/(B17*'2021 Nto driftsutg'!$W$17)</f>
        <v>6.8925627801609865E-2</v>
      </c>
      <c r="E17" s="46">
        <f>+'2021 Pensjon tjeneste'!O$17/'2021 Lønnsgr pensjon tjeneste'!O$17</f>
        <v>0.16573426573426572</v>
      </c>
      <c r="G17" s="57"/>
    </row>
    <row r="18" spans="1:7" x14ac:dyDescent="0.3">
      <c r="A18" t="s">
        <v>39</v>
      </c>
      <c r="B18" s="57">
        <f>+'2021 Bto driftsutg eks avskriv'!P$17*1000/'2021 Nto driftsutg'!W$17</f>
        <v>49.312963674313771</v>
      </c>
      <c r="C18" s="57">
        <f>+'2021 Nto driftsutg eks avskriv'!P$17*1000/'2021 Nto driftsutg'!$W$17</f>
        <v>0.38412943773632058</v>
      </c>
      <c r="D18" s="46">
        <f>+'2021 Lønnsgr pensjon tjeneste'!P$17*1000/(B18*'2021 Nto driftsutg'!$W$17)</f>
        <v>0.16815451610481266</v>
      </c>
      <c r="E18" s="46">
        <f>+'2021 Pensjon tjeneste'!P$17/'2021 Lønnsgr pensjon tjeneste'!P$17</f>
        <v>0.21657401826178196</v>
      </c>
      <c r="G18" s="57"/>
    </row>
    <row r="19" spans="1:7" x14ac:dyDescent="0.3">
      <c r="A19" s="9"/>
      <c r="B19" s="9"/>
      <c r="C19" s="9"/>
      <c r="D19" s="46"/>
      <c r="E19" s="8"/>
    </row>
    <row r="20" spans="1:7" x14ac:dyDescent="0.3">
      <c r="A20" s="9"/>
      <c r="B20" s="9"/>
      <c r="C20" s="9"/>
      <c r="D20" s="46"/>
      <c r="E20" s="8"/>
    </row>
    <row r="21" spans="1:7" x14ac:dyDescent="0.3">
      <c r="A21" s="9" t="s">
        <v>76</v>
      </c>
      <c r="B21" s="9"/>
      <c r="C21" s="9"/>
      <c r="D21" s="46">
        <f>+'2021 Lønnsgr pensjon tjeneste'!C$17/('2021 Bto driftsutg eks avskriv'!C17-'2021 Bto driftsutg eks avskriv'!J17)</f>
        <v>0.30954827858540995</v>
      </c>
      <c r="E21" s="46">
        <f>+'2021 Pensjon tjeneste'!C$17/'2021 Lønnsgr pensjon tjeneste'!C$17</f>
        <v>0.11422405706460624</v>
      </c>
      <c r="G21" s="5"/>
    </row>
    <row r="22" spans="1:7" x14ac:dyDescent="0.3">
      <c r="A22" s="9"/>
      <c r="B22" s="9"/>
      <c r="C22" s="9"/>
      <c r="D22" s="46"/>
      <c r="E22" s="8"/>
    </row>
    <row r="23" spans="1:7" x14ac:dyDescent="0.3">
      <c r="A23" s="9"/>
      <c r="B23" s="8"/>
      <c r="C23" s="8"/>
      <c r="D23" s="8"/>
      <c r="E23" s="8"/>
    </row>
    <row r="24" spans="1:7" x14ac:dyDescent="0.3">
      <c r="A24" s="9"/>
      <c r="B24" s="9"/>
      <c r="C24" s="9"/>
      <c r="D24" s="8"/>
      <c r="E24" s="8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R20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ColWidth="11.44140625" defaultRowHeight="14.4" x14ac:dyDescent="0.3"/>
  <cols>
    <col min="2" max="2" width="13.44140625" customWidth="1"/>
    <col min="6" max="6" width="13.109375" customWidth="1"/>
    <col min="7" max="7" width="12.88671875" customWidth="1"/>
    <col min="9" max="9" width="12.44140625" customWidth="1"/>
  </cols>
  <sheetData>
    <row r="1" spans="1:18" x14ac:dyDescent="0.3">
      <c r="C1" s="5"/>
    </row>
    <row r="2" spans="1:18" ht="93" x14ac:dyDescent="0.3">
      <c r="A2" s="24" t="s">
        <v>2</v>
      </c>
      <c r="B2" s="24" t="s">
        <v>1</v>
      </c>
      <c r="C2" s="24" t="s">
        <v>59</v>
      </c>
      <c r="D2" s="24" t="s">
        <v>194</v>
      </c>
      <c r="E2" s="24" t="s">
        <v>195</v>
      </c>
      <c r="F2" s="24" t="s">
        <v>292</v>
      </c>
      <c r="G2" s="24" t="s">
        <v>293</v>
      </c>
      <c r="H2" s="24" t="s">
        <v>196</v>
      </c>
      <c r="I2" s="13" t="s">
        <v>71</v>
      </c>
      <c r="J2" s="24" t="s">
        <v>61</v>
      </c>
      <c r="K2" s="24" t="s">
        <v>197</v>
      </c>
      <c r="L2" s="24" t="s">
        <v>198</v>
      </c>
      <c r="M2" s="24" t="s">
        <v>62</v>
      </c>
      <c r="N2" s="24" t="s">
        <v>199</v>
      </c>
      <c r="O2" s="24" t="s">
        <v>63</v>
      </c>
      <c r="P2" s="24" t="s">
        <v>64</v>
      </c>
      <c r="Q2" s="24" t="s">
        <v>200</v>
      </c>
      <c r="R2" s="24" t="s">
        <v>60</v>
      </c>
    </row>
    <row r="3" spans="1:18" x14ac:dyDescent="0.3">
      <c r="A3" s="107">
        <v>1</v>
      </c>
      <c r="B3" s="107">
        <v>2</v>
      </c>
      <c r="C3" s="107">
        <v>3</v>
      </c>
      <c r="D3" s="107">
        <v>5</v>
      </c>
      <c r="E3" s="107">
        <v>6</v>
      </c>
      <c r="F3" s="107">
        <v>7</v>
      </c>
      <c r="G3" s="107">
        <v>8</v>
      </c>
      <c r="H3" s="107">
        <v>9</v>
      </c>
      <c r="I3" s="12">
        <f>+H3+1</f>
        <v>10</v>
      </c>
      <c r="J3" s="107">
        <f>+I3+1</f>
        <v>11</v>
      </c>
      <c r="K3" s="107">
        <f t="shared" ref="K3:R3" si="0">+J3+1</f>
        <v>12</v>
      </c>
      <c r="L3" s="107">
        <f t="shared" si="0"/>
        <v>13</v>
      </c>
      <c r="M3" s="107">
        <f t="shared" si="0"/>
        <v>14</v>
      </c>
      <c r="N3" s="107">
        <f t="shared" si="0"/>
        <v>15</v>
      </c>
      <c r="O3" s="107">
        <f t="shared" si="0"/>
        <v>16</v>
      </c>
      <c r="P3" s="107">
        <f t="shared" si="0"/>
        <v>17</v>
      </c>
      <c r="Q3" s="107">
        <f t="shared" si="0"/>
        <v>18</v>
      </c>
      <c r="R3" s="107">
        <f t="shared" si="0"/>
        <v>19</v>
      </c>
    </row>
    <row r="4" spans="1:18" x14ac:dyDescent="0.3">
      <c r="I4" s="21"/>
    </row>
    <row r="5" spans="1:18" x14ac:dyDescent="0.3">
      <c r="A5" s="43">
        <v>300</v>
      </c>
      <c r="B5" s="44" t="s">
        <v>0</v>
      </c>
      <c r="C5" s="5">
        <f t="shared" ref="C5:C15" si="1">SUM(D5:I5)+R5</f>
        <v>2086461.2409620245</v>
      </c>
      <c r="D5" s="5">
        <v>2093745</v>
      </c>
      <c r="E5" s="5">
        <v>0</v>
      </c>
      <c r="F5" s="5">
        <v>25410</v>
      </c>
      <c r="G5" s="5">
        <v>0</v>
      </c>
      <c r="H5" s="5">
        <v>162511</v>
      </c>
      <c r="I5" s="11">
        <f t="shared" ref="I5:I15" si="2">SUM(J5:Q5)</f>
        <v>89996</v>
      </c>
      <c r="J5" s="5"/>
      <c r="K5" s="5">
        <v>85526</v>
      </c>
      <c r="L5" s="5">
        <v>0</v>
      </c>
      <c r="M5" s="5">
        <v>0</v>
      </c>
      <c r="N5" s="5">
        <v>4470</v>
      </c>
      <c r="O5" s="5">
        <v>0</v>
      </c>
      <c r="P5" s="5">
        <v>0</v>
      </c>
      <c r="Q5" s="5"/>
      <c r="R5" s="113">
        <v>-285200.75903797551</v>
      </c>
    </row>
    <row r="6" spans="1:18" x14ac:dyDescent="0.3">
      <c r="A6" s="43">
        <v>1100</v>
      </c>
      <c r="B6" s="44" t="s">
        <v>141</v>
      </c>
      <c r="C6" s="5">
        <f t="shared" si="1"/>
        <v>2704484</v>
      </c>
      <c r="D6" s="5">
        <v>2237871</v>
      </c>
      <c r="E6" s="5">
        <v>72747</v>
      </c>
      <c r="F6" s="5">
        <v>5377</v>
      </c>
      <c r="G6" s="5">
        <v>133</v>
      </c>
      <c r="H6" s="5">
        <v>241789</v>
      </c>
      <c r="I6" s="11">
        <f t="shared" si="2"/>
        <v>201438</v>
      </c>
      <c r="J6" s="5"/>
      <c r="K6" s="5">
        <v>112548</v>
      </c>
      <c r="L6" s="5">
        <v>52691</v>
      </c>
      <c r="M6" s="5">
        <v>14485</v>
      </c>
      <c r="N6" s="5">
        <v>14459</v>
      </c>
      <c r="O6" s="5">
        <v>0</v>
      </c>
      <c r="P6" s="5">
        <v>7255</v>
      </c>
      <c r="Q6" s="5"/>
      <c r="R6" s="5">
        <v>-54871</v>
      </c>
    </row>
    <row r="7" spans="1:18" x14ac:dyDescent="0.3">
      <c r="A7" s="43">
        <v>1500</v>
      </c>
      <c r="B7" s="44" t="s">
        <v>142</v>
      </c>
      <c r="C7" s="5">
        <f t="shared" si="1"/>
        <v>1600915</v>
      </c>
      <c r="D7" s="5">
        <v>1267271</v>
      </c>
      <c r="E7" s="5">
        <v>51981</v>
      </c>
      <c r="F7" s="5">
        <v>18201</v>
      </c>
      <c r="G7" s="5">
        <v>13845</v>
      </c>
      <c r="H7" s="5">
        <v>116337</v>
      </c>
      <c r="I7" s="11">
        <f t="shared" si="2"/>
        <v>192884</v>
      </c>
      <c r="J7" s="5"/>
      <c r="K7" s="5">
        <v>120787</v>
      </c>
      <c r="L7" s="5">
        <v>40744</v>
      </c>
      <c r="M7" s="5">
        <v>15770</v>
      </c>
      <c r="N7" s="5">
        <v>15581</v>
      </c>
      <c r="O7" s="5">
        <v>0</v>
      </c>
      <c r="P7" s="5">
        <v>2</v>
      </c>
      <c r="Q7" s="5"/>
      <c r="R7" s="5">
        <v>-59604</v>
      </c>
    </row>
    <row r="8" spans="1:18" x14ac:dyDescent="0.3">
      <c r="A8" s="43">
        <v>1800</v>
      </c>
      <c r="B8" s="44" t="s">
        <v>143</v>
      </c>
      <c r="C8" s="5">
        <f t="shared" si="1"/>
        <v>1965086</v>
      </c>
      <c r="D8" s="5">
        <v>1480899</v>
      </c>
      <c r="E8" s="5">
        <v>53749</v>
      </c>
      <c r="F8" s="5">
        <v>10584</v>
      </c>
      <c r="G8" s="5">
        <v>9276</v>
      </c>
      <c r="H8" s="5">
        <v>193188</v>
      </c>
      <c r="I8" s="11">
        <f t="shared" si="2"/>
        <v>271731</v>
      </c>
      <c r="J8" s="5"/>
      <c r="K8" s="5">
        <v>161225</v>
      </c>
      <c r="L8" s="5">
        <v>49591</v>
      </c>
      <c r="M8" s="5">
        <v>24460</v>
      </c>
      <c r="N8" s="5">
        <v>36411</v>
      </c>
      <c r="O8" s="5">
        <v>44</v>
      </c>
      <c r="P8" s="5">
        <v>0</v>
      </c>
      <c r="Q8" s="5"/>
      <c r="R8" s="5">
        <v>-54341</v>
      </c>
    </row>
    <row r="9" spans="1:18" x14ac:dyDescent="0.3">
      <c r="A9" s="43">
        <v>3000</v>
      </c>
      <c r="B9" s="44" t="s">
        <v>392</v>
      </c>
      <c r="C9" s="5">
        <f t="shared" si="1"/>
        <v>6816474</v>
      </c>
      <c r="D9" s="5">
        <v>5522595</v>
      </c>
      <c r="E9" s="5">
        <v>141737</v>
      </c>
      <c r="F9" s="5">
        <v>41988</v>
      </c>
      <c r="G9" s="5">
        <v>0</v>
      </c>
      <c r="H9" s="5">
        <v>369653</v>
      </c>
      <c r="I9" s="11">
        <f t="shared" si="2"/>
        <v>895008</v>
      </c>
      <c r="J9" s="5"/>
      <c r="K9" s="5">
        <v>685484</v>
      </c>
      <c r="L9" s="5">
        <v>116708</v>
      </c>
      <c r="M9" s="5">
        <v>26416</v>
      </c>
      <c r="N9" s="5">
        <v>63858</v>
      </c>
      <c r="O9" s="5">
        <v>0</v>
      </c>
      <c r="P9" s="5">
        <v>2542</v>
      </c>
      <c r="Q9" s="5"/>
      <c r="R9" s="5">
        <v>-154507</v>
      </c>
    </row>
    <row r="10" spans="1:18" x14ac:dyDescent="0.3">
      <c r="A10" s="43">
        <v>3400</v>
      </c>
      <c r="B10" s="44" t="s">
        <v>393</v>
      </c>
      <c r="C10" s="5">
        <f t="shared" si="1"/>
        <v>2488613</v>
      </c>
      <c r="D10" s="5">
        <v>1883124</v>
      </c>
      <c r="E10" s="5">
        <v>104376</v>
      </c>
      <c r="F10" s="5">
        <v>38503</v>
      </c>
      <c r="G10" s="5">
        <v>7528</v>
      </c>
      <c r="H10" s="5">
        <v>173256</v>
      </c>
      <c r="I10" s="11">
        <f t="shared" si="2"/>
        <v>316901</v>
      </c>
      <c r="J10" s="5"/>
      <c r="K10" s="5">
        <v>205231</v>
      </c>
      <c r="L10" s="5">
        <v>55890</v>
      </c>
      <c r="M10" s="5">
        <v>25139</v>
      </c>
      <c r="N10" s="5">
        <v>30641</v>
      </c>
      <c r="O10" s="5">
        <v>0</v>
      </c>
      <c r="P10" s="5">
        <v>0</v>
      </c>
      <c r="Q10" s="5"/>
      <c r="R10" s="5">
        <v>-35075</v>
      </c>
    </row>
    <row r="11" spans="1:18" x14ac:dyDescent="0.3">
      <c r="A11" s="43">
        <v>3800</v>
      </c>
      <c r="B11" s="44" t="s">
        <v>394</v>
      </c>
      <c r="C11" s="5">
        <f t="shared" si="1"/>
        <v>2612467</v>
      </c>
      <c r="D11" s="5">
        <v>1966104</v>
      </c>
      <c r="E11" s="5">
        <v>146714</v>
      </c>
      <c r="F11" s="5">
        <v>26666</v>
      </c>
      <c r="G11" s="5">
        <v>0</v>
      </c>
      <c r="H11" s="5">
        <v>176978</v>
      </c>
      <c r="I11" s="11">
        <f t="shared" si="2"/>
        <v>346333</v>
      </c>
      <c r="J11" s="5"/>
      <c r="K11" s="5">
        <v>215327</v>
      </c>
      <c r="L11" s="5">
        <v>75323</v>
      </c>
      <c r="M11" s="5">
        <v>23872</v>
      </c>
      <c r="N11" s="5">
        <v>29795</v>
      </c>
      <c r="O11" s="5">
        <v>1623</v>
      </c>
      <c r="P11" s="5">
        <v>393</v>
      </c>
      <c r="Q11" s="5"/>
      <c r="R11" s="5">
        <v>-50328</v>
      </c>
    </row>
    <row r="12" spans="1:18" x14ac:dyDescent="0.3">
      <c r="A12" s="43">
        <v>4200</v>
      </c>
      <c r="B12" s="44" t="s">
        <v>395</v>
      </c>
      <c r="C12" s="5">
        <f t="shared" si="1"/>
        <v>1958971</v>
      </c>
      <c r="D12" s="5">
        <v>1568330</v>
      </c>
      <c r="E12" s="5">
        <v>56639</v>
      </c>
      <c r="F12" s="5">
        <v>1797</v>
      </c>
      <c r="G12" s="5">
        <v>630</v>
      </c>
      <c r="H12" s="5">
        <v>127895</v>
      </c>
      <c r="I12" s="11">
        <f t="shared" si="2"/>
        <v>276416</v>
      </c>
      <c r="J12" s="5"/>
      <c r="K12" s="5">
        <v>187336</v>
      </c>
      <c r="L12" s="5">
        <v>72040</v>
      </c>
      <c r="M12" s="5">
        <v>1135</v>
      </c>
      <c r="N12" s="5">
        <v>15861</v>
      </c>
      <c r="O12" s="5">
        <v>0</v>
      </c>
      <c r="P12" s="5">
        <v>44</v>
      </c>
      <c r="Q12" s="5"/>
      <c r="R12" s="5">
        <v>-72736</v>
      </c>
    </row>
    <row r="13" spans="1:18" x14ac:dyDescent="0.3">
      <c r="A13" s="43">
        <v>4600</v>
      </c>
      <c r="B13" s="44" t="s">
        <v>396</v>
      </c>
      <c r="C13" s="5">
        <f t="shared" si="1"/>
        <v>3571970</v>
      </c>
      <c r="D13" s="5">
        <v>2706466</v>
      </c>
      <c r="E13" s="5">
        <v>65671</v>
      </c>
      <c r="F13" s="5">
        <v>72043</v>
      </c>
      <c r="G13" s="5">
        <v>0</v>
      </c>
      <c r="H13" s="5">
        <v>267152</v>
      </c>
      <c r="I13" s="11">
        <f t="shared" si="2"/>
        <v>412450</v>
      </c>
      <c r="J13" s="5"/>
      <c r="K13" s="5">
        <v>278055</v>
      </c>
      <c r="L13" s="5">
        <v>45078</v>
      </c>
      <c r="M13" s="5">
        <v>50729</v>
      </c>
      <c r="N13" s="5">
        <v>37626</v>
      </c>
      <c r="O13" s="5">
        <v>0</v>
      </c>
      <c r="P13" s="5">
        <v>962</v>
      </c>
      <c r="Q13" s="5"/>
      <c r="R13" s="5">
        <v>48188</v>
      </c>
    </row>
    <row r="14" spans="1:18" x14ac:dyDescent="0.3">
      <c r="A14" s="43">
        <v>5000</v>
      </c>
      <c r="B14" s="44" t="s">
        <v>390</v>
      </c>
      <c r="C14" s="5">
        <f t="shared" si="1"/>
        <v>2837050</v>
      </c>
      <c r="D14" s="5">
        <v>2190420</v>
      </c>
      <c r="E14" s="5">
        <v>78085</v>
      </c>
      <c r="F14" s="5">
        <v>18251</v>
      </c>
      <c r="G14" s="5">
        <v>3761</v>
      </c>
      <c r="H14" s="5">
        <v>260529</v>
      </c>
      <c r="I14" s="11">
        <f t="shared" si="2"/>
        <v>356438</v>
      </c>
      <c r="J14" s="5"/>
      <c r="K14" s="5">
        <v>228167</v>
      </c>
      <c r="L14" s="5">
        <v>61356</v>
      </c>
      <c r="M14" s="5">
        <v>23282</v>
      </c>
      <c r="N14" s="5">
        <v>43633</v>
      </c>
      <c r="O14" s="5">
        <v>0</v>
      </c>
      <c r="P14" s="5">
        <v>0</v>
      </c>
      <c r="Q14" s="5"/>
      <c r="R14" s="5">
        <v>-70434</v>
      </c>
    </row>
    <row r="15" spans="1:18" x14ac:dyDescent="0.3">
      <c r="A15" s="43">
        <v>5400</v>
      </c>
      <c r="B15" s="44" t="s">
        <v>397</v>
      </c>
      <c r="C15" s="5">
        <f t="shared" si="1"/>
        <v>2127488</v>
      </c>
      <c r="D15" s="5">
        <v>1443837</v>
      </c>
      <c r="E15" s="5">
        <v>59007</v>
      </c>
      <c r="F15" s="5">
        <v>40529</v>
      </c>
      <c r="G15" s="5">
        <v>2339</v>
      </c>
      <c r="H15" s="5">
        <v>252010</v>
      </c>
      <c r="I15" s="11">
        <f t="shared" si="2"/>
        <v>397948</v>
      </c>
      <c r="J15" s="5"/>
      <c r="K15" s="5">
        <v>233340</v>
      </c>
      <c r="L15" s="5">
        <v>51229</v>
      </c>
      <c r="M15" s="5">
        <v>22104</v>
      </c>
      <c r="N15" s="5">
        <v>47979</v>
      </c>
      <c r="O15" s="5">
        <v>0</v>
      </c>
      <c r="P15" s="5">
        <v>43296</v>
      </c>
      <c r="Q15" s="5"/>
      <c r="R15" s="5">
        <v>-68182</v>
      </c>
    </row>
    <row r="16" spans="1:18" x14ac:dyDescent="0.3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4" t="s">
        <v>3</v>
      </c>
      <c r="C17" s="5">
        <f t="shared" ref="C17:R17" si="3">SUM(C5:C16)</f>
        <v>30769979.240962025</v>
      </c>
      <c r="D17" s="5">
        <f t="shared" si="3"/>
        <v>24360662</v>
      </c>
      <c r="E17" s="5">
        <f t="shared" si="3"/>
        <v>830706</v>
      </c>
      <c r="F17" s="5">
        <f t="shared" si="3"/>
        <v>299349</v>
      </c>
      <c r="G17" s="5">
        <f t="shared" si="3"/>
        <v>37512</v>
      </c>
      <c r="H17" s="5">
        <f t="shared" si="3"/>
        <v>2341298</v>
      </c>
      <c r="I17" s="17">
        <f t="shared" si="3"/>
        <v>3757543</v>
      </c>
      <c r="J17" s="5">
        <f t="shared" si="3"/>
        <v>0</v>
      </c>
      <c r="K17" s="5">
        <f t="shared" si="3"/>
        <v>2513026</v>
      </c>
      <c r="L17" s="5">
        <f t="shared" si="3"/>
        <v>620650</v>
      </c>
      <c r="M17" s="5">
        <f t="shared" si="3"/>
        <v>227392</v>
      </c>
      <c r="N17" s="5">
        <f t="shared" si="3"/>
        <v>340314</v>
      </c>
      <c r="O17" s="5">
        <f t="shared" si="3"/>
        <v>1667</v>
      </c>
      <c r="P17" s="5">
        <f t="shared" si="3"/>
        <v>54494</v>
      </c>
      <c r="Q17" s="5">
        <f t="shared" si="3"/>
        <v>0</v>
      </c>
      <c r="R17" s="5">
        <f t="shared" si="3"/>
        <v>-857090.75903797545</v>
      </c>
    </row>
    <row r="18" spans="2:18" x14ac:dyDescent="0.3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R20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ColWidth="11.44140625" defaultRowHeight="14.4" x14ac:dyDescent="0.3"/>
  <cols>
    <col min="2" max="2" width="13.44140625" customWidth="1"/>
  </cols>
  <sheetData>
    <row r="1" spans="1:18" x14ac:dyDescent="0.3">
      <c r="C1" s="5"/>
    </row>
    <row r="2" spans="1:18" ht="106.2" x14ac:dyDescent="0.3">
      <c r="A2" s="24" t="s">
        <v>2</v>
      </c>
      <c r="B2" s="24" t="s">
        <v>1</v>
      </c>
      <c r="C2" s="24" t="s">
        <v>65</v>
      </c>
      <c r="D2" s="24" t="s">
        <v>201</v>
      </c>
      <c r="E2" s="24" t="s">
        <v>202</v>
      </c>
      <c r="F2" s="24" t="s">
        <v>294</v>
      </c>
      <c r="G2" s="24" t="s">
        <v>295</v>
      </c>
      <c r="H2" s="24" t="s">
        <v>203</v>
      </c>
      <c r="I2" s="13" t="s">
        <v>72</v>
      </c>
      <c r="J2" s="24" t="s">
        <v>67</v>
      </c>
      <c r="K2" s="24" t="s">
        <v>204</v>
      </c>
      <c r="L2" s="24" t="s">
        <v>205</v>
      </c>
      <c r="M2" s="24" t="s">
        <v>68</v>
      </c>
      <c r="N2" s="24" t="s">
        <v>206</v>
      </c>
      <c r="O2" s="24" t="s">
        <v>69</v>
      </c>
      <c r="P2" s="24" t="s">
        <v>70</v>
      </c>
      <c r="Q2" s="24" t="s">
        <v>207</v>
      </c>
      <c r="R2" s="24" t="s">
        <v>66</v>
      </c>
    </row>
    <row r="3" spans="1:18" x14ac:dyDescent="0.3">
      <c r="A3" s="107">
        <v>1</v>
      </c>
      <c r="B3" s="107">
        <v>2</v>
      </c>
      <c r="C3" s="107">
        <f>+B3+1</f>
        <v>3</v>
      </c>
      <c r="D3" s="107">
        <f t="shared" ref="D3:H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>H3+1</f>
        <v>9</v>
      </c>
      <c r="J3" s="107">
        <f>+I3+1</f>
        <v>10</v>
      </c>
      <c r="K3" s="107">
        <f t="shared" ref="K3:R3" si="1">+J3+1</f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</row>
    <row r="4" spans="1:18" x14ac:dyDescent="0.3">
      <c r="I4" s="21"/>
    </row>
    <row r="5" spans="1:18" x14ac:dyDescent="0.3">
      <c r="A5" s="43">
        <v>300</v>
      </c>
      <c r="B5" s="44" t="s">
        <v>0</v>
      </c>
      <c r="C5" s="5">
        <f t="shared" ref="C5:C15" si="2">SUM(D5:I5)+R5</f>
        <v>278985.69297564548</v>
      </c>
      <c r="D5" s="5">
        <v>288343</v>
      </c>
      <c r="E5" s="5">
        <v>0</v>
      </c>
      <c r="F5" s="5">
        <v>3511</v>
      </c>
      <c r="G5" s="5">
        <v>0</v>
      </c>
      <c r="H5" s="5">
        <v>21162</v>
      </c>
      <c r="I5" s="11">
        <f t="shared" ref="I5:I15" si="3">SUM(J5:Q5)</f>
        <v>6183</v>
      </c>
      <c r="J5" s="5"/>
      <c r="K5" s="5">
        <v>5612</v>
      </c>
      <c r="L5" s="5">
        <v>0</v>
      </c>
      <c r="M5" s="5">
        <v>0</v>
      </c>
      <c r="N5" s="5">
        <v>571</v>
      </c>
      <c r="O5" s="5">
        <v>0</v>
      </c>
      <c r="P5" s="5">
        <v>0</v>
      </c>
      <c r="Q5" s="5"/>
      <c r="R5" s="113">
        <v>-40213.307024354523</v>
      </c>
    </row>
    <row r="6" spans="1:18" x14ac:dyDescent="0.3">
      <c r="A6" s="43">
        <v>1100</v>
      </c>
      <c r="B6" s="44" t="s">
        <v>141</v>
      </c>
      <c r="C6" s="5">
        <f t="shared" si="2"/>
        <v>378860</v>
      </c>
      <c r="D6" s="5">
        <v>313515</v>
      </c>
      <c r="E6" s="5">
        <v>10247</v>
      </c>
      <c r="F6" s="5">
        <v>751</v>
      </c>
      <c r="G6" s="5">
        <v>19</v>
      </c>
      <c r="H6" s="5">
        <v>33554</v>
      </c>
      <c r="I6" s="11">
        <f t="shared" si="3"/>
        <v>28512</v>
      </c>
      <c r="J6" s="5"/>
      <c r="K6" s="5">
        <v>16007</v>
      </c>
      <c r="L6" s="5">
        <v>7416</v>
      </c>
      <c r="M6" s="5">
        <v>2035</v>
      </c>
      <c r="N6" s="5">
        <v>2030</v>
      </c>
      <c r="O6" s="5">
        <v>0</v>
      </c>
      <c r="P6" s="5">
        <v>1024</v>
      </c>
      <c r="Q6" s="5"/>
      <c r="R6" s="5">
        <v>-7738</v>
      </c>
    </row>
    <row r="7" spans="1:18" x14ac:dyDescent="0.3">
      <c r="A7" s="43">
        <v>1500</v>
      </c>
      <c r="B7" s="44" t="s">
        <v>142</v>
      </c>
      <c r="C7" s="5">
        <f t="shared" si="2"/>
        <v>227687</v>
      </c>
      <c r="D7" s="5">
        <v>171009</v>
      </c>
      <c r="E7" s="5">
        <v>15915</v>
      </c>
      <c r="F7" s="5">
        <v>2531</v>
      </c>
      <c r="G7" s="5">
        <v>1967</v>
      </c>
      <c r="H7" s="5">
        <v>14750</v>
      </c>
      <c r="I7" s="11">
        <f t="shared" si="3"/>
        <v>26935</v>
      </c>
      <c r="J7" s="5"/>
      <c r="K7" s="5">
        <v>17073</v>
      </c>
      <c r="L7" s="5">
        <v>5595</v>
      </c>
      <c r="M7" s="5">
        <v>2170</v>
      </c>
      <c r="N7" s="5">
        <v>2098</v>
      </c>
      <c r="O7" s="5">
        <v>0</v>
      </c>
      <c r="P7" s="5">
        <v>-1</v>
      </c>
      <c r="Q7" s="5"/>
      <c r="R7" s="5">
        <v>-5420</v>
      </c>
    </row>
    <row r="8" spans="1:18" x14ac:dyDescent="0.3">
      <c r="A8" s="43">
        <v>1800</v>
      </c>
      <c r="B8" s="44" t="s">
        <v>143</v>
      </c>
      <c r="C8" s="5">
        <f t="shared" si="2"/>
        <v>121256</v>
      </c>
      <c r="D8" s="5">
        <v>85421</v>
      </c>
      <c r="E8" s="5">
        <v>5473</v>
      </c>
      <c r="F8" s="5">
        <v>832</v>
      </c>
      <c r="G8" s="5">
        <v>689</v>
      </c>
      <c r="H8" s="5">
        <v>10879</v>
      </c>
      <c r="I8" s="11">
        <f t="shared" si="3"/>
        <v>20225</v>
      </c>
      <c r="J8" s="5"/>
      <c r="K8" s="5">
        <v>12566</v>
      </c>
      <c r="L8" s="5">
        <v>3607</v>
      </c>
      <c r="M8" s="5">
        <v>1797</v>
      </c>
      <c r="N8" s="5">
        <v>2251</v>
      </c>
      <c r="O8" s="5">
        <v>4</v>
      </c>
      <c r="P8" s="5">
        <v>0</v>
      </c>
      <c r="Q8" s="5"/>
      <c r="R8" s="5">
        <v>-2263</v>
      </c>
    </row>
    <row r="9" spans="1:18" x14ac:dyDescent="0.3">
      <c r="A9" s="43">
        <v>3000</v>
      </c>
      <c r="B9" s="44" t="s">
        <v>392</v>
      </c>
      <c r="C9" s="5">
        <f t="shared" si="2"/>
        <v>922366</v>
      </c>
      <c r="D9" s="5">
        <v>777543</v>
      </c>
      <c r="E9" s="5">
        <v>36591</v>
      </c>
      <c r="F9" s="5">
        <v>5695</v>
      </c>
      <c r="G9" s="5">
        <v>0</v>
      </c>
      <c r="H9" s="5">
        <v>51696</v>
      </c>
      <c r="I9" s="11">
        <f t="shared" si="3"/>
        <v>55893</v>
      </c>
      <c r="J9" s="5"/>
      <c r="K9" s="5">
        <v>26317</v>
      </c>
      <c r="L9" s="5">
        <v>16400</v>
      </c>
      <c r="M9" s="5">
        <v>3843</v>
      </c>
      <c r="N9" s="5">
        <v>8976</v>
      </c>
      <c r="O9" s="5">
        <v>0</v>
      </c>
      <c r="P9" s="5">
        <v>357</v>
      </c>
      <c r="Q9" s="5"/>
      <c r="R9" s="5">
        <v>-5052</v>
      </c>
    </row>
    <row r="10" spans="1:18" x14ac:dyDescent="0.3">
      <c r="A10" s="43">
        <v>3400</v>
      </c>
      <c r="B10" s="44" t="s">
        <v>393</v>
      </c>
      <c r="C10" s="5">
        <f t="shared" si="2"/>
        <v>313841</v>
      </c>
      <c r="D10" s="5">
        <v>234146</v>
      </c>
      <c r="E10" s="5">
        <v>12632</v>
      </c>
      <c r="F10" s="5">
        <v>5436</v>
      </c>
      <c r="G10" s="5">
        <v>1060</v>
      </c>
      <c r="H10" s="5">
        <v>20826</v>
      </c>
      <c r="I10" s="11">
        <f t="shared" si="3"/>
        <v>44687</v>
      </c>
      <c r="J10" s="5"/>
      <c r="K10" s="5">
        <v>28925</v>
      </c>
      <c r="L10" s="5">
        <v>7896</v>
      </c>
      <c r="M10" s="5">
        <v>3531</v>
      </c>
      <c r="N10" s="5">
        <v>4335</v>
      </c>
      <c r="O10" s="5">
        <v>0</v>
      </c>
      <c r="P10" s="5">
        <v>0</v>
      </c>
      <c r="Q10" s="5"/>
      <c r="R10" s="5">
        <v>-4946</v>
      </c>
    </row>
    <row r="11" spans="1:18" x14ac:dyDescent="0.3">
      <c r="A11" s="43">
        <v>3800</v>
      </c>
      <c r="B11" s="44" t="s">
        <v>394</v>
      </c>
      <c r="C11" s="5">
        <f t="shared" si="2"/>
        <v>363652</v>
      </c>
      <c r="D11" s="5">
        <v>273262</v>
      </c>
      <c r="E11" s="5">
        <v>20798</v>
      </c>
      <c r="F11" s="5">
        <v>4262</v>
      </c>
      <c r="G11" s="5">
        <v>0</v>
      </c>
      <c r="H11" s="5">
        <v>24486</v>
      </c>
      <c r="I11" s="11">
        <f t="shared" si="3"/>
        <v>47939</v>
      </c>
      <c r="J11" s="5"/>
      <c r="K11" s="5">
        <v>29560</v>
      </c>
      <c r="L11" s="5">
        <v>10519</v>
      </c>
      <c r="M11" s="5">
        <v>3381</v>
      </c>
      <c r="N11" s="5">
        <v>4246</v>
      </c>
      <c r="O11" s="5">
        <v>173</v>
      </c>
      <c r="P11" s="5">
        <v>60</v>
      </c>
      <c r="Q11" s="5"/>
      <c r="R11" s="5">
        <v>-7095</v>
      </c>
    </row>
    <row r="12" spans="1:18" x14ac:dyDescent="0.3">
      <c r="A12" s="43">
        <v>4200</v>
      </c>
      <c r="B12" s="44" t="s">
        <v>395</v>
      </c>
      <c r="C12" s="5">
        <f t="shared" si="2"/>
        <v>277206</v>
      </c>
      <c r="D12" s="5">
        <v>218511</v>
      </c>
      <c r="E12" s="5">
        <v>11733</v>
      </c>
      <c r="F12" s="5">
        <v>254</v>
      </c>
      <c r="G12" s="5">
        <v>89</v>
      </c>
      <c r="H12" s="5">
        <v>17604</v>
      </c>
      <c r="I12" s="11">
        <f t="shared" si="3"/>
        <v>35852</v>
      </c>
      <c r="J12" s="5"/>
      <c r="K12" s="5">
        <v>23246</v>
      </c>
      <c r="L12" s="5">
        <v>10184</v>
      </c>
      <c r="M12" s="5">
        <v>161</v>
      </c>
      <c r="N12" s="5">
        <v>2255</v>
      </c>
      <c r="O12" s="5">
        <v>0</v>
      </c>
      <c r="P12" s="5">
        <v>6</v>
      </c>
      <c r="Q12" s="5"/>
      <c r="R12" s="5">
        <v>-6837</v>
      </c>
    </row>
    <row r="13" spans="1:18" x14ac:dyDescent="0.3">
      <c r="A13" s="43">
        <v>4600</v>
      </c>
      <c r="B13" s="44" t="s">
        <v>396</v>
      </c>
      <c r="C13" s="5">
        <f t="shared" si="2"/>
        <v>505221</v>
      </c>
      <c r="D13" s="5">
        <v>366343</v>
      </c>
      <c r="E13" s="5">
        <v>28123</v>
      </c>
      <c r="F13" s="5">
        <v>10264</v>
      </c>
      <c r="G13" s="5">
        <v>0</v>
      </c>
      <c r="H13" s="5">
        <v>36217</v>
      </c>
      <c r="I13" s="11">
        <f t="shared" si="3"/>
        <v>57231</v>
      </c>
      <c r="J13" s="5"/>
      <c r="K13" s="5">
        <v>39042</v>
      </c>
      <c r="L13" s="5">
        <v>6173</v>
      </c>
      <c r="M13" s="5">
        <v>6905</v>
      </c>
      <c r="N13" s="5">
        <v>4975</v>
      </c>
      <c r="O13" s="5">
        <v>0</v>
      </c>
      <c r="P13" s="5">
        <v>136</v>
      </c>
      <c r="Q13" s="5"/>
      <c r="R13" s="5">
        <v>7043</v>
      </c>
    </row>
    <row r="14" spans="1:18" x14ac:dyDescent="0.3">
      <c r="A14" s="43">
        <v>5000</v>
      </c>
      <c r="B14" s="44" t="s">
        <v>390</v>
      </c>
      <c r="C14" s="5">
        <f t="shared" si="2"/>
        <v>372187</v>
      </c>
      <c r="D14" s="5">
        <v>274287</v>
      </c>
      <c r="E14" s="5">
        <v>19767</v>
      </c>
      <c r="F14" s="5">
        <v>2539</v>
      </c>
      <c r="G14" s="5">
        <v>390</v>
      </c>
      <c r="H14" s="5">
        <v>31124</v>
      </c>
      <c r="I14" s="11">
        <f t="shared" si="3"/>
        <v>47548</v>
      </c>
      <c r="J14" s="5"/>
      <c r="K14" s="5">
        <v>30150</v>
      </c>
      <c r="L14" s="5">
        <v>8470</v>
      </c>
      <c r="M14" s="5">
        <v>2911</v>
      </c>
      <c r="N14" s="5">
        <v>6017</v>
      </c>
      <c r="O14" s="5">
        <v>0</v>
      </c>
      <c r="P14" s="5">
        <v>0</v>
      </c>
      <c r="Q14" s="5"/>
      <c r="R14" s="5">
        <v>-3468</v>
      </c>
    </row>
    <row r="15" spans="1:18" x14ac:dyDescent="0.3">
      <c r="A15" s="43">
        <v>5400</v>
      </c>
      <c r="B15" s="44" t="s">
        <v>397</v>
      </c>
      <c r="C15" s="5">
        <f t="shared" si="2"/>
        <v>90276</v>
      </c>
      <c r="D15" s="5">
        <v>58508</v>
      </c>
      <c r="E15" s="5">
        <v>2647</v>
      </c>
      <c r="F15" s="5">
        <v>2443</v>
      </c>
      <c r="G15" s="5">
        <v>70</v>
      </c>
      <c r="H15" s="5">
        <v>9278</v>
      </c>
      <c r="I15" s="11">
        <f t="shared" si="3"/>
        <v>20682</v>
      </c>
      <c r="J15" s="5"/>
      <c r="K15" s="5">
        <v>12001</v>
      </c>
      <c r="L15" s="5">
        <v>2369</v>
      </c>
      <c r="M15" s="5">
        <v>1208</v>
      </c>
      <c r="N15" s="5">
        <v>1725</v>
      </c>
      <c r="O15" s="5">
        <v>0</v>
      </c>
      <c r="P15" s="5">
        <v>3379</v>
      </c>
      <c r="Q15" s="5"/>
      <c r="R15" s="5">
        <v>-3352</v>
      </c>
    </row>
    <row r="16" spans="1:18" x14ac:dyDescent="0.3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4" t="s">
        <v>3</v>
      </c>
      <c r="C17" s="5">
        <f t="shared" ref="C17:R17" si="4">SUM(C5:C16)</f>
        <v>3851537.6929756454</v>
      </c>
      <c r="D17" s="5">
        <f t="shared" si="4"/>
        <v>3060888</v>
      </c>
      <c r="E17" s="5">
        <f t="shared" si="4"/>
        <v>163926</v>
      </c>
      <c r="F17" s="5">
        <f t="shared" si="4"/>
        <v>38518</v>
      </c>
      <c r="G17" s="5">
        <f t="shared" si="4"/>
        <v>4284</v>
      </c>
      <c r="H17" s="5">
        <f t="shared" si="4"/>
        <v>271576</v>
      </c>
      <c r="I17" s="17">
        <f t="shared" si="4"/>
        <v>391687</v>
      </c>
      <c r="J17" s="5">
        <f t="shared" si="4"/>
        <v>0</v>
      </c>
      <c r="K17" s="5">
        <f t="shared" si="4"/>
        <v>240499</v>
      </c>
      <c r="L17" s="5">
        <f t="shared" si="4"/>
        <v>78629</v>
      </c>
      <c r="M17" s="5">
        <f t="shared" si="4"/>
        <v>27942</v>
      </c>
      <c r="N17" s="5">
        <f t="shared" si="4"/>
        <v>39479</v>
      </c>
      <c r="O17" s="5">
        <f t="shared" si="4"/>
        <v>177</v>
      </c>
      <c r="P17" s="5">
        <f t="shared" si="4"/>
        <v>4961</v>
      </c>
      <c r="Q17" s="5">
        <f t="shared" si="4"/>
        <v>0</v>
      </c>
      <c r="R17" s="5">
        <f t="shared" si="4"/>
        <v>-79341.307024354523</v>
      </c>
    </row>
    <row r="18" spans="2:18" x14ac:dyDescent="0.3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R20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11.44140625" defaultRowHeight="14.4" x14ac:dyDescent="0.3"/>
  <cols>
    <col min="2" max="2" width="13.44140625" customWidth="1"/>
    <col min="9" max="9" width="12.44140625" customWidth="1"/>
  </cols>
  <sheetData>
    <row r="1" spans="1:18" x14ac:dyDescent="0.3">
      <c r="C1" s="5"/>
    </row>
    <row r="2" spans="1:18" ht="93" x14ac:dyDescent="0.3">
      <c r="A2" s="24" t="s">
        <v>2</v>
      </c>
      <c r="B2" s="24" t="s">
        <v>1</v>
      </c>
      <c r="C2" s="24" t="s">
        <v>59</v>
      </c>
      <c r="D2" s="24" t="s">
        <v>194</v>
      </c>
      <c r="E2" s="24" t="s">
        <v>195</v>
      </c>
      <c r="F2" s="24" t="s">
        <v>292</v>
      </c>
      <c r="G2" s="24" t="s">
        <v>293</v>
      </c>
      <c r="H2" s="24" t="s">
        <v>196</v>
      </c>
      <c r="I2" s="13" t="s">
        <v>71</v>
      </c>
      <c r="J2" s="24" t="s">
        <v>61</v>
      </c>
      <c r="K2" s="24" t="s">
        <v>197</v>
      </c>
      <c r="L2" s="24" t="s">
        <v>198</v>
      </c>
      <c r="M2" s="24" t="s">
        <v>62</v>
      </c>
      <c r="N2" s="24" t="s">
        <v>199</v>
      </c>
      <c r="O2" s="24" t="s">
        <v>63</v>
      </c>
      <c r="P2" s="24" t="s">
        <v>64</v>
      </c>
      <c r="Q2" s="24" t="s">
        <v>200</v>
      </c>
      <c r="R2" s="24" t="s">
        <v>60</v>
      </c>
    </row>
    <row r="3" spans="1:18" x14ac:dyDescent="0.3">
      <c r="A3" s="107">
        <v>1</v>
      </c>
      <c r="B3" s="107">
        <v>2</v>
      </c>
      <c r="C3" s="107">
        <v>3</v>
      </c>
      <c r="D3" s="107">
        <f>+C3+1</f>
        <v>4</v>
      </c>
      <c r="E3" s="107">
        <f t="shared" ref="E3:R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3">
      <c r="I4" s="21"/>
    </row>
    <row r="5" spans="1:18" x14ac:dyDescent="0.3">
      <c r="A5" s="43">
        <v>300</v>
      </c>
      <c r="B5" s="44" t="s">
        <v>0</v>
      </c>
      <c r="C5" s="5">
        <f t="shared" ref="C5:C15" si="1">SUM(D5:I5)+R5</f>
        <v>2085177</v>
      </c>
      <c r="D5" s="5">
        <v>1862282</v>
      </c>
      <c r="E5" s="5">
        <v>0</v>
      </c>
      <c r="F5" s="5">
        <v>20496</v>
      </c>
      <c r="G5" s="5">
        <v>0</v>
      </c>
      <c r="H5" s="5">
        <v>121918</v>
      </c>
      <c r="I5" s="11">
        <f t="shared" ref="I5:I15" si="2">SUM(J5:Q5)</f>
        <v>80481</v>
      </c>
      <c r="J5" s="5"/>
      <c r="K5" s="5">
        <v>77089</v>
      </c>
      <c r="L5" s="5">
        <v>0</v>
      </c>
      <c r="M5" s="5">
        <v>0</v>
      </c>
      <c r="N5" s="5">
        <v>3392</v>
      </c>
      <c r="O5" s="5">
        <v>0</v>
      </c>
      <c r="P5" s="5">
        <v>0</v>
      </c>
      <c r="Q5" s="5"/>
      <c r="R5" s="5">
        <v>0</v>
      </c>
    </row>
    <row r="6" spans="1:18" x14ac:dyDescent="0.3">
      <c r="A6" s="43">
        <v>1100</v>
      </c>
      <c r="B6" s="44" t="s">
        <v>141</v>
      </c>
      <c r="C6" s="5">
        <f t="shared" si="1"/>
        <v>2436733</v>
      </c>
      <c r="D6" s="5">
        <v>2001940</v>
      </c>
      <c r="E6" s="5">
        <v>61301</v>
      </c>
      <c r="F6" s="5">
        <v>4391</v>
      </c>
      <c r="G6" s="5">
        <v>111</v>
      </c>
      <c r="H6" s="5">
        <v>199879</v>
      </c>
      <c r="I6" s="11">
        <f t="shared" si="2"/>
        <v>169111</v>
      </c>
      <c r="J6" s="5"/>
      <c r="K6" s="5">
        <v>95111</v>
      </c>
      <c r="L6" s="5">
        <v>43837</v>
      </c>
      <c r="M6" s="5">
        <v>11982</v>
      </c>
      <c r="N6" s="5">
        <v>12128</v>
      </c>
      <c r="O6" s="5">
        <v>0</v>
      </c>
      <c r="P6" s="5">
        <v>6053</v>
      </c>
      <c r="Q6" s="5"/>
      <c r="R6" s="5">
        <v>0</v>
      </c>
    </row>
    <row r="7" spans="1:18" x14ac:dyDescent="0.3">
      <c r="A7" s="43">
        <v>1500</v>
      </c>
      <c r="B7" s="44" t="s">
        <v>142</v>
      </c>
      <c r="C7" s="5">
        <f t="shared" si="1"/>
        <v>1442506</v>
      </c>
      <c r="D7" s="5">
        <v>1134608</v>
      </c>
      <c r="E7" s="5">
        <v>32964</v>
      </c>
      <c r="F7" s="5">
        <v>14767</v>
      </c>
      <c r="G7" s="5">
        <v>11983</v>
      </c>
      <c r="H7" s="5">
        <v>93057</v>
      </c>
      <c r="I7" s="11">
        <f t="shared" si="2"/>
        <v>155127</v>
      </c>
      <c r="J7" s="5"/>
      <c r="K7" s="5">
        <v>95885</v>
      </c>
      <c r="L7" s="5">
        <v>33509</v>
      </c>
      <c r="M7" s="5">
        <v>12997</v>
      </c>
      <c r="N7" s="5">
        <v>12734</v>
      </c>
      <c r="O7" s="5">
        <v>0</v>
      </c>
      <c r="P7" s="5">
        <v>2</v>
      </c>
      <c r="Q7" s="5"/>
      <c r="R7" s="5">
        <v>0</v>
      </c>
    </row>
    <row r="8" spans="1:18" x14ac:dyDescent="0.3">
      <c r="A8" s="43">
        <v>1800</v>
      </c>
      <c r="B8" s="44" t="s">
        <v>143</v>
      </c>
      <c r="C8" s="5">
        <f t="shared" si="1"/>
        <v>1736893</v>
      </c>
      <c r="D8" s="5">
        <v>1311379</v>
      </c>
      <c r="E8" s="5">
        <v>37949</v>
      </c>
      <c r="F8" s="5">
        <v>8429</v>
      </c>
      <c r="G8" s="5">
        <v>7411</v>
      </c>
      <c r="H8" s="5">
        <v>153243</v>
      </c>
      <c r="I8" s="11">
        <f t="shared" si="2"/>
        <v>218482</v>
      </c>
      <c r="J8" s="5"/>
      <c r="K8" s="5">
        <v>129785</v>
      </c>
      <c r="L8" s="5">
        <v>39701</v>
      </c>
      <c r="M8" s="5">
        <v>19634</v>
      </c>
      <c r="N8" s="5">
        <v>29318</v>
      </c>
      <c r="O8" s="5">
        <v>44</v>
      </c>
      <c r="P8" s="5">
        <v>0</v>
      </c>
      <c r="Q8" s="5"/>
      <c r="R8" s="5">
        <v>0</v>
      </c>
    </row>
    <row r="9" spans="1:18" x14ac:dyDescent="0.3">
      <c r="A9" s="43">
        <v>3000</v>
      </c>
      <c r="B9" s="44" t="s">
        <v>392</v>
      </c>
      <c r="C9" s="5">
        <f t="shared" si="1"/>
        <v>6046364</v>
      </c>
      <c r="D9" s="5">
        <v>4992248</v>
      </c>
      <c r="E9" s="5">
        <v>111084</v>
      </c>
      <c r="F9" s="5">
        <v>35056</v>
      </c>
      <c r="G9" s="5">
        <v>0</v>
      </c>
      <c r="H9" s="5">
        <v>322976</v>
      </c>
      <c r="I9" s="11">
        <f t="shared" si="2"/>
        <v>585000</v>
      </c>
      <c r="J9" s="5"/>
      <c r="K9" s="5">
        <v>400744</v>
      </c>
      <c r="L9" s="5">
        <v>102739</v>
      </c>
      <c r="M9" s="5">
        <v>23097</v>
      </c>
      <c r="N9" s="5">
        <v>56162</v>
      </c>
      <c r="O9" s="5">
        <v>0</v>
      </c>
      <c r="P9" s="5">
        <v>2258</v>
      </c>
      <c r="Q9" s="5"/>
      <c r="R9" s="5">
        <v>0</v>
      </c>
    </row>
    <row r="10" spans="1:18" x14ac:dyDescent="0.3">
      <c r="A10" s="43">
        <v>3400</v>
      </c>
      <c r="B10" s="44" t="s">
        <v>393</v>
      </c>
      <c r="C10" s="5">
        <f t="shared" si="1"/>
        <v>2188462</v>
      </c>
      <c r="D10" s="5">
        <v>1677480</v>
      </c>
      <c r="E10" s="5">
        <v>80666</v>
      </c>
      <c r="F10" s="5">
        <v>30256</v>
      </c>
      <c r="G10" s="5">
        <v>6848</v>
      </c>
      <c r="H10" s="5">
        <v>137380</v>
      </c>
      <c r="I10" s="11">
        <f t="shared" si="2"/>
        <v>255832</v>
      </c>
      <c r="J10" s="5"/>
      <c r="K10" s="5">
        <v>165682</v>
      </c>
      <c r="L10" s="5">
        <v>42692</v>
      </c>
      <c r="M10" s="5">
        <v>19835</v>
      </c>
      <c r="N10" s="5">
        <v>27623</v>
      </c>
      <c r="O10" s="5">
        <v>0</v>
      </c>
      <c r="P10" s="5">
        <v>0</v>
      </c>
      <c r="Q10" s="5"/>
      <c r="R10" s="5">
        <v>0</v>
      </c>
    </row>
    <row r="11" spans="1:18" x14ac:dyDescent="0.3">
      <c r="A11" s="43">
        <v>3800</v>
      </c>
      <c r="B11" s="44" t="s">
        <v>394</v>
      </c>
      <c r="C11" s="5">
        <f t="shared" si="1"/>
        <v>2318622</v>
      </c>
      <c r="D11" s="5">
        <v>1752635</v>
      </c>
      <c r="E11" s="5">
        <v>120291</v>
      </c>
      <c r="F11" s="5">
        <v>21527</v>
      </c>
      <c r="G11" s="5">
        <v>0</v>
      </c>
      <c r="H11" s="5">
        <v>140752</v>
      </c>
      <c r="I11" s="11">
        <f t="shared" si="2"/>
        <v>283417</v>
      </c>
      <c r="J11" s="5"/>
      <c r="K11" s="5">
        <v>176403</v>
      </c>
      <c r="L11" s="5">
        <v>61633</v>
      </c>
      <c r="M11" s="5">
        <v>19799</v>
      </c>
      <c r="N11" s="5">
        <v>23860</v>
      </c>
      <c r="O11" s="5">
        <v>1386</v>
      </c>
      <c r="P11" s="5">
        <v>336</v>
      </c>
      <c r="Q11" s="5"/>
      <c r="R11" s="5">
        <v>0</v>
      </c>
    </row>
    <row r="12" spans="1:18" x14ac:dyDescent="0.3">
      <c r="A12" s="43">
        <v>4200</v>
      </c>
      <c r="B12" s="44" t="s">
        <v>395</v>
      </c>
      <c r="C12" s="5">
        <f t="shared" si="1"/>
        <v>1770617</v>
      </c>
      <c r="D12" s="5">
        <v>1409499</v>
      </c>
      <c r="E12" s="5">
        <v>42848</v>
      </c>
      <c r="F12" s="5">
        <v>1490</v>
      </c>
      <c r="G12" s="5">
        <v>523</v>
      </c>
      <c r="H12" s="5">
        <v>104409</v>
      </c>
      <c r="I12" s="11">
        <f t="shared" si="2"/>
        <v>211621</v>
      </c>
      <c r="J12" s="5"/>
      <c r="K12" s="5">
        <v>137974</v>
      </c>
      <c r="L12" s="5">
        <v>59499</v>
      </c>
      <c r="M12" s="5">
        <v>933</v>
      </c>
      <c r="N12" s="5">
        <v>13171</v>
      </c>
      <c r="O12" s="5">
        <v>0</v>
      </c>
      <c r="P12" s="5">
        <v>44</v>
      </c>
      <c r="Q12" s="5"/>
      <c r="R12" s="5">
        <v>227</v>
      </c>
    </row>
    <row r="13" spans="1:18" x14ac:dyDescent="0.3">
      <c r="A13" s="43">
        <v>4600</v>
      </c>
      <c r="B13" s="44" t="s">
        <v>396</v>
      </c>
      <c r="C13" s="5">
        <f t="shared" si="1"/>
        <v>3205400</v>
      </c>
      <c r="D13" s="5">
        <v>2462323</v>
      </c>
      <c r="E13" s="5">
        <v>47796</v>
      </c>
      <c r="F13" s="5">
        <v>65747</v>
      </c>
      <c r="G13" s="5">
        <v>0</v>
      </c>
      <c r="H13" s="5">
        <v>241380</v>
      </c>
      <c r="I13" s="11">
        <f t="shared" si="2"/>
        <v>388154</v>
      </c>
      <c r="J13" s="5"/>
      <c r="K13" s="5">
        <v>265403</v>
      </c>
      <c r="L13" s="5">
        <v>41286</v>
      </c>
      <c r="M13" s="5">
        <v>46310</v>
      </c>
      <c r="N13" s="5">
        <v>34282</v>
      </c>
      <c r="O13" s="5">
        <v>0</v>
      </c>
      <c r="P13" s="5">
        <v>873</v>
      </c>
      <c r="Q13" s="5"/>
      <c r="R13" s="5">
        <v>0</v>
      </c>
    </row>
    <row r="14" spans="1:18" x14ac:dyDescent="0.3">
      <c r="A14" s="43">
        <v>5000</v>
      </c>
      <c r="B14" s="44" t="s">
        <v>390</v>
      </c>
      <c r="C14" s="5">
        <f t="shared" si="1"/>
        <v>2497757</v>
      </c>
      <c r="D14" s="5">
        <v>1959277</v>
      </c>
      <c r="E14" s="5">
        <v>54039</v>
      </c>
      <c r="F14" s="5">
        <v>14946</v>
      </c>
      <c r="G14" s="5">
        <v>3264</v>
      </c>
      <c r="H14" s="5">
        <v>215414</v>
      </c>
      <c r="I14" s="11">
        <f t="shared" si="2"/>
        <v>250817</v>
      </c>
      <c r="J14" s="5"/>
      <c r="K14" s="5">
        <v>144177</v>
      </c>
      <c r="L14" s="5">
        <v>50326</v>
      </c>
      <c r="M14" s="5">
        <v>19718</v>
      </c>
      <c r="N14" s="5">
        <v>36596</v>
      </c>
      <c r="O14" s="5">
        <v>0</v>
      </c>
      <c r="P14" s="5">
        <v>0</v>
      </c>
      <c r="Q14" s="5"/>
      <c r="R14" s="5">
        <v>0</v>
      </c>
    </row>
    <row r="15" spans="1:18" x14ac:dyDescent="0.3">
      <c r="A15" s="43">
        <v>5400</v>
      </c>
      <c r="B15" s="44" t="s">
        <v>397</v>
      </c>
      <c r="C15" s="5">
        <f t="shared" si="1"/>
        <v>1887081</v>
      </c>
      <c r="D15" s="5">
        <v>1290787</v>
      </c>
      <c r="E15" s="5">
        <v>46378</v>
      </c>
      <c r="F15" s="5">
        <v>30785</v>
      </c>
      <c r="G15" s="5">
        <v>1981</v>
      </c>
      <c r="H15" s="5">
        <v>204342</v>
      </c>
      <c r="I15" s="11">
        <f t="shared" si="2"/>
        <v>312808</v>
      </c>
      <c r="J15" s="5"/>
      <c r="K15" s="5">
        <v>177897</v>
      </c>
      <c r="L15" s="5">
        <v>42476</v>
      </c>
      <c r="M15" s="5">
        <v>18079</v>
      </c>
      <c r="N15" s="5">
        <v>39129</v>
      </c>
      <c r="O15" s="5">
        <v>0</v>
      </c>
      <c r="P15" s="5">
        <v>35227</v>
      </c>
      <c r="Q15" s="5"/>
      <c r="R15" s="5">
        <v>0</v>
      </c>
    </row>
    <row r="16" spans="1:18" x14ac:dyDescent="0.3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4" t="s">
        <v>3</v>
      </c>
      <c r="C17" s="5">
        <f t="shared" ref="C17:R17" si="3">SUM(C5:C16)</f>
        <v>27615612</v>
      </c>
      <c r="D17" s="5">
        <f t="shared" si="3"/>
        <v>21854458</v>
      </c>
      <c r="E17" s="5">
        <f t="shared" si="3"/>
        <v>635316</v>
      </c>
      <c r="F17" s="5">
        <f t="shared" si="3"/>
        <v>247890</v>
      </c>
      <c r="G17" s="5">
        <f t="shared" si="3"/>
        <v>32121</v>
      </c>
      <c r="H17" s="5">
        <f t="shared" si="3"/>
        <v>1934750</v>
      </c>
      <c r="I17" s="17">
        <f t="shared" si="3"/>
        <v>2910850</v>
      </c>
      <c r="J17" s="5">
        <f t="shared" si="3"/>
        <v>0</v>
      </c>
      <c r="K17" s="5">
        <f t="shared" si="3"/>
        <v>1866150</v>
      </c>
      <c r="L17" s="5">
        <f t="shared" si="3"/>
        <v>517698</v>
      </c>
      <c r="M17" s="5">
        <f t="shared" si="3"/>
        <v>192384</v>
      </c>
      <c r="N17" s="5">
        <f t="shared" si="3"/>
        <v>288395</v>
      </c>
      <c r="O17" s="5">
        <f t="shared" si="3"/>
        <v>1430</v>
      </c>
      <c r="P17" s="5">
        <f t="shared" si="3"/>
        <v>44793</v>
      </c>
      <c r="Q17" s="5">
        <f t="shared" si="3"/>
        <v>0</v>
      </c>
      <c r="R17" s="5">
        <f t="shared" si="3"/>
        <v>227</v>
      </c>
    </row>
    <row r="18" spans="2:18" x14ac:dyDescent="0.3">
      <c r="B18" s="45"/>
      <c r="C18" s="5">
        <f>+C17*1000/'2021 Nto driftsutg'!$V$17</f>
        <v>5112.2744627972952</v>
      </c>
      <c r="D18" s="5">
        <f>+D17*1000/'2021 Nto driftsutg'!$V$17</f>
        <v>4045.7545366612208</v>
      </c>
      <c r="E18" s="5">
        <f>+E17*1000/'2021 Nto driftsutg'!$V$17</f>
        <v>117.61136282645217</v>
      </c>
      <c r="F18" s="5">
        <f>+F17*1000/'2021 Nto driftsutg'!$V$17</f>
        <v>45.890046419497118</v>
      </c>
      <c r="G18" s="5">
        <f>+G17*1000/'2021 Nto driftsutg'!$V$17</f>
        <v>5.9463236961582426</v>
      </c>
      <c r="H18" s="5">
        <f>+H17*1000/'2021 Nto driftsutg'!$V$17</f>
        <v>358.16599019775725</v>
      </c>
      <c r="I18" s="5">
        <f>+I17*1000/'2021 Nto driftsutg'!$V$17</f>
        <v>538.86418016133439</v>
      </c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>
        <f>SUM(D18:H18)</f>
        <v>4573.3682598010855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S20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ColWidth="11.44140625" defaultRowHeight="14.4" x14ac:dyDescent="0.3"/>
  <cols>
    <col min="2" max="2" width="13.44140625" customWidth="1"/>
  </cols>
  <sheetData>
    <row r="1" spans="1:18" x14ac:dyDescent="0.3">
      <c r="C1" s="5"/>
    </row>
    <row r="2" spans="1:18" ht="93" x14ac:dyDescent="0.3">
      <c r="A2" s="24" t="s">
        <v>2</v>
      </c>
      <c r="B2" s="24" t="s">
        <v>1</v>
      </c>
      <c r="C2" s="24" t="s">
        <v>92</v>
      </c>
      <c r="D2" s="24" t="s">
        <v>208</v>
      </c>
      <c r="E2" s="24" t="s">
        <v>209</v>
      </c>
      <c r="F2" s="24" t="s">
        <v>296</v>
      </c>
      <c r="G2" s="24" t="s">
        <v>297</v>
      </c>
      <c r="H2" s="24" t="s">
        <v>210</v>
      </c>
      <c r="I2" s="13" t="s">
        <v>93</v>
      </c>
      <c r="J2" s="24" t="s">
        <v>94</v>
      </c>
      <c r="K2" s="24" t="s">
        <v>211</v>
      </c>
      <c r="L2" s="24" t="s">
        <v>212</v>
      </c>
      <c r="M2" s="24" t="s">
        <v>95</v>
      </c>
      <c r="N2" s="24" t="s">
        <v>213</v>
      </c>
      <c r="O2" s="24" t="s">
        <v>96</v>
      </c>
      <c r="P2" s="24" t="s">
        <v>97</v>
      </c>
      <c r="Q2" s="24" t="s">
        <v>214</v>
      </c>
      <c r="R2" s="24" t="s">
        <v>106</v>
      </c>
    </row>
    <row r="3" spans="1:18" x14ac:dyDescent="0.3">
      <c r="A3" s="107">
        <v>1</v>
      </c>
      <c r="B3" s="107">
        <v>2</v>
      </c>
      <c r="C3" s="107">
        <v>3</v>
      </c>
      <c r="D3" s="107">
        <f>+C3+1</f>
        <v>4</v>
      </c>
      <c r="E3" s="107">
        <f t="shared" ref="E3:R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3">
      <c r="I4" s="21"/>
    </row>
    <row r="5" spans="1:18" x14ac:dyDescent="0.3">
      <c r="A5" s="43">
        <v>300</v>
      </c>
      <c r="B5" s="44" t="s">
        <v>0</v>
      </c>
      <c r="C5" s="5">
        <f>SUM(D5:I5)+R5</f>
        <v>1284.2409620244871</v>
      </c>
      <c r="D5" s="5">
        <v>231463</v>
      </c>
      <c r="E5" s="5">
        <v>0</v>
      </c>
      <c r="F5" s="5">
        <v>4914</v>
      </c>
      <c r="G5" s="5">
        <v>0</v>
      </c>
      <c r="H5" s="5">
        <v>40593</v>
      </c>
      <c r="I5" s="11">
        <f t="shared" ref="I5:I15" si="1">SUM(J5:Q5)</f>
        <v>9515</v>
      </c>
      <c r="J5" s="5"/>
      <c r="K5" s="5">
        <v>8437</v>
      </c>
      <c r="L5" s="5">
        <v>0</v>
      </c>
      <c r="M5" s="5">
        <v>0</v>
      </c>
      <c r="N5" s="5">
        <v>1078</v>
      </c>
      <c r="O5" s="5">
        <v>0</v>
      </c>
      <c r="P5" s="5">
        <v>0</v>
      </c>
      <c r="Q5" s="5"/>
      <c r="R5" s="113">
        <v>-285200.75903797551</v>
      </c>
    </row>
    <row r="6" spans="1:18" x14ac:dyDescent="0.3">
      <c r="A6" s="43">
        <v>1100</v>
      </c>
      <c r="B6" s="44" t="s">
        <v>141</v>
      </c>
      <c r="C6" s="5">
        <f t="shared" ref="C6:C15" si="2">SUM(D6:I6)+R6</f>
        <v>267751</v>
      </c>
      <c r="D6" s="5">
        <v>235931</v>
      </c>
      <c r="E6" s="5">
        <v>11446</v>
      </c>
      <c r="F6" s="5">
        <v>986</v>
      </c>
      <c r="G6" s="5">
        <v>22</v>
      </c>
      <c r="H6" s="5">
        <v>41910</v>
      </c>
      <c r="I6" s="11">
        <f t="shared" si="1"/>
        <v>32327</v>
      </c>
      <c r="J6" s="5"/>
      <c r="K6" s="5">
        <v>17437</v>
      </c>
      <c r="L6" s="5">
        <v>8854</v>
      </c>
      <c r="M6" s="5">
        <v>2503</v>
      </c>
      <c r="N6" s="5">
        <v>2331</v>
      </c>
      <c r="O6" s="5">
        <v>0</v>
      </c>
      <c r="P6" s="5">
        <v>1202</v>
      </c>
      <c r="Q6" s="5"/>
      <c r="R6" s="5">
        <v>-54871</v>
      </c>
    </row>
    <row r="7" spans="1:18" x14ac:dyDescent="0.3">
      <c r="A7" s="43">
        <v>1500</v>
      </c>
      <c r="B7" s="44" t="s">
        <v>142</v>
      </c>
      <c r="C7" s="5">
        <f t="shared" si="2"/>
        <v>158409</v>
      </c>
      <c r="D7" s="5">
        <v>132663</v>
      </c>
      <c r="E7" s="5">
        <v>19017</v>
      </c>
      <c r="F7" s="5">
        <v>3434</v>
      </c>
      <c r="G7" s="5">
        <v>1862</v>
      </c>
      <c r="H7" s="5">
        <v>23280</v>
      </c>
      <c r="I7" s="11">
        <f t="shared" si="1"/>
        <v>37757</v>
      </c>
      <c r="J7" s="5"/>
      <c r="K7" s="5">
        <v>24902</v>
      </c>
      <c r="L7" s="5">
        <v>7235</v>
      </c>
      <c r="M7" s="5">
        <v>2773</v>
      </c>
      <c r="N7" s="5">
        <v>2847</v>
      </c>
      <c r="O7" s="5">
        <v>0</v>
      </c>
      <c r="P7" s="5">
        <v>0</v>
      </c>
      <c r="Q7" s="5"/>
      <c r="R7" s="5">
        <v>-59604</v>
      </c>
    </row>
    <row r="8" spans="1:18" x14ac:dyDescent="0.3">
      <c r="A8" s="43">
        <v>1800</v>
      </c>
      <c r="B8" s="44" t="s">
        <v>143</v>
      </c>
      <c r="C8" s="5">
        <f t="shared" si="2"/>
        <v>228193</v>
      </c>
      <c r="D8" s="5">
        <v>169520</v>
      </c>
      <c r="E8" s="5">
        <v>15800</v>
      </c>
      <c r="F8" s="5">
        <v>2155</v>
      </c>
      <c r="G8" s="5">
        <v>1865</v>
      </c>
      <c r="H8" s="5">
        <v>39945</v>
      </c>
      <c r="I8" s="11">
        <f t="shared" si="1"/>
        <v>53249</v>
      </c>
      <c r="J8" s="5"/>
      <c r="K8" s="5">
        <v>31440</v>
      </c>
      <c r="L8" s="5">
        <v>9890</v>
      </c>
      <c r="M8" s="5">
        <v>4826</v>
      </c>
      <c r="N8" s="5">
        <v>7093</v>
      </c>
      <c r="O8" s="5">
        <v>0</v>
      </c>
      <c r="P8" s="5">
        <v>0</v>
      </c>
      <c r="Q8" s="5"/>
      <c r="R8" s="5">
        <v>-54341</v>
      </c>
    </row>
    <row r="9" spans="1:18" x14ac:dyDescent="0.3">
      <c r="A9" s="43">
        <v>3000</v>
      </c>
      <c r="B9" s="44" t="s">
        <v>392</v>
      </c>
      <c r="C9" s="5">
        <f t="shared" si="2"/>
        <v>770110</v>
      </c>
      <c r="D9" s="5">
        <v>530347</v>
      </c>
      <c r="E9" s="5">
        <v>30653</v>
      </c>
      <c r="F9" s="5">
        <v>6932</v>
      </c>
      <c r="G9" s="5">
        <v>0</v>
      </c>
      <c r="H9" s="5">
        <v>46677</v>
      </c>
      <c r="I9" s="11">
        <f t="shared" si="1"/>
        <v>310008</v>
      </c>
      <c r="J9" s="5"/>
      <c r="K9" s="5">
        <v>284740</v>
      </c>
      <c r="L9" s="5">
        <v>13969</v>
      </c>
      <c r="M9" s="5">
        <v>3319</v>
      </c>
      <c r="N9" s="5">
        <v>7696</v>
      </c>
      <c r="O9" s="5">
        <v>0</v>
      </c>
      <c r="P9" s="5">
        <v>284</v>
      </c>
      <c r="Q9" s="5"/>
      <c r="R9" s="5">
        <v>-154507</v>
      </c>
    </row>
    <row r="10" spans="1:18" x14ac:dyDescent="0.3">
      <c r="A10" s="43">
        <v>3400</v>
      </c>
      <c r="B10" s="44" t="s">
        <v>393</v>
      </c>
      <c r="C10" s="5">
        <f t="shared" si="2"/>
        <v>300151</v>
      </c>
      <c r="D10" s="5">
        <v>205644</v>
      </c>
      <c r="E10" s="5">
        <v>23710</v>
      </c>
      <c r="F10" s="5">
        <v>8247</v>
      </c>
      <c r="G10" s="5">
        <v>680</v>
      </c>
      <c r="H10" s="5">
        <v>35876</v>
      </c>
      <c r="I10" s="11">
        <f t="shared" si="1"/>
        <v>61069</v>
      </c>
      <c r="J10" s="5"/>
      <c r="K10" s="5">
        <v>39549</v>
      </c>
      <c r="L10" s="5">
        <v>13198</v>
      </c>
      <c r="M10" s="5">
        <v>5304</v>
      </c>
      <c r="N10" s="5">
        <v>3018</v>
      </c>
      <c r="O10" s="5">
        <v>0</v>
      </c>
      <c r="P10" s="5">
        <v>0</v>
      </c>
      <c r="Q10" s="5"/>
      <c r="R10" s="5">
        <v>-35075</v>
      </c>
    </row>
    <row r="11" spans="1:18" x14ac:dyDescent="0.3">
      <c r="A11" s="43">
        <v>3800</v>
      </c>
      <c r="B11" s="44" t="s">
        <v>394</v>
      </c>
      <c r="C11" s="5">
        <f t="shared" si="2"/>
        <v>293845</v>
      </c>
      <c r="D11" s="5">
        <v>213469</v>
      </c>
      <c r="E11" s="5">
        <v>26423</v>
      </c>
      <c r="F11" s="5">
        <v>5139</v>
      </c>
      <c r="G11" s="5">
        <v>0</v>
      </c>
      <c r="H11" s="5">
        <v>36226</v>
      </c>
      <c r="I11" s="11">
        <f t="shared" si="1"/>
        <v>62916</v>
      </c>
      <c r="J11" s="5"/>
      <c r="K11" s="5">
        <v>38924</v>
      </c>
      <c r="L11" s="5">
        <v>13690</v>
      </c>
      <c r="M11" s="5">
        <v>4073</v>
      </c>
      <c r="N11" s="5">
        <v>5935</v>
      </c>
      <c r="O11" s="5">
        <v>237</v>
      </c>
      <c r="P11" s="5">
        <v>57</v>
      </c>
      <c r="Q11" s="5"/>
      <c r="R11" s="5">
        <v>-50328</v>
      </c>
    </row>
    <row r="12" spans="1:18" x14ac:dyDescent="0.3">
      <c r="A12" s="43">
        <v>4200</v>
      </c>
      <c r="B12" s="44" t="s">
        <v>395</v>
      </c>
      <c r="C12" s="5">
        <f t="shared" si="2"/>
        <v>188354</v>
      </c>
      <c r="D12" s="5">
        <v>158831</v>
      </c>
      <c r="E12" s="5">
        <v>13791</v>
      </c>
      <c r="F12" s="5">
        <v>307</v>
      </c>
      <c r="G12" s="5">
        <v>107</v>
      </c>
      <c r="H12" s="5">
        <v>23486</v>
      </c>
      <c r="I12" s="11">
        <f t="shared" si="1"/>
        <v>64795</v>
      </c>
      <c r="J12" s="5"/>
      <c r="K12" s="5">
        <v>49362</v>
      </c>
      <c r="L12" s="5">
        <v>12541</v>
      </c>
      <c r="M12" s="5">
        <v>202</v>
      </c>
      <c r="N12" s="5">
        <v>2690</v>
      </c>
      <c r="O12" s="5">
        <v>0</v>
      </c>
      <c r="P12" s="5">
        <v>0</v>
      </c>
      <c r="Q12" s="5"/>
      <c r="R12" s="5">
        <v>-72963</v>
      </c>
    </row>
    <row r="13" spans="1:18" x14ac:dyDescent="0.3">
      <c r="A13" s="43">
        <v>4600</v>
      </c>
      <c r="B13" s="44" t="s">
        <v>396</v>
      </c>
      <c r="C13" s="5">
        <f t="shared" si="2"/>
        <v>366570</v>
      </c>
      <c r="D13" s="5">
        <v>244143</v>
      </c>
      <c r="E13" s="5">
        <v>17875</v>
      </c>
      <c r="F13" s="5">
        <v>6296</v>
      </c>
      <c r="G13" s="5">
        <v>0</v>
      </c>
      <c r="H13" s="5">
        <v>25772</v>
      </c>
      <c r="I13" s="11">
        <f t="shared" si="1"/>
        <v>24296</v>
      </c>
      <c r="J13" s="5"/>
      <c r="K13" s="5">
        <v>12652</v>
      </c>
      <c r="L13" s="5">
        <v>3792</v>
      </c>
      <c r="M13" s="5">
        <v>4419</v>
      </c>
      <c r="N13" s="5">
        <v>3344</v>
      </c>
      <c r="O13" s="5">
        <v>0</v>
      </c>
      <c r="P13" s="5">
        <v>89</v>
      </c>
      <c r="Q13" s="5"/>
      <c r="R13" s="5">
        <v>48188</v>
      </c>
    </row>
    <row r="14" spans="1:18" x14ac:dyDescent="0.3">
      <c r="A14" s="43">
        <v>5000</v>
      </c>
      <c r="B14" s="44" t="s">
        <v>390</v>
      </c>
      <c r="C14" s="5">
        <f t="shared" si="2"/>
        <v>339293</v>
      </c>
      <c r="D14" s="5">
        <v>231143</v>
      </c>
      <c r="E14" s="5">
        <v>24046</v>
      </c>
      <c r="F14" s="5">
        <v>3305</v>
      </c>
      <c r="G14" s="5">
        <v>497</v>
      </c>
      <c r="H14" s="5">
        <v>45115</v>
      </c>
      <c r="I14" s="11">
        <f t="shared" si="1"/>
        <v>105621</v>
      </c>
      <c r="J14" s="5"/>
      <c r="K14" s="5">
        <v>83990</v>
      </c>
      <c r="L14" s="5">
        <v>11030</v>
      </c>
      <c r="M14" s="5">
        <v>3564</v>
      </c>
      <c r="N14" s="5">
        <v>7037</v>
      </c>
      <c r="O14" s="5">
        <v>0</v>
      </c>
      <c r="P14" s="5">
        <v>0</v>
      </c>
      <c r="Q14" s="5"/>
      <c r="R14" s="5">
        <v>-70434</v>
      </c>
    </row>
    <row r="15" spans="1:18" x14ac:dyDescent="0.3">
      <c r="A15" s="43">
        <v>5400</v>
      </c>
      <c r="B15" s="44" t="s">
        <v>397</v>
      </c>
      <c r="C15" s="5">
        <f t="shared" si="2"/>
        <v>240407</v>
      </c>
      <c r="D15" s="5">
        <v>153050</v>
      </c>
      <c r="E15" s="5">
        <v>12629</v>
      </c>
      <c r="F15" s="5">
        <v>9744</v>
      </c>
      <c r="G15" s="5">
        <v>358</v>
      </c>
      <c r="H15" s="5">
        <v>47668</v>
      </c>
      <c r="I15" s="11">
        <f t="shared" si="1"/>
        <v>85140</v>
      </c>
      <c r="J15" s="5"/>
      <c r="K15" s="5">
        <v>55443</v>
      </c>
      <c r="L15" s="5">
        <v>8753</v>
      </c>
      <c r="M15" s="5">
        <v>4025</v>
      </c>
      <c r="N15" s="5">
        <v>8850</v>
      </c>
      <c r="O15" s="5">
        <v>0</v>
      </c>
      <c r="P15" s="5">
        <v>8069</v>
      </c>
      <c r="Q15" s="5"/>
      <c r="R15" s="5">
        <v>-68182</v>
      </c>
    </row>
    <row r="16" spans="1:18" x14ac:dyDescent="0.3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</row>
    <row r="17" spans="2:19" x14ac:dyDescent="0.3">
      <c r="B17" s="44" t="s">
        <v>3</v>
      </c>
      <c r="C17" s="5">
        <f t="shared" ref="C17:R17" si="3">SUM(C5:C16)</f>
        <v>3154367.2409620248</v>
      </c>
      <c r="D17" s="5">
        <f t="shared" si="3"/>
        <v>2506204</v>
      </c>
      <c r="E17" s="5">
        <f t="shared" si="3"/>
        <v>195390</v>
      </c>
      <c r="F17" s="5">
        <f t="shared" si="3"/>
        <v>51459</v>
      </c>
      <c r="G17" s="5">
        <f t="shared" si="3"/>
        <v>5391</v>
      </c>
      <c r="H17" s="5">
        <f t="shared" si="3"/>
        <v>406548</v>
      </c>
      <c r="I17" s="17">
        <f t="shared" si="3"/>
        <v>846693</v>
      </c>
      <c r="J17" s="5">
        <f t="shared" si="3"/>
        <v>0</v>
      </c>
      <c r="K17" s="5">
        <f t="shared" si="3"/>
        <v>646876</v>
      </c>
      <c r="L17" s="5">
        <f t="shared" si="3"/>
        <v>102952</v>
      </c>
      <c r="M17" s="5">
        <f t="shared" si="3"/>
        <v>35008</v>
      </c>
      <c r="N17" s="5">
        <f t="shared" si="3"/>
        <v>51919</v>
      </c>
      <c r="O17" s="5">
        <f t="shared" si="3"/>
        <v>237</v>
      </c>
      <c r="P17" s="5">
        <f t="shared" si="3"/>
        <v>9701</v>
      </c>
      <c r="Q17" s="5">
        <f t="shared" si="3"/>
        <v>0</v>
      </c>
      <c r="R17" s="5">
        <f t="shared" si="3"/>
        <v>-857317.75903797545</v>
      </c>
      <c r="S17" s="60"/>
    </row>
    <row r="18" spans="2:19" x14ac:dyDescent="0.3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9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9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AE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6.109375" customWidth="1"/>
    <col min="2" max="2" width="17.88671875" bestFit="1" customWidth="1"/>
    <col min="3" max="3" width="12" customWidth="1"/>
    <col min="4" max="9" width="17.88671875" customWidth="1"/>
    <col min="10" max="10" width="14.44140625" customWidth="1"/>
    <col min="11" max="11" width="14.109375" customWidth="1"/>
    <col min="12" max="12" width="15.44140625" customWidth="1"/>
    <col min="13" max="13" width="14.44140625" customWidth="1"/>
    <col min="14" max="14" width="12.44140625" customWidth="1"/>
    <col min="15" max="15" width="15.44140625" customWidth="1"/>
    <col min="16" max="16" width="14.44140625" customWidth="1"/>
    <col min="17" max="17" width="13.44140625" customWidth="1"/>
    <col min="18" max="21" width="15.44140625" customWidth="1"/>
    <col min="22" max="22" width="14.44140625" customWidth="1"/>
    <col min="23" max="23" width="13.44140625" customWidth="1"/>
    <col min="24" max="24" width="15.44140625" customWidth="1"/>
    <col min="26" max="30" width="13.5546875" customWidth="1"/>
  </cols>
  <sheetData>
    <row r="2" spans="1:30" ht="40.200000000000003" x14ac:dyDescent="0.3">
      <c r="A2" s="24" t="s">
        <v>2</v>
      </c>
      <c r="B2" s="24" t="s">
        <v>1</v>
      </c>
      <c r="C2" s="24" t="s">
        <v>401</v>
      </c>
      <c r="D2" s="24" t="s">
        <v>215</v>
      </c>
      <c r="E2" s="24" t="s">
        <v>216</v>
      </c>
      <c r="F2" s="24" t="s">
        <v>300</v>
      </c>
      <c r="G2" s="24" t="s">
        <v>301</v>
      </c>
      <c r="H2" s="24" t="s">
        <v>217</v>
      </c>
      <c r="I2" s="24" t="s">
        <v>132</v>
      </c>
      <c r="J2" s="24" t="s">
        <v>218</v>
      </c>
      <c r="K2" s="24" t="s">
        <v>219</v>
      </c>
      <c r="L2" s="24" t="s">
        <v>220</v>
      </c>
      <c r="M2" s="24" t="s">
        <v>221</v>
      </c>
      <c r="N2" s="24" t="s">
        <v>222</v>
      </c>
      <c r="O2" s="24" t="s">
        <v>223</v>
      </c>
      <c r="P2" s="24" t="s">
        <v>302</v>
      </c>
      <c r="Q2" s="24" t="s">
        <v>303</v>
      </c>
      <c r="R2" s="24" t="s">
        <v>304</v>
      </c>
      <c r="S2" s="24" t="s">
        <v>318</v>
      </c>
      <c r="T2" s="24" t="s">
        <v>319</v>
      </c>
      <c r="U2" s="24" t="s">
        <v>320</v>
      </c>
      <c r="V2" s="24" t="s">
        <v>224</v>
      </c>
      <c r="W2" s="24" t="s">
        <v>225</v>
      </c>
      <c r="X2" s="24" t="s">
        <v>226</v>
      </c>
      <c r="Y2" s="24"/>
      <c r="Z2" s="24" t="s">
        <v>227</v>
      </c>
      <c r="AA2" s="24" t="s">
        <v>228</v>
      </c>
      <c r="AB2" s="24" t="s">
        <v>305</v>
      </c>
      <c r="AC2" s="24" t="s">
        <v>306</v>
      </c>
      <c r="AD2" s="24" t="s">
        <v>229</v>
      </c>
    </row>
    <row r="3" spans="1:30" x14ac:dyDescent="0.3">
      <c r="A3" s="107">
        <v>1</v>
      </c>
      <c r="B3" s="107">
        <f>+A3+1</f>
        <v>2</v>
      </c>
      <c r="C3" s="107">
        <f t="shared" ref="C3:AD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</row>
    <row r="5" spans="1:30" x14ac:dyDescent="0.3">
      <c r="A5" s="43">
        <v>300</v>
      </c>
      <c r="B5" s="44" t="s">
        <v>0</v>
      </c>
      <c r="C5" s="44">
        <f>+'2021 Nto driftsutg'!W5</f>
        <v>696108</v>
      </c>
      <c r="D5" s="3">
        <f>+'2021 Grunnlag korreksjoner'!D5</f>
        <v>0.69992741783000001</v>
      </c>
      <c r="E5" s="3">
        <f>+'2021 Grunnlag korreksjoner'!E5</f>
        <v>0.27329987798200006</v>
      </c>
      <c r="F5" s="3">
        <f>+'2021 Grunnlag korreksjoner'!F5</f>
        <v>1.7366784255119998</v>
      </c>
      <c r="G5" s="3">
        <f>+'2021 Grunnlag korreksjoner'!G5</f>
        <v>1.3162570200000001E-3</v>
      </c>
      <c r="H5" s="3">
        <f>+'2021 Grunnlag korreksjoner'!H5</f>
        <v>0.8621454616980001</v>
      </c>
      <c r="I5" s="2">
        <v>0.74498489999999995</v>
      </c>
      <c r="J5" s="5">
        <f>(D5-1)*'2021 Nto driftsutg landet'!$C$5*C5</f>
        <v>-1284588622.8154912</v>
      </c>
      <c r="K5" s="5">
        <f>+J5-$J$17*C5/$C$17</f>
        <v>-1284588622.4099431</v>
      </c>
      <c r="L5" s="5">
        <f t="shared" ref="L5:L15" si="1">+K5/C5</f>
        <v>-1845.386954912087</v>
      </c>
      <c r="M5" s="5">
        <f>(E5-1)*'2021 Nto driftsutg landet'!$C$6*$C5</f>
        <v>-834343944.78580987</v>
      </c>
      <c r="N5" s="5">
        <f t="shared" ref="N5:N15" si="2">+M5-$M$17*$C5/$C$17</f>
        <v>-834343944.86580467</v>
      </c>
      <c r="O5" s="5">
        <f>+N5/$C5</f>
        <v>-1198.5840485467838</v>
      </c>
      <c r="P5" s="5">
        <f>(F5-1)*'2021 Nto driftsutg landet'!$C$7*$C5</f>
        <v>1288823779.5483384</v>
      </c>
      <c r="Q5" s="5">
        <f t="shared" ref="Q5:Q15" si="3">+P5-$P$17*$C5/$C$17</f>
        <v>1288823777.3536971</v>
      </c>
      <c r="R5" s="5">
        <f>+Q5/$C5</f>
        <v>1851.4710035708497</v>
      </c>
      <c r="S5" s="5">
        <f>(G5-1)*'2021 Nto driftsutg landet'!$C$8*$C5</f>
        <v>-563241182.29975164</v>
      </c>
      <c r="T5" s="5">
        <f t="shared" ref="T5:T15" si="4">+S5-$S$17*$C5/$C$17</f>
        <v>-563241181.77655303</v>
      </c>
      <c r="U5" s="5">
        <f>+T5/$C5</f>
        <v>-809.12901701539568</v>
      </c>
      <c r="V5" s="5">
        <f>(H5-1)*'2021 Nto driftsutg landet'!$C$9*$C5</f>
        <v>-48189922.540758491</v>
      </c>
      <c r="W5" s="5">
        <f t="shared" ref="W5:W15" si="5">+V5-$V$17*$C5/$C$17</f>
        <v>-48189922.781694114</v>
      </c>
      <c r="X5" s="5">
        <f>+W5/$C5</f>
        <v>-69.227652579332684</v>
      </c>
      <c r="Z5" s="2">
        <f>1+L5/'2021 Nto driftsutg landet'!$C$5</f>
        <v>0.69992741792473367</v>
      </c>
      <c r="AA5" s="2">
        <f>1+O5/'2021 Nto driftsutg landet'!$C$6</f>
        <v>0.27329987791232591</v>
      </c>
      <c r="AB5" s="2">
        <f>1+R5/'2021 Nto driftsutg landet'!$C$7</f>
        <v>1.7366784242575655</v>
      </c>
      <c r="AC5" s="2">
        <f>1+U5/'2021 Nto driftsutg landet'!$C$8</f>
        <v>1.3162579476841962E-3</v>
      </c>
      <c r="AD5" s="2">
        <f>1+X5/'2021 Nto driftsutg landet'!$C$9</f>
        <v>0.86214546100876743</v>
      </c>
    </row>
    <row r="6" spans="1:30" x14ac:dyDescent="0.3">
      <c r="A6" s="43">
        <v>1100</v>
      </c>
      <c r="B6" s="44" t="s">
        <v>141</v>
      </c>
      <c r="C6" s="44">
        <f>+'2021 Nto driftsutg'!W6</f>
        <v>484091</v>
      </c>
      <c r="D6" s="3">
        <f>+'2021 Grunnlag korreksjoner'!D6</f>
        <v>1.067319466676</v>
      </c>
      <c r="E6" s="3">
        <f>+'2021 Grunnlag korreksjoner'!E6</f>
        <v>0.81816777181600009</v>
      </c>
      <c r="F6" s="3">
        <f>+'2021 Grunnlag korreksjoner'!F6</f>
        <v>1.0249622935999998</v>
      </c>
      <c r="G6" s="3">
        <f>+'2021 Grunnlag korreksjoner'!G6</f>
        <v>0.84093635050800009</v>
      </c>
      <c r="H6" s="3">
        <f>+'2021 Grunnlag korreksjoner'!H6</f>
        <v>1.0806156121719999</v>
      </c>
      <c r="I6" s="2">
        <v>0.99578449000000002</v>
      </c>
      <c r="J6" s="5">
        <f>(D6-1)*'2021 Nto driftsutg landet'!$C$5*C6</f>
        <v>200414346.13710478</v>
      </c>
      <c r="K6" s="5">
        <f t="shared" ref="K6:K15" si="6">+J6-$J$17*C6/$C$17</f>
        <v>200414346.41913313</v>
      </c>
      <c r="L6" s="5">
        <f t="shared" si="1"/>
        <v>414.00138903456815</v>
      </c>
      <c r="M6" s="5">
        <f>(E6-1)*'2021 Nto driftsutg landet'!$C$6*$C6</f>
        <v>-145181449.97963873</v>
      </c>
      <c r="N6" s="5">
        <f t="shared" si="2"/>
        <v>-145181450.03526911</v>
      </c>
      <c r="O6" s="5">
        <f t="shared" ref="O6:O15" si="7">+N6/$C6</f>
        <v>-299.9052864756195</v>
      </c>
      <c r="P6" s="5">
        <f>(F6-1)*'2021 Nto driftsutg landet'!$C$7*$C6</f>
        <v>30370396.354615454</v>
      </c>
      <c r="Q6" s="5">
        <f t="shared" si="3"/>
        <v>30370394.828406654</v>
      </c>
      <c r="R6" s="5">
        <f t="shared" ref="R6:R15" si="8">+Q6/$C6</f>
        <v>62.736954061130355</v>
      </c>
      <c r="S6" s="5">
        <f>(G6-1)*'2021 Nto driftsutg landet'!$C$8*$C6</f>
        <v>-62386087.105754472</v>
      </c>
      <c r="T6" s="5">
        <f t="shared" si="4"/>
        <v>-62386086.741909035</v>
      </c>
      <c r="U6" s="5">
        <f t="shared" ref="U6:U15" si="9">+T6/$C6</f>
        <v>-128.87264324663965</v>
      </c>
      <c r="V6" s="5">
        <f>(H6-1)*'2021 Nto driftsutg landet'!$C$9*$C6</f>
        <v>19597681.713989738</v>
      </c>
      <c r="W6" s="5">
        <f t="shared" si="5"/>
        <v>19597681.546437047</v>
      </c>
      <c r="X6" s="5">
        <f t="shared" ref="X6:X15" si="10">+W6/$C6</f>
        <v>40.483466014524225</v>
      </c>
      <c r="Z6" s="2">
        <f>1+L6/'2021 Nto driftsutg landet'!$C$5</f>
        <v>1.0673194667707337</v>
      </c>
      <c r="AA6" s="2">
        <f>1+O6/'2021 Nto driftsutg landet'!$C$6</f>
        <v>0.81816777174632593</v>
      </c>
      <c r="AB6" s="2">
        <f>1+R6/'2021 Nto driftsutg landet'!$C$7</f>
        <v>1.0249622923455652</v>
      </c>
      <c r="AC6" s="2">
        <f>1+U6/'2021 Nto driftsutg landet'!$C$8</f>
        <v>0.84093635143568424</v>
      </c>
      <c r="AD6" s="2">
        <f>1+X6/'2021 Nto driftsutg landet'!$C$9</f>
        <v>1.0806156114827672</v>
      </c>
    </row>
    <row r="7" spans="1:30" x14ac:dyDescent="0.3">
      <c r="A7" s="43">
        <v>1500</v>
      </c>
      <c r="B7" s="44" t="s">
        <v>142</v>
      </c>
      <c r="C7" s="44">
        <f>+'2021 Nto driftsutg'!W7</f>
        <v>265297</v>
      </c>
      <c r="D7" s="3">
        <f>+'2021 Grunnlag korreksjoner'!D7</f>
        <v>1.115228965022</v>
      </c>
      <c r="E7" s="3">
        <f>+'2021 Grunnlag korreksjoner'!E7</f>
        <v>1.4589049309419999</v>
      </c>
      <c r="F7" s="3">
        <f>+'2021 Grunnlag korreksjoner'!F7</f>
        <v>0.99652723767999996</v>
      </c>
      <c r="G7" s="3">
        <f>+'2021 Grunnlag korreksjoner'!G7</f>
        <v>3.1024151350700002</v>
      </c>
      <c r="H7" s="3">
        <f>+'2021 Grunnlag korreksjoner'!H7</f>
        <v>1.0303618790409999</v>
      </c>
      <c r="I7" s="2">
        <v>1.2980132799999999</v>
      </c>
      <c r="J7" s="5">
        <f>(D7-1)*'2021 Nto driftsutg landet'!$C$5*C7</f>
        <v>187998823.30311191</v>
      </c>
      <c r="K7" s="5">
        <f t="shared" si="6"/>
        <v>187998823.45767227</v>
      </c>
      <c r="L7" s="5">
        <f t="shared" si="1"/>
        <v>708.63531610863402</v>
      </c>
      <c r="M7" s="5">
        <f>(E7-1)*'2021 Nto driftsutg landet'!$C$6*$C7</f>
        <v>200802133.85466728</v>
      </c>
      <c r="N7" s="5">
        <f t="shared" si="2"/>
        <v>200802133.8241801</v>
      </c>
      <c r="O7" s="5">
        <f t="shared" si="7"/>
        <v>756.89560690162386</v>
      </c>
      <c r="P7" s="5">
        <f>(F7-1)*'2021 Nto driftsutg landet'!$C$7*$C7</f>
        <v>-2315508.4169788384</v>
      </c>
      <c r="Q7" s="5">
        <f t="shared" si="3"/>
        <v>-2315509.2533889683</v>
      </c>
      <c r="R7" s="5">
        <f t="shared" si="8"/>
        <v>-8.7279888328513646</v>
      </c>
      <c r="S7" s="5">
        <f>(G7-1)*'2021 Nto driftsutg landet'!$C$8*$C7</f>
        <v>451898198.02022487</v>
      </c>
      <c r="T7" s="5">
        <f t="shared" si="4"/>
        <v>451898198.21962357</v>
      </c>
      <c r="U7" s="5">
        <f t="shared" si="9"/>
        <v>1703.3671629141058</v>
      </c>
      <c r="V7" s="5">
        <f>(H7-1)*'2021 Nto driftsutg landet'!$C$9*$C7</f>
        <v>4045009.2583451341</v>
      </c>
      <c r="W7" s="5">
        <f t="shared" si="5"/>
        <v>4045009.1665210221</v>
      </c>
      <c r="X7" s="5">
        <f t="shared" si="10"/>
        <v>15.247097277847175</v>
      </c>
      <c r="Z7" s="2">
        <f>1+L7/'2021 Nto driftsutg landet'!$C$5</f>
        <v>1.1152289651167338</v>
      </c>
      <c r="AA7" s="2">
        <f>1+O7/'2021 Nto driftsutg landet'!$C$6</f>
        <v>1.4589049308723259</v>
      </c>
      <c r="AB7" s="2">
        <f>1+R7/'2021 Nto driftsutg landet'!$C$7</f>
        <v>0.99652723642556551</v>
      </c>
      <c r="AC7" s="2">
        <f>1+U7/'2021 Nto driftsutg landet'!$C$8</f>
        <v>3.1024151359976844</v>
      </c>
      <c r="AD7" s="2">
        <f>1+X7/'2021 Nto driftsutg landet'!$C$9</f>
        <v>1.0303618783517672</v>
      </c>
    </row>
    <row r="8" spans="1:30" x14ac:dyDescent="0.3">
      <c r="A8" s="43">
        <v>1800</v>
      </c>
      <c r="B8" s="44" t="s">
        <v>143</v>
      </c>
      <c r="C8" s="44">
        <f>+'2021 Nto driftsutg'!W8</f>
        <v>240496</v>
      </c>
      <c r="D8" s="3">
        <f>+'2021 Grunnlag korreksjoner'!D8</f>
        <v>1.0985606159099996</v>
      </c>
      <c r="E8" s="3">
        <f>+'2021 Grunnlag korreksjoner'!E8</f>
        <v>1.740798889156</v>
      </c>
      <c r="F8" s="3">
        <f>+'2021 Grunnlag korreksjoner'!F8</f>
        <v>1.0164832532719998</v>
      </c>
      <c r="G8" s="3">
        <f>+'2021 Grunnlag korreksjoner'!G8</f>
        <v>5.5170510257599998</v>
      </c>
      <c r="H8" s="3">
        <f>+'2021 Grunnlag korreksjoner'!H8</f>
        <v>0.98545390553199996</v>
      </c>
      <c r="I8" s="2">
        <v>1.5138306100000001</v>
      </c>
      <c r="J8" s="5">
        <f>(D8-1)*'2021 Nto driftsutg landet'!$C$5*C8</f>
        <v>145771424.27821824</v>
      </c>
      <c r="K8" s="5">
        <f t="shared" si="6"/>
        <v>145771424.41832969</v>
      </c>
      <c r="L8" s="5">
        <f t="shared" si="1"/>
        <v>606.12826998507126</v>
      </c>
      <c r="M8" s="5">
        <f>(E8-1)*'2021 Nto driftsutg landet'!$C$6*$C8</f>
        <v>293847121.18546498</v>
      </c>
      <c r="N8" s="5">
        <f t="shared" si="2"/>
        <v>293847121.15782785</v>
      </c>
      <c r="O8" s="5">
        <f t="shared" si="7"/>
        <v>1221.8378732196288</v>
      </c>
      <c r="P8" s="5">
        <f>(F8-1)*'2021 Nto driftsutg landet'!$C$7*$C8</f>
        <v>9962991.3577325959</v>
      </c>
      <c r="Q8" s="5">
        <f t="shared" si="3"/>
        <v>9962990.5995133519</v>
      </c>
      <c r="R8" s="5">
        <f t="shared" si="8"/>
        <v>41.426845350913744</v>
      </c>
      <c r="S8" s="5">
        <f>(G8-1)*'2021 Nto driftsutg landet'!$C$8*$C8</f>
        <v>880141806.17496026</v>
      </c>
      <c r="T8" s="5">
        <f t="shared" si="4"/>
        <v>880141806.35571837</v>
      </c>
      <c r="U8" s="5">
        <f t="shared" si="9"/>
        <v>3659.6941585544805</v>
      </c>
      <c r="V8" s="5">
        <f>(H8-1)*'2021 Nto driftsutg landet'!$C$9*$C8</f>
        <v>-1756761.4646816973</v>
      </c>
      <c r="W8" s="5">
        <f t="shared" si="5"/>
        <v>-1756761.5479217328</v>
      </c>
      <c r="X8" s="5">
        <f t="shared" si="10"/>
        <v>-7.3047433134926685</v>
      </c>
      <c r="Z8" s="2">
        <f>1+L8/'2021 Nto driftsutg landet'!$C$5</f>
        <v>1.0985606160047334</v>
      </c>
      <c r="AA8" s="2">
        <f>1+O8/'2021 Nto driftsutg landet'!$C$6</f>
        <v>1.7407988890863257</v>
      </c>
      <c r="AB8" s="2">
        <f>1+R8/'2021 Nto driftsutg landet'!$C$7</f>
        <v>1.0164832520175653</v>
      </c>
      <c r="AC8" s="2">
        <f>1+U8/'2021 Nto driftsutg landet'!$C$8</f>
        <v>5.5170510266876844</v>
      </c>
      <c r="AD8" s="2">
        <f>1+X8/'2021 Nto driftsutg landet'!$C$9</f>
        <v>0.98545390484276729</v>
      </c>
    </row>
    <row r="9" spans="1:30" x14ac:dyDescent="0.3">
      <c r="A9" s="43">
        <v>3000</v>
      </c>
      <c r="B9" s="44" t="s">
        <v>392</v>
      </c>
      <c r="C9" s="44">
        <f>+'2021 Nto driftsutg'!W9</f>
        <v>1260731</v>
      </c>
      <c r="D9" s="3">
        <f>+'2021 Grunnlag korreksjoner'!D9</f>
        <v>1.0213270273399999</v>
      </c>
      <c r="E9" s="3">
        <f>+'2021 Grunnlag korreksjoner'!E9</f>
        <v>0.647410470214</v>
      </c>
      <c r="F9" s="3">
        <f>+'2021 Grunnlag korreksjoner'!F9</f>
        <v>0.67128453190399995</v>
      </c>
      <c r="G9" s="3">
        <f>+'2021 Grunnlag korreksjoner'!G9</f>
        <v>6.3826614545999999E-2</v>
      </c>
      <c r="H9" s="3">
        <f>+'2021 Grunnlag korreksjoner'!H9</f>
        <v>1.037185946318</v>
      </c>
      <c r="I9" s="2">
        <v>0.82361872999999997</v>
      </c>
      <c r="J9" s="5">
        <f>(D9-1)*'2021 Nto driftsutg landet'!$C$5*C9</f>
        <v>165353689.01550084</v>
      </c>
      <c r="K9" s="5">
        <f t="shared" si="6"/>
        <v>165353689.74999475</v>
      </c>
      <c r="L9" s="5">
        <f t="shared" si="1"/>
        <v>131.1569952273679</v>
      </c>
      <c r="M9" s="5">
        <f>(E9-1)*'2021 Nto driftsutg landet'!$C$6*$C9</f>
        <v>-733170705.29987943</v>
      </c>
      <c r="N9" s="5">
        <f t="shared" si="2"/>
        <v>-733170705.44475913</v>
      </c>
      <c r="O9" s="5">
        <f t="shared" si="7"/>
        <v>-581.54412435702704</v>
      </c>
      <c r="P9" s="5">
        <f>(F9-1)*'2021 Nto driftsutg landet'!$C$7*$C9</f>
        <v>-1041553390.3924874</v>
      </c>
      <c r="Q9" s="5">
        <f t="shared" si="3"/>
        <v>-1041553394.3672334</v>
      </c>
      <c r="R9" s="5">
        <f t="shared" si="8"/>
        <v>-826.15037971401784</v>
      </c>
      <c r="S9" s="5">
        <f>(G9-1)*'2021 Nto driftsutg landet'!$C$8*$C9</f>
        <v>-956243549.16563225</v>
      </c>
      <c r="T9" s="5">
        <f t="shared" si="4"/>
        <v>-956243548.2180599</v>
      </c>
      <c r="U9" s="5">
        <f t="shared" si="9"/>
        <v>-758.48341019460929</v>
      </c>
      <c r="V9" s="5">
        <f>(H9-1)*'2021 Nto driftsutg landet'!$C$9*$C9</f>
        <v>23542891.712921906</v>
      </c>
      <c r="W9" s="5">
        <f t="shared" si="5"/>
        <v>23542891.276560001</v>
      </c>
      <c r="X9" s="5">
        <f t="shared" si="10"/>
        <v>18.674000462081128</v>
      </c>
      <c r="Z9" s="2">
        <f>1+L9/'2021 Nto driftsutg landet'!$C$5</f>
        <v>1.0213270274347337</v>
      </c>
      <c r="AA9" s="2">
        <f>1+O9/'2021 Nto driftsutg landet'!$C$6</f>
        <v>0.64741047014432584</v>
      </c>
      <c r="AB9" s="2">
        <f>1+R9/'2021 Nto driftsutg landet'!$C$7</f>
        <v>0.67128453064956539</v>
      </c>
      <c r="AC9" s="2">
        <f>1+U9/'2021 Nto driftsutg landet'!$C$8</f>
        <v>6.3826615473684067E-2</v>
      </c>
      <c r="AD9" s="2">
        <f>1+X9/'2021 Nto driftsutg landet'!$C$9</f>
        <v>1.0371859456287673</v>
      </c>
    </row>
    <row r="10" spans="1:30" x14ac:dyDescent="0.3">
      <c r="A10" s="43">
        <v>3400</v>
      </c>
      <c r="B10" s="44" t="s">
        <v>393</v>
      </c>
      <c r="C10" s="44">
        <f>+'2021 Nto driftsutg'!W10</f>
        <v>370701</v>
      </c>
      <c r="D10" s="3">
        <f>+'2021 Grunnlag korreksjoner'!D10</f>
        <v>1.0261357862519997</v>
      </c>
      <c r="E10" s="3">
        <f>+'2021 Grunnlag korreksjoner'!E10</f>
        <v>1.5201988443160002</v>
      </c>
      <c r="F10" s="3">
        <f>+'2021 Grunnlag korreksjoner'!F10</f>
        <v>1.009729337976</v>
      </c>
      <c r="G10" s="3">
        <f>+'2021 Grunnlag korreksjoner'!G10</f>
        <v>3.8547033684000004E-2</v>
      </c>
      <c r="H10" s="3">
        <f>+'2021 Grunnlag korreksjoner'!H10</f>
        <v>0.96374535311999998</v>
      </c>
      <c r="I10" s="2">
        <v>1.05007359</v>
      </c>
      <c r="J10" s="5">
        <f>(D10-1)*'2021 Nto driftsutg landet'!$C$5*C10</f>
        <v>59582738.237672694</v>
      </c>
      <c r="K10" s="5">
        <f t="shared" si="6"/>
        <v>59582738.453640752</v>
      </c>
      <c r="L10" s="5">
        <f t="shared" si="1"/>
        <v>160.72991023396418</v>
      </c>
      <c r="M10" s="5">
        <f>(E10-1)*'2021 Nto driftsutg landet'!$C$6*$C10</f>
        <v>318058056.61021084</v>
      </c>
      <c r="N10" s="5">
        <f t="shared" si="2"/>
        <v>318058056.56761092</v>
      </c>
      <c r="O10" s="5">
        <f t="shared" si="7"/>
        <v>857.99082432367572</v>
      </c>
      <c r="P10" s="5">
        <f>(F10-1)*'2021 Nto driftsutg landet'!$C$7*$C10</f>
        <v>9064545.0564488005</v>
      </c>
      <c r="Q10" s="5">
        <f t="shared" si="3"/>
        <v>9064543.88772819</v>
      </c>
      <c r="R10" s="5">
        <f t="shared" si="8"/>
        <v>24.452439803853213</v>
      </c>
      <c r="S10" s="5">
        <f>(G10-1)*'2021 Nto driftsutg landet'!$C$8*$C10</f>
        <v>-288763034.83503836</v>
      </c>
      <c r="T10" s="5">
        <f t="shared" si="4"/>
        <v>-288763034.55641747</v>
      </c>
      <c r="U10" s="5">
        <f t="shared" si="9"/>
        <v>-778.96481141517688</v>
      </c>
      <c r="V10" s="5">
        <f>(H10-1)*'2021 Nto driftsutg landet'!$C$9*$C10</f>
        <v>-6749101.6979313819</v>
      </c>
      <c r="W10" s="5">
        <f t="shared" si="5"/>
        <v>-6749101.8262377335</v>
      </c>
      <c r="X10" s="5">
        <f t="shared" si="10"/>
        <v>-18.206322147061197</v>
      </c>
      <c r="Z10" s="2">
        <f>1+L10/'2021 Nto driftsutg landet'!$C$5</f>
        <v>1.0261357863467335</v>
      </c>
      <c r="AA10" s="2">
        <f>1+O10/'2021 Nto driftsutg landet'!$C$6</f>
        <v>1.5201988442463259</v>
      </c>
      <c r="AB10" s="2">
        <f>1+R10/'2021 Nto driftsutg landet'!$C$7</f>
        <v>1.0097293367215654</v>
      </c>
      <c r="AC10" s="2">
        <f>1+U10/'2021 Nto driftsutg landet'!$C$8</f>
        <v>3.8547034611684072E-2</v>
      </c>
      <c r="AD10" s="2">
        <f>1+X10/'2021 Nto driftsutg landet'!$C$9</f>
        <v>0.96374535243076731</v>
      </c>
    </row>
    <row r="11" spans="1:30" x14ac:dyDescent="0.3">
      <c r="A11" s="43">
        <v>3800</v>
      </c>
      <c r="B11" s="44" t="s">
        <v>394</v>
      </c>
      <c r="C11" s="44">
        <f>+'2021 Nto driftsutg'!W11</f>
        <v>423144</v>
      </c>
      <c r="D11" s="3">
        <f>+'2021 Grunnlag korreksjoner'!D11</f>
        <v>1.0188882733159998</v>
      </c>
      <c r="E11" s="3">
        <f>+'2021 Grunnlag korreksjoner'!E11</f>
        <v>0.96541871701000015</v>
      </c>
      <c r="F11" s="3">
        <f>+'2021 Grunnlag korreksjoner'!F11</f>
        <v>0.72761217902399999</v>
      </c>
      <c r="G11" s="3">
        <f>+'2021 Grunnlag korreksjoner'!G11</f>
        <v>0.16001458453400003</v>
      </c>
      <c r="H11" s="3">
        <f>+'2021 Grunnlag korreksjoner'!H11</f>
        <v>0.99862059254700009</v>
      </c>
      <c r="I11" s="2">
        <v>0.89976524000000002</v>
      </c>
      <c r="J11" s="5">
        <f>(D11-1)*'2021 Nto driftsutg landet'!$C$5*C11</f>
        <v>49152043.286646977</v>
      </c>
      <c r="K11" s="5">
        <f t="shared" si="6"/>
        <v>49152043.533167996</v>
      </c>
      <c r="L11" s="5">
        <f t="shared" si="1"/>
        <v>116.15914093823378</v>
      </c>
      <c r="M11" s="5">
        <f>(E11-1)*'2021 Nto driftsutg landet'!$C$6*$C11</f>
        <v>-24134735.822316449</v>
      </c>
      <c r="N11" s="5">
        <f t="shared" si="2"/>
        <v>-24134735.870942965</v>
      </c>
      <c r="O11" s="5">
        <f t="shared" si="7"/>
        <v>-57.036696422359682</v>
      </c>
      <c r="P11" s="5">
        <f>(F11-1)*'2021 Nto driftsutg landet'!$C$7*$C11</f>
        <v>-289677548.83849645</v>
      </c>
      <c r="Q11" s="5">
        <f t="shared" si="3"/>
        <v>-289677550.17255574</v>
      </c>
      <c r="R11" s="5">
        <f t="shared" si="8"/>
        <v>-684.58385365869719</v>
      </c>
      <c r="S11" s="5">
        <f>(G11-1)*'2021 Nto driftsutg landet'!$C$8*$C11</f>
        <v>-287971646.1148383</v>
      </c>
      <c r="T11" s="5">
        <f t="shared" si="4"/>
        <v>-287971645.79680097</v>
      </c>
      <c r="U11" s="5">
        <f t="shared" si="9"/>
        <v>-680.55235521902944</v>
      </c>
      <c r="V11" s="5">
        <f>(H11-1)*'2021 Nto driftsutg landet'!$C$9*$C11</f>
        <v>-293115.84148537868</v>
      </c>
      <c r="W11" s="5">
        <f t="shared" si="5"/>
        <v>-293115.98794320569</v>
      </c>
      <c r="X11" s="5">
        <f t="shared" si="10"/>
        <v>-0.69270978187852295</v>
      </c>
      <c r="Z11" s="2">
        <f>1+L11/'2021 Nto driftsutg landet'!$C$5</f>
        <v>1.0188882734107336</v>
      </c>
      <c r="AA11" s="2">
        <f>1+O11/'2021 Nto driftsutg landet'!$C$6</f>
        <v>0.96541871694032599</v>
      </c>
      <c r="AB11" s="2">
        <f>1+R11/'2021 Nto driftsutg landet'!$C$7</f>
        <v>0.72761217776956544</v>
      </c>
      <c r="AC11" s="2">
        <f>1+U11/'2021 Nto driftsutg landet'!$C$8</f>
        <v>0.16001458546168412</v>
      </c>
      <c r="AD11" s="2">
        <f>1+X11/'2021 Nto driftsutg landet'!$C$9</f>
        <v>0.99862059185776741</v>
      </c>
    </row>
    <row r="12" spans="1:30" x14ac:dyDescent="0.3">
      <c r="A12" s="43">
        <v>4200</v>
      </c>
      <c r="B12" s="44" t="s">
        <v>395</v>
      </c>
      <c r="C12" s="44">
        <f>+'2021 Nto driftsutg'!W12</f>
        <v>309508</v>
      </c>
      <c r="D12" s="3">
        <f>+'2021 Grunnlag korreksjoner'!D12</f>
        <v>1.05030069166</v>
      </c>
      <c r="E12" s="3">
        <f>+'2021 Grunnlag korreksjoner'!E12</f>
        <v>1.1653561073379999</v>
      </c>
      <c r="F12" s="3">
        <f>+'2021 Grunnlag korreksjoner'!F12</f>
        <v>0.81375635999199991</v>
      </c>
      <c r="G12" s="3">
        <f>+'2021 Grunnlag korreksjoner'!G12</f>
        <v>0.23760515278000002</v>
      </c>
      <c r="H12" s="3">
        <f>+'2021 Grunnlag korreksjoner'!H12</f>
        <v>1.0486821090080001</v>
      </c>
      <c r="I12" s="2">
        <v>0.97768442</v>
      </c>
      <c r="J12" s="5">
        <f>(D12-1)*'2021 Nto driftsutg landet'!$C$5*C12</f>
        <v>95742985.716899663</v>
      </c>
      <c r="K12" s="5">
        <f t="shared" si="6"/>
        <v>95742985.897217065</v>
      </c>
      <c r="L12" s="5">
        <f t="shared" si="1"/>
        <v>309.33929299797444</v>
      </c>
      <c r="M12" s="5">
        <f>(E12-1)*'2021 Nto driftsutg landet'!$C$6*$C12</f>
        <v>84412231.106290445</v>
      </c>
      <c r="N12" s="5">
        <f t="shared" si="2"/>
        <v>84412231.070722654</v>
      </c>
      <c r="O12" s="5">
        <f t="shared" si="7"/>
        <v>272.73036907195501</v>
      </c>
      <c r="P12" s="5">
        <f>(F12-1)*'2021 Nto driftsutg landet'!$C$7*$C12</f>
        <v>-144874614.82077253</v>
      </c>
      <c r="Q12" s="5">
        <f t="shared" si="3"/>
        <v>-144874615.79656807</v>
      </c>
      <c r="R12" s="5">
        <f t="shared" si="8"/>
        <v>-468.08035913956365</v>
      </c>
      <c r="S12" s="5">
        <f>(G12-1)*'2021 Nto driftsutg landet'!$C$8*$C12</f>
        <v>-191179634.74906954</v>
      </c>
      <c r="T12" s="5">
        <f t="shared" si="4"/>
        <v>-191179634.51644164</v>
      </c>
      <c r="U12" s="5">
        <f t="shared" si="9"/>
        <v>-617.6888303903022</v>
      </c>
      <c r="V12" s="5">
        <f>(H12-1)*'2021 Nto driftsutg landet'!$C$9*$C12</f>
        <v>7566582.9708343185</v>
      </c>
      <c r="W12" s="5">
        <f t="shared" si="5"/>
        <v>7566582.8637079755</v>
      </c>
      <c r="X12" s="5">
        <f t="shared" si="10"/>
        <v>24.447131782402959</v>
      </c>
      <c r="Z12" s="2">
        <f>1+L12/'2021 Nto driftsutg landet'!$C$5</f>
        <v>1.0503006917547337</v>
      </c>
      <c r="AA12" s="2">
        <f>1+O12/'2021 Nto driftsutg landet'!$C$6</f>
        <v>1.1653561072683258</v>
      </c>
      <c r="AB12" s="2">
        <f>1+R12/'2021 Nto driftsutg landet'!$C$7</f>
        <v>0.81375635873756547</v>
      </c>
      <c r="AC12" s="2">
        <f>1+U12/'2021 Nto driftsutg landet'!$C$8</f>
        <v>0.23760515370768409</v>
      </c>
      <c r="AD12" s="2">
        <f>1+X12/'2021 Nto driftsutg landet'!$C$9</f>
        <v>1.0486821083187674</v>
      </c>
    </row>
    <row r="13" spans="1:30" x14ac:dyDescent="0.3">
      <c r="A13" s="43">
        <v>4600</v>
      </c>
      <c r="B13" s="44" t="s">
        <v>396</v>
      </c>
      <c r="C13" s="44">
        <f>+'2021 Nto driftsutg'!W13</f>
        <v>639102</v>
      </c>
      <c r="D13" s="3">
        <f>+'2021 Grunnlag korreksjoner'!D13</f>
        <v>1.0627111443199999</v>
      </c>
      <c r="E13" s="3">
        <f>+'2021 Grunnlag korreksjoner'!E13</f>
        <v>1.179674447704</v>
      </c>
      <c r="F13" s="3">
        <f>+'2021 Grunnlag korreksjoner'!F13</f>
        <v>1.0003785486719998</v>
      </c>
      <c r="G13" s="3">
        <f>+'2021 Grunnlag korreksjoner'!G13</f>
        <v>1.9450823642099999</v>
      </c>
      <c r="H13" s="3">
        <f>+'2021 Grunnlag korreksjoner'!H13</f>
        <v>1.027352720051</v>
      </c>
      <c r="I13" s="2">
        <v>1.1353873400000001</v>
      </c>
      <c r="J13" s="5">
        <f>(D13-1)*'2021 Nto driftsutg landet'!$C$5*C13</f>
        <v>246476792.20117977</v>
      </c>
      <c r="K13" s="5">
        <f t="shared" si="6"/>
        <v>246476792.57351655</v>
      </c>
      <c r="L13" s="5">
        <f t="shared" si="1"/>
        <v>385.66111915393248</v>
      </c>
      <c r="M13" s="5">
        <f>(E13-1)*'2021 Nto driftsutg landet'!$C$6*$C13</f>
        <v>189395543.41598642</v>
      </c>
      <c r="N13" s="5">
        <f t="shared" si="2"/>
        <v>189395543.34254262</v>
      </c>
      <c r="O13" s="5">
        <f t="shared" si="7"/>
        <v>296.34634744147667</v>
      </c>
      <c r="P13" s="5">
        <f>(F13-1)*'2021 Nto driftsutg landet'!$C$7*$C13</f>
        <v>608038.20455200237</v>
      </c>
      <c r="Q13" s="5">
        <f t="shared" si="3"/>
        <v>608036.18963518518</v>
      </c>
      <c r="R13" s="5">
        <f t="shared" si="8"/>
        <v>0.95139146745775349</v>
      </c>
      <c r="S13" s="5">
        <f>(G13-1)*'2021 Nto driftsutg landet'!$C$8*$C13</f>
        <v>489361312.08069438</v>
      </c>
      <c r="T13" s="5">
        <f t="shared" si="4"/>
        <v>489361312.56104696</v>
      </c>
      <c r="U13" s="5">
        <f t="shared" si="9"/>
        <v>765.70142568955657</v>
      </c>
      <c r="V13" s="5">
        <f>(H13-1)*'2021 Nto driftsutg landet'!$C$9*$C13</f>
        <v>8778680.2839425951</v>
      </c>
      <c r="W13" s="5">
        <f t="shared" si="5"/>
        <v>8778680.0627377797</v>
      </c>
      <c r="X13" s="5">
        <f t="shared" si="10"/>
        <v>13.735960868120863</v>
      </c>
      <c r="Z13" s="2">
        <f>1+L13/'2021 Nto driftsutg landet'!$C$5</f>
        <v>1.0627111444147337</v>
      </c>
      <c r="AA13" s="2">
        <f>1+O13/'2021 Nto driftsutg landet'!$C$6</f>
        <v>1.1796744476343259</v>
      </c>
      <c r="AB13" s="2">
        <f>1+R13/'2021 Nto driftsutg landet'!$C$7</f>
        <v>1.0003785474175653</v>
      </c>
      <c r="AC13" s="2">
        <f>1+U13/'2021 Nto driftsutg landet'!$C$8</f>
        <v>1.9450823651376841</v>
      </c>
      <c r="AD13" s="2">
        <f>1+X13/'2021 Nto driftsutg landet'!$C$9</f>
        <v>1.0273527193617673</v>
      </c>
    </row>
    <row r="14" spans="1:30" x14ac:dyDescent="0.3">
      <c r="A14" s="43">
        <v>5000</v>
      </c>
      <c r="B14" s="44" t="s">
        <v>390</v>
      </c>
      <c r="C14" s="44">
        <f>+'2021 Nto driftsutg'!W14</f>
        <v>470984</v>
      </c>
      <c r="D14" s="3">
        <f>+'2021 Grunnlag korreksjoner'!D14</f>
        <v>1.012572546855</v>
      </c>
      <c r="E14" s="3">
        <f>+'2021 Grunnlag korreksjoner'!E14</f>
        <v>1.2942396964060001</v>
      </c>
      <c r="F14" s="3">
        <f>+'2021 Grunnlag korreksjoner'!F14</f>
        <v>1.05514238388</v>
      </c>
      <c r="G14" s="3">
        <f>+'2021 Grunnlag korreksjoner'!G14</f>
        <v>1.138105922492</v>
      </c>
      <c r="H14" s="3">
        <f>+'2021 Grunnlag korreksjoner'!H14</f>
        <v>0.99297800244399992</v>
      </c>
      <c r="I14" s="2">
        <v>1.08347192</v>
      </c>
      <c r="J14" s="5">
        <f>(D14-1)*'2021 Nto driftsutg landet'!$C$5*C14</f>
        <v>36415858.051382668</v>
      </c>
      <c r="K14" s="5">
        <f t="shared" si="6"/>
        <v>36415858.325774968</v>
      </c>
      <c r="L14" s="5">
        <f t="shared" si="1"/>
        <v>77.318673937490374</v>
      </c>
      <c r="M14" s="5">
        <f>(E14-1)*'2021 Nto driftsutg landet'!$C$6*$C14</f>
        <v>228570762.96777126</v>
      </c>
      <c r="N14" s="5">
        <f t="shared" si="2"/>
        <v>228570762.91364712</v>
      </c>
      <c r="O14" s="5">
        <f t="shared" si="7"/>
        <v>485.30472991364275</v>
      </c>
      <c r="P14" s="5">
        <f>(F14-1)*'2021 Nto driftsutg landet'!$C$7*$C14</f>
        <v>65272561.398867674</v>
      </c>
      <c r="Q14" s="5">
        <f t="shared" si="3"/>
        <v>65272559.913981721</v>
      </c>
      <c r="R14" s="5">
        <f t="shared" si="8"/>
        <v>138.58763761397779</v>
      </c>
      <c r="S14" s="5">
        <f>(G14-1)*'2021 Nto driftsutg landet'!$C$8*$C14</f>
        <v>52699713.373408943</v>
      </c>
      <c r="T14" s="5">
        <f t="shared" si="4"/>
        <v>52699713.727403089</v>
      </c>
      <c r="U14" s="5">
        <f t="shared" si="9"/>
        <v>111.89278983448077</v>
      </c>
      <c r="V14" s="5">
        <f>(H14-1)*'2021 Nto driftsutg landet'!$C$9*$C14</f>
        <v>-1660830.6959883482</v>
      </c>
      <c r="W14" s="5">
        <f t="shared" si="5"/>
        <v>-1660830.8590044684</v>
      </c>
      <c r="X14" s="5">
        <f t="shared" si="10"/>
        <v>-3.5262999571205569</v>
      </c>
      <c r="Z14" s="2">
        <f>1+L14/'2021 Nto driftsutg landet'!$C$5</f>
        <v>1.0125725469497338</v>
      </c>
      <c r="AA14" s="2">
        <f>1+O14/'2021 Nto driftsutg landet'!$C$6</f>
        <v>1.2942396963363261</v>
      </c>
      <c r="AB14" s="2">
        <f>1+R14/'2021 Nto driftsutg landet'!$C$7</f>
        <v>1.0551423826255655</v>
      </c>
      <c r="AC14" s="2">
        <f>1+U14/'2021 Nto driftsutg landet'!$C$8</f>
        <v>1.1381059234196842</v>
      </c>
      <c r="AD14" s="2">
        <f>1+X14/'2021 Nto driftsutg landet'!$C$9</f>
        <v>0.99297800175476725</v>
      </c>
    </row>
    <row r="15" spans="1:30" x14ac:dyDescent="0.3">
      <c r="A15" s="43">
        <v>5400</v>
      </c>
      <c r="B15" s="44" t="s">
        <v>397</v>
      </c>
      <c r="C15" s="44">
        <f>+'2021 Nto driftsutg'!W15</f>
        <v>241663</v>
      </c>
      <c r="D15" s="3">
        <f>+'2021 Grunnlag korreksjoner'!D15</f>
        <v>1.0657255152389999</v>
      </c>
      <c r="E15" s="3">
        <f>+'2021 Grunnlag korreksjoner'!E15</f>
        <v>2.0580994937500003</v>
      </c>
      <c r="F15" s="3">
        <f>+'2021 Grunnlag korreksjoner'!F15</f>
        <v>1.1223627904319999</v>
      </c>
      <c r="G15" s="3">
        <f>+'2021 Grunnlag korreksjoner'!G15</f>
        <v>3.4295099211780005</v>
      </c>
      <c r="H15" s="3">
        <f>+'2021 Grunnlag korreksjoner'!H15</f>
        <v>0.95977925969500011</v>
      </c>
      <c r="I15" s="2">
        <v>1.4312196699999999</v>
      </c>
      <c r="J15" s="5">
        <f>(D15-1)*'2021 Nto driftsutg landet'!$C$5*C15</f>
        <v>97679919.440704614</v>
      </c>
      <c r="K15" s="5">
        <f t="shared" si="6"/>
        <v>97679919.581495941</v>
      </c>
      <c r="L15" s="5">
        <f t="shared" si="1"/>
        <v>404.19890335506858</v>
      </c>
      <c r="M15" s="5">
        <f>(E15-1)*'2021 Nto driftsutg landet'!$C$6*$C15</f>
        <v>421744987.36801547</v>
      </c>
      <c r="N15" s="5">
        <f t="shared" si="2"/>
        <v>421744987.34024423</v>
      </c>
      <c r="O15" s="5">
        <f t="shared" si="7"/>
        <v>1745.178150317774</v>
      </c>
      <c r="P15" s="5">
        <f>(F15-1)*'2021 Nto driftsutg landet'!$C$7*$C15</f>
        <v>74318767.578682572</v>
      </c>
      <c r="Q15" s="5">
        <f t="shared" si="3"/>
        <v>74318766.816784084</v>
      </c>
      <c r="R15" s="5">
        <f t="shared" si="8"/>
        <v>307.53059763713969</v>
      </c>
      <c r="S15" s="5">
        <f>(G15-1)*'2021 Nto driftsutg landet'!$C$8*$C15</f>
        <v>475684100.56075501</v>
      </c>
      <c r="T15" s="5">
        <f t="shared" si="4"/>
        <v>475684100.74239028</v>
      </c>
      <c r="U15" s="5">
        <f t="shared" si="9"/>
        <v>1968.3778681154761</v>
      </c>
      <c r="V15" s="5">
        <f>(H15-1)*'2021 Nto driftsutg landet'!$C$9*$C15</f>
        <v>-4881111.8295186115</v>
      </c>
      <c r="W15" s="5">
        <f t="shared" si="5"/>
        <v>-4881111.9131625667</v>
      </c>
      <c r="X15" s="5">
        <f t="shared" si="10"/>
        <v>-20.198010920838385</v>
      </c>
      <c r="Z15" s="2">
        <f>1+L15/'2021 Nto driftsutg landet'!$C$5</f>
        <v>1.0657255153337337</v>
      </c>
      <c r="AA15" s="2">
        <f>1+O15/'2021 Nto driftsutg landet'!$C$6</f>
        <v>2.0580994936803263</v>
      </c>
      <c r="AB15" s="2">
        <f>1+R15/'2021 Nto driftsutg landet'!$C$7</f>
        <v>1.1223627891775654</v>
      </c>
      <c r="AC15" s="2">
        <f>1+U15/'2021 Nto driftsutg landet'!$C$8</f>
        <v>3.4295099221056851</v>
      </c>
      <c r="AD15" s="2">
        <f>1+X15/'2021 Nto driftsutg landet'!$C$9</f>
        <v>0.95977925900576744</v>
      </c>
    </row>
    <row r="16" spans="1:30" x14ac:dyDescent="0.3">
      <c r="B16" s="45"/>
      <c r="C16" s="45"/>
      <c r="D16" s="4"/>
      <c r="E16" s="4"/>
      <c r="F16" s="4"/>
      <c r="G16" s="4"/>
      <c r="H16" s="4"/>
      <c r="I16" s="4"/>
      <c r="Z16" s="4"/>
      <c r="AA16" s="4"/>
    </row>
    <row r="17" spans="2:31" x14ac:dyDescent="0.3">
      <c r="B17" s="44" t="s">
        <v>3</v>
      </c>
      <c r="C17" s="5">
        <f>SUM(C5:C16)</f>
        <v>5401825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5">
        <f>SUM(J5:J16)</f>
        <v>-3.1470690369606018</v>
      </c>
      <c r="K17" s="5">
        <f>SUM(K5:K16)</f>
        <v>0</v>
      </c>
      <c r="L17" s="5">
        <v>0</v>
      </c>
      <c r="M17" s="5">
        <f>SUM(M5:M16)</f>
        <v>0.62076252698898315</v>
      </c>
      <c r="N17" s="5">
        <f>SUM(N5:N16)</f>
        <v>0</v>
      </c>
      <c r="O17" s="5">
        <v>0</v>
      </c>
      <c r="P17" s="5">
        <f>SUM(P5:P16)</f>
        <v>17.03050222992897</v>
      </c>
      <c r="Q17" s="5">
        <f>SUM(Q5:Q16)</f>
        <v>0</v>
      </c>
      <c r="R17" s="5">
        <v>0</v>
      </c>
      <c r="S17" s="5">
        <f>SUM(S5:S16)</f>
        <v>-4.0600411891937256</v>
      </c>
      <c r="T17" s="5">
        <f>SUM(T5:T16)</f>
        <v>0</v>
      </c>
      <c r="U17" s="5">
        <v>0</v>
      </c>
      <c r="V17" s="5">
        <f>SUM(V5:V16)</f>
        <v>1.8696697847917676</v>
      </c>
      <c r="W17" s="5">
        <f>SUM(W5:W16)</f>
        <v>0</v>
      </c>
      <c r="X17" s="5">
        <v>0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/>
    </row>
  </sheetData>
  <sheetProtection algorithmName="SHA-512" hashValue="e/PR0XmwTjLwfDuBIij5m8uUO9hjOV9u+NugBB2bgpciEpJFuPvdqSVZJoxvZf/Vw0JE5i0x+GnCq4wnMJuOBA==" saltValue="ivF9cM1VDHo01fSLIHcE3g==" spinCount="100000" sheet="1" objects="1" scenarios="1" selectLockedCells="1" selectUn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00"/>
  </sheetPr>
  <dimension ref="A1:CE18"/>
  <sheetViews>
    <sheetView zoomScale="80" zoomScaleNormal="80"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5" width="12" customWidth="1"/>
    <col min="6" max="6" width="13.44140625" customWidth="1"/>
    <col min="7" max="7" width="13.5546875" customWidth="1"/>
    <col min="8" max="8" width="14.44140625" customWidth="1"/>
    <col min="9" max="9" width="14.109375" customWidth="1"/>
    <col min="10" max="14" width="15.44140625" customWidth="1"/>
    <col min="15" max="15" width="14.44140625" customWidth="1"/>
    <col min="16" max="16" width="12.44140625" customWidth="1"/>
    <col min="17" max="21" width="15.44140625" customWidth="1"/>
    <col min="22" max="22" width="14.44140625" customWidth="1"/>
    <col min="23" max="23" width="13.44140625" customWidth="1"/>
    <col min="24" max="35" width="15.44140625" customWidth="1"/>
    <col min="36" max="36" width="14.44140625" customWidth="1"/>
    <col min="37" max="37" width="13.44140625" customWidth="1"/>
    <col min="38" max="42" width="15.44140625" customWidth="1"/>
    <col min="43" max="43" width="14.44140625" customWidth="1"/>
    <col min="44" max="44" width="13.44140625" customWidth="1"/>
    <col min="45" max="49" width="15.44140625" customWidth="1"/>
    <col min="50" max="50" width="14.44140625" customWidth="1"/>
    <col min="51" max="51" width="13.44140625" customWidth="1"/>
    <col min="52" max="56" width="15.44140625" customWidth="1"/>
    <col min="57" max="57" width="14.44140625" customWidth="1"/>
    <col min="58" max="58" width="13.44140625" customWidth="1"/>
    <col min="59" max="63" width="15.44140625" customWidth="1"/>
    <col min="64" max="64" width="14.44140625" customWidth="1"/>
    <col min="65" max="65" width="13.44140625" customWidth="1"/>
    <col min="66" max="70" width="15.44140625" customWidth="1"/>
    <col min="71" max="71" width="14.44140625" customWidth="1"/>
    <col min="72" max="72" width="13.44140625" customWidth="1"/>
    <col min="73" max="77" width="15.44140625" customWidth="1"/>
    <col min="78" max="78" width="14.44140625" customWidth="1"/>
    <col min="79" max="79" width="13.44140625" customWidth="1"/>
    <col min="80" max="80" width="15.44140625" customWidth="1"/>
    <col min="81" max="81" width="14.44140625" customWidth="1"/>
    <col min="82" max="82" width="13.44140625" customWidth="1"/>
    <col min="83" max="83" width="15.44140625" customWidth="1"/>
  </cols>
  <sheetData>
    <row r="1" spans="1:83" x14ac:dyDescent="0.3">
      <c r="H1" s="58"/>
      <c r="CB1" s="5"/>
    </row>
    <row r="2" spans="1:83" ht="79.8" x14ac:dyDescent="0.3">
      <c r="A2" s="24" t="s">
        <v>2</v>
      </c>
      <c r="B2" s="24" t="s">
        <v>1</v>
      </c>
      <c r="C2" s="24" t="s">
        <v>401</v>
      </c>
      <c r="D2" s="24" t="s">
        <v>322</v>
      </c>
      <c r="E2" s="24" t="s">
        <v>323</v>
      </c>
      <c r="F2" s="24" t="s">
        <v>325</v>
      </c>
      <c r="G2" s="24" t="s">
        <v>324</v>
      </c>
      <c r="H2" s="24" t="s">
        <v>326</v>
      </c>
      <c r="I2" s="24" t="s">
        <v>231</v>
      </c>
      <c r="J2" s="24" t="s">
        <v>230</v>
      </c>
      <c r="K2" s="108" t="s">
        <v>327</v>
      </c>
      <c r="L2" s="108" t="s">
        <v>328</v>
      </c>
      <c r="M2" s="108" t="s">
        <v>329</v>
      </c>
      <c r="N2" s="108" t="s">
        <v>330</v>
      </c>
      <c r="O2" s="108" t="s">
        <v>331</v>
      </c>
      <c r="P2" s="108" t="s">
        <v>233</v>
      </c>
      <c r="Q2" s="108" t="s">
        <v>232</v>
      </c>
      <c r="R2" s="24" t="s">
        <v>332</v>
      </c>
      <c r="S2" s="24" t="s">
        <v>333</v>
      </c>
      <c r="T2" s="24" t="s">
        <v>334</v>
      </c>
      <c r="U2" s="24" t="s">
        <v>335</v>
      </c>
      <c r="V2" s="24" t="s">
        <v>336</v>
      </c>
      <c r="W2" s="24" t="s">
        <v>312</v>
      </c>
      <c r="X2" s="24" t="s">
        <v>311</v>
      </c>
      <c r="Y2" s="108" t="s">
        <v>337</v>
      </c>
      <c r="Z2" s="108" t="s">
        <v>338</v>
      </c>
      <c r="AA2" s="108" t="s">
        <v>339</v>
      </c>
      <c r="AB2" s="108" t="s">
        <v>340</v>
      </c>
      <c r="AC2" s="108" t="s">
        <v>341</v>
      </c>
      <c r="AD2" s="108" t="s">
        <v>314</v>
      </c>
      <c r="AE2" s="108" t="s">
        <v>313</v>
      </c>
      <c r="AF2" s="24" t="s">
        <v>342</v>
      </c>
      <c r="AG2" s="24" t="s">
        <v>343</v>
      </c>
      <c r="AH2" s="24" t="s">
        <v>344</v>
      </c>
      <c r="AI2" s="24" t="s">
        <v>345</v>
      </c>
      <c r="AJ2" s="24" t="s">
        <v>346</v>
      </c>
      <c r="AK2" s="24" t="s">
        <v>347</v>
      </c>
      <c r="AL2" s="24" t="s">
        <v>348</v>
      </c>
      <c r="AM2" s="108" t="s">
        <v>349</v>
      </c>
      <c r="AN2" s="108" t="s">
        <v>350</v>
      </c>
      <c r="AO2" s="108" t="s">
        <v>351</v>
      </c>
      <c r="AP2" s="108" t="s">
        <v>352</v>
      </c>
      <c r="AQ2" s="108" t="s">
        <v>353</v>
      </c>
      <c r="AR2" s="108" t="s">
        <v>235</v>
      </c>
      <c r="AS2" s="108" t="s">
        <v>234</v>
      </c>
      <c r="AT2" s="24" t="s">
        <v>354</v>
      </c>
      <c r="AU2" s="24" t="s">
        <v>355</v>
      </c>
      <c r="AV2" s="24" t="s">
        <v>356</v>
      </c>
      <c r="AW2" s="24" t="s">
        <v>357</v>
      </c>
      <c r="AX2" s="24" t="s">
        <v>358</v>
      </c>
      <c r="AY2" s="24" t="s">
        <v>359</v>
      </c>
      <c r="AZ2" s="24" t="s">
        <v>360</v>
      </c>
      <c r="BA2" s="108" t="s">
        <v>361</v>
      </c>
      <c r="BB2" s="108" t="s">
        <v>362</v>
      </c>
      <c r="BC2" s="108" t="s">
        <v>363</v>
      </c>
      <c r="BD2" s="108" t="s">
        <v>364</v>
      </c>
      <c r="BE2" s="108" t="s">
        <v>365</v>
      </c>
      <c r="BF2" s="108" t="s">
        <v>237</v>
      </c>
      <c r="BG2" s="108" t="s">
        <v>236</v>
      </c>
      <c r="BH2" s="24" t="s">
        <v>366</v>
      </c>
      <c r="BI2" s="24" t="s">
        <v>367</v>
      </c>
      <c r="BJ2" s="24" t="s">
        <v>368</v>
      </c>
      <c r="BK2" s="24" t="s">
        <v>369</v>
      </c>
      <c r="BL2" s="24" t="s">
        <v>370</v>
      </c>
      <c r="BM2" s="24" t="s">
        <v>239</v>
      </c>
      <c r="BN2" s="24" t="s">
        <v>238</v>
      </c>
      <c r="BO2" s="108" t="s">
        <v>371</v>
      </c>
      <c r="BP2" s="108" t="s">
        <v>372</v>
      </c>
      <c r="BQ2" s="108" t="s">
        <v>373</v>
      </c>
      <c r="BR2" s="108" t="s">
        <v>374</v>
      </c>
      <c r="BS2" s="108" t="s">
        <v>375</v>
      </c>
      <c r="BT2" s="108" t="s">
        <v>376</v>
      </c>
      <c r="BU2" s="108" t="s">
        <v>377</v>
      </c>
      <c r="BV2" s="24" t="s">
        <v>378</v>
      </c>
      <c r="BW2" s="24" t="s">
        <v>379</v>
      </c>
      <c r="BX2" s="24" t="s">
        <v>380</v>
      </c>
      <c r="BY2" s="24" t="s">
        <v>381</v>
      </c>
      <c r="BZ2" s="24" t="s">
        <v>382</v>
      </c>
      <c r="CA2" s="24" t="s">
        <v>383</v>
      </c>
      <c r="CB2" s="24" t="s">
        <v>384</v>
      </c>
      <c r="CC2" s="108"/>
      <c r="CD2" s="108"/>
      <c r="CE2" s="108"/>
    </row>
    <row r="3" spans="1:83" x14ac:dyDescent="0.3">
      <c r="A3" s="107">
        <v>1</v>
      </c>
      <c r="B3" s="107">
        <f>+A3+1</f>
        <v>2</v>
      </c>
      <c r="C3" s="107">
        <f t="shared" ref="C3:CE3" si="0">+B3+1</f>
        <v>3</v>
      </c>
      <c r="D3" s="107">
        <f t="shared" ref="D3" si="1">+C3+1</f>
        <v>4</v>
      </c>
      <c r="E3" s="107">
        <f t="shared" ref="E3" si="2">+D3+1</f>
        <v>5</v>
      </c>
      <c r="F3" s="107">
        <f t="shared" ref="F3" si="3">+E3+1</f>
        <v>6</v>
      </c>
      <c r="G3" s="107">
        <f t="shared" ref="G3" si="4">+F3+1</f>
        <v>7</v>
      </c>
      <c r="H3" s="107">
        <f t="shared" ref="H3" si="5">+G3+1</f>
        <v>8</v>
      </c>
      <c r="I3" s="107">
        <f t="shared" ref="I3" si="6">+H3+1</f>
        <v>9</v>
      </c>
      <c r="J3" s="107">
        <f t="shared" ref="J3" si="7">+I3+1</f>
        <v>10</v>
      </c>
      <c r="K3" s="109">
        <f t="shared" ref="K3" si="8">+J3+1</f>
        <v>11</v>
      </c>
      <c r="L3" s="109">
        <f t="shared" ref="L3" si="9">+K3+1</f>
        <v>12</v>
      </c>
      <c r="M3" s="109">
        <f t="shared" ref="M3" si="10">+L3+1</f>
        <v>13</v>
      </c>
      <c r="N3" s="109">
        <f t="shared" ref="N3" si="11">+M3+1</f>
        <v>14</v>
      </c>
      <c r="O3" s="109">
        <f t="shared" ref="O3" si="12">+N3+1</f>
        <v>15</v>
      </c>
      <c r="P3" s="109">
        <f t="shared" si="0"/>
        <v>16</v>
      </c>
      <c r="Q3" s="109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>+U3+1</f>
        <v>22</v>
      </c>
      <c r="W3" s="107">
        <f t="shared" si="0"/>
        <v>23</v>
      </c>
      <c r="X3" s="107">
        <f t="shared" si="0"/>
        <v>24</v>
      </c>
      <c r="Y3" s="109">
        <f t="shared" ref="Y3" si="13">+X3+1</f>
        <v>25</v>
      </c>
      <c r="Z3" s="109">
        <f t="shared" ref="Z3" si="14">+Y3+1</f>
        <v>26</v>
      </c>
      <c r="AA3" s="109">
        <f t="shared" ref="AA3" si="15">+Z3+1</f>
        <v>27</v>
      </c>
      <c r="AB3" s="109">
        <f t="shared" ref="AB3" si="16">+AA3+1</f>
        <v>28</v>
      </c>
      <c r="AC3" s="109">
        <f t="shared" ref="AC3" si="17">+AB3+1</f>
        <v>29</v>
      </c>
      <c r="AD3" s="109">
        <f t="shared" si="0"/>
        <v>30</v>
      </c>
      <c r="AE3" s="109">
        <f t="shared" si="0"/>
        <v>31</v>
      </c>
      <c r="AF3" s="107">
        <f t="shared" ref="AF3" si="18">+AE3+1</f>
        <v>32</v>
      </c>
      <c r="AG3" s="107">
        <f t="shared" ref="AG3" si="19">+AF3+1</f>
        <v>33</v>
      </c>
      <c r="AH3" s="107">
        <f t="shared" ref="AH3" si="20">+AG3+1</f>
        <v>34</v>
      </c>
      <c r="AI3" s="107">
        <f t="shared" ref="AI3" si="21">+AH3+1</f>
        <v>35</v>
      </c>
      <c r="AJ3" s="107">
        <f t="shared" ref="AJ3" si="22">+AI3+1</f>
        <v>36</v>
      </c>
      <c r="AK3" s="107">
        <f t="shared" ref="AK3" si="23">+AJ3+1</f>
        <v>37</v>
      </c>
      <c r="AL3" s="107">
        <f t="shared" ref="AL3" si="24">+AK3+1</f>
        <v>38</v>
      </c>
      <c r="AM3" s="109">
        <f t="shared" ref="AM3" si="25">+AL3+1</f>
        <v>39</v>
      </c>
      <c r="AN3" s="109">
        <f t="shared" ref="AN3" si="26">+AM3+1</f>
        <v>40</v>
      </c>
      <c r="AO3" s="109">
        <f t="shared" ref="AO3" si="27">+AN3+1</f>
        <v>41</v>
      </c>
      <c r="AP3" s="109">
        <f t="shared" ref="AP3:AQ3" si="28">+AO3+1</f>
        <v>42</v>
      </c>
      <c r="AQ3" s="109">
        <f t="shared" si="28"/>
        <v>43</v>
      </c>
      <c r="AR3" s="109">
        <f t="shared" si="0"/>
        <v>44</v>
      </c>
      <c r="AS3" s="109">
        <f t="shared" si="0"/>
        <v>45</v>
      </c>
      <c r="AT3" s="107">
        <f t="shared" ref="AT3" si="29">+AS3+1</f>
        <v>46</v>
      </c>
      <c r="AU3" s="107">
        <f t="shared" ref="AU3" si="30">+AT3+1</f>
        <v>47</v>
      </c>
      <c r="AV3" s="107">
        <f t="shared" ref="AV3" si="31">+AU3+1</f>
        <v>48</v>
      </c>
      <c r="AW3" s="107">
        <f t="shared" ref="AW3" si="32">+AV3+1</f>
        <v>49</v>
      </c>
      <c r="AX3" s="107">
        <f t="shared" ref="AX3" si="33">+AW3+1</f>
        <v>50</v>
      </c>
      <c r="AY3" s="107">
        <f t="shared" si="0"/>
        <v>51</v>
      </c>
      <c r="AZ3" s="107">
        <f t="shared" si="0"/>
        <v>52</v>
      </c>
      <c r="BA3" s="109">
        <f t="shared" ref="BA3" si="34">+AZ3+1</f>
        <v>53</v>
      </c>
      <c r="BB3" s="109">
        <f t="shared" ref="BB3" si="35">+BA3+1</f>
        <v>54</v>
      </c>
      <c r="BC3" s="109">
        <f t="shared" ref="BC3" si="36">+BB3+1</f>
        <v>55</v>
      </c>
      <c r="BD3" s="109">
        <f t="shared" ref="BD3" si="37">+BC3+1</f>
        <v>56</v>
      </c>
      <c r="BE3" s="109">
        <f t="shared" ref="BE3" si="38">+BD3+1</f>
        <v>57</v>
      </c>
      <c r="BF3" s="109">
        <f t="shared" si="0"/>
        <v>58</v>
      </c>
      <c r="BG3" s="109">
        <f t="shared" si="0"/>
        <v>59</v>
      </c>
      <c r="BH3" s="107">
        <f t="shared" ref="BH3" si="39">+BG3+1</f>
        <v>60</v>
      </c>
      <c r="BI3" s="107">
        <f t="shared" ref="BI3" si="40">+BH3+1</f>
        <v>61</v>
      </c>
      <c r="BJ3" s="107">
        <f t="shared" ref="BJ3" si="41">+BI3+1</f>
        <v>62</v>
      </c>
      <c r="BK3" s="107">
        <f t="shared" ref="BK3" si="42">+BJ3+1</f>
        <v>63</v>
      </c>
      <c r="BL3" s="107">
        <f t="shared" ref="BL3" si="43">+BK3+1</f>
        <v>64</v>
      </c>
      <c r="BM3" s="107">
        <f t="shared" si="0"/>
        <v>65</v>
      </c>
      <c r="BN3" s="107">
        <f t="shared" si="0"/>
        <v>66</v>
      </c>
      <c r="BO3" s="109">
        <f t="shared" ref="BO3" si="44">+BN3+1</f>
        <v>67</v>
      </c>
      <c r="BP3" s="109">
        <f t="shared" ref="BP3" si="45">+BO3+1</f>
        <v>68</v>
      </c>
      <c r="BQ3" s="109">
        <f t="shared" ref="BQ3" si="46">+BP3+1</f>
        <v>69</v>
      </c>
      <c r="BR3" s="109">
        <f t="shared" ref="BR3" si="47">+BQ3+1</f>
        <v>70</v>
      </c>
      <c r="BS3" s="109">
        <f>+BN3+1</f>
        <v>67</v>
      </c>
      <c r="BT3" s="109">
        <f t="shared" si="0"/>
        <v>68</v>
      </c>
      <c r="BU3" s="109">
        <f t="shared" si="0"/>
        <v>69</v>
      </c>
      <c r="BV3" s="107">
        <f t="shared" ref="BV3" si="48">+BU3+1</f>
        <v>70</v>
      </c>
      <c r="BW3" s="107">
        <f t="shared" ref="BW3" si="49">+BV3+1</f>
        <v>71</v>
      </c>
      <c r="BX3" s="107">
        <f t="shared" ref="BX3" si="50">+BW3+1</f>
        <v>72</v>
      </c>
      <c r="BY3" s="107">
        <f t="shared" ref="BY3" si="51">+BX3+1</f>
        <v>73</v>
      </c>
      <c r="BZ3" s="107">
        <f t="shared" ref="BZ3" si="52">+BY3+1</f>
        <v>74</v>
      </c>
      <c r="CA3" s="107">
        <f t="shared" si="0"/>
        <v>75</v>
      </c>
      <c r="CB3" s="107">
        <f t="shared" si="0"/>
        <v>76</v>
      </c>
      <c r="CC3" s="109">
        <f t="shared" si="0"/>
        <v>77</v>
      </c>
      <c r="CD3" s="109">
        <f t="shared" si="0"/>
        <v>78</v>
      </c>
      <c r="CE3" s="109">
        <f t="shared" si="0"/>
        <v>79</v>
      </c>
    </row>
    <row r="5" spans="1:83" x14ac:dyDescent="0.3">
      <c r="A5" s="43">
        <v>300</v>
      </c>
      <c r="B5" s="44" t="s">
        <v>0</v>
      </c>
      <c r="C5" s="44">
        <f>+'2021 Nto driftsutg'!W5</f>
        <v>696108</v>
      </c>
      <c r="D5" s="59">
        <f>IF('2021 Lønnsgr pensjon tjeneste'!D5&lt;100,0,(C5/$C$17)*'2021 Revekting utgiftsbehov'!D5*'2021 Pensjon tjeneste'!D5/'2021 Lønnsgr pensjon tjeneste'!D5)</f>
        <v>1.1210506963265235E-2</v>
      </c>
      <c r="E5" s="5">
        <f>IF('2021 Lønnsgr pensjon tjeneste'!D5&lt;100,0,C5)</f>
        <v>696108</v>
      </c>
      <c r="F5" s="59">
        <f>'2021 Revekting utgiftsbehov'!D5*E5/$E$17</f>
        <v>9.0196382698589025E-2</v>
      </c>
      <c r="G5" s="59">
        <f>'2021 Revekting utgiftsbehov'!D5/$F$17</f>
        <v>0.69992741789630675</v>
      </c>
      <c r="H5" s="59">
        <f>IF(E5=0,0,(E5/$E$17)*G5*'2021 Pensjon tjeneste'!D5/'2021 Lønnsgr pensjon tjeneste'!D5)</f>
        <v>1.121050696432725E-2</v>
      </c>
      <c r="I5" s="5">
        <f>IF(E5=0,0,'2021 Nto driftsutg landet'!$C$5*'2021 Lønnsand og pensjon land'!$D$6*('2021 Pensjon tjeneste'!D5/'2021 Lønnsgr pensjon tjeneste'!D5-$H$17)*'2021 Revekting utgiftsbehov'!D5)</f>
        <v>24.094405752098378</v>
      </c>
      <c r="J5" s="5">
        <f>I5*C5/1000</f>
        <v>16772.3085992817</v>
      </c>
      <c r="K5" s="59">
        <f>IF('2021 Lønnsgr pensjon tjeneste'!E5&lt;100,0,(C5/$C$17)*'2021 Revekting utgiftsbehov'!E5*'2021 Pensjon tjeneste'!E5/'2021 Lønnsgr pensjon tjeneste'!E5)</f>
        <v>0</v>
      </c>
      <c r="L5" s="5">
        <f>IF('2021 Lønnsgr pensjon tjeneste'!E5&lt;100,0,C5)</f>
        <v>0</v>
      </c>
      <c r="M5" s="59">
        <f>'2021 Revekting utgiftsbehov'!E5*L5/$L$17</f>
        <v>0</v>
      </c>
      <c r="N5" s="59">
        <f>'2021 Revekting utgiftsbehov'!E5/$M$17</f>
        <v>0.24677203184358656</v>
      </c>
      <c r="O5" s="59">
        <f>IF(L5=0,0,(L5/$L$17)*N5*'2021 Pensjon tjeneste'!E5/'2021 Lønnsgr pensjon tjeneste'!E5)</f>
        <v>0</v>
      </c>
      <c r="P5" s="5">
        <f>IF(L5=0,0,'2021 Nto driftsutg landet'!$C$6*'2021 Lønnsand og pensjon land'!$D$7*('2021 Pensjon tjeneste'!E5/'2021 Lønnsgr pensjon tjeneste'!E5-$O$17)*'2021 Revekting utgiftsbehov'!E5)</f>
        <v>0</v>
      </c>
      <c r="Q5" s="5">
        <f>P5*C5/1000</f>
        <v>0</v>
      </c>
      <c r="R5" s="59">
        <f>IF('2021 Lønnsgr pensjon tjeneste'!F5&lt;100,0,(C5/$C$17)*'2021 Revekting utgiftsbehov'!F5*'2021 Pensjon tjeneste'!F5/'2021 Lønnsgr pensjon tjeneste'!F5)</f>
        <v>5.3656404000256272E-2</v>
      </c>
      <c r="S5" s="5">
        <f>IF('2021 Lønnsgr pensjon tjeneste'!F5&lt;100,0,C5)</f>
        <v>696108</v>
      </c>
      <c r="T5" s="59">
        <f>'2021 Revekting utgiftsbehov'!F5*S5/$S$17</f>
        <v>0.22379765087286374</v>
      </c>
      <c r="U5" s="59">
        <f>'2021 Revekting utgiftsbehov'!F5/$T$17</f>
        <v>1.7366784233334505</v>
      </c>
      <c r="V5" s="59">
        <f>IF(S5=0,0,(S5/$S$17)*U5*'2021 Pensjon tjeneste'!F5/'2021 Lønnsgr pensjon tjeneste'!F5)</f>
        <v>5.3656403932947828E-2</v>
      </c>
      <c r="W5" s="5">
        <f>IF(S5=0,0,'2021 Nto driftsutg landet'!$C$7*'2021 Lønnsand og pensjon land'!$D$8*('2021 Pensjon tjeneste'!F5/'2021 Lønnsgr pensjon tjeneste'!F5-$V$17)*'2021 Revekting utgiftsbehov'!F5)</f>
        <v>1.3140755403573763</v>
      </c>
      <c r="X5" s="5">
        <f>W5*C5/1000</f>
        <v>914.73849624709248</v>
      </c>
      <c r="Y5" s="59">
        <f>IF('2021 Lønnsgr pensjon tjeneste'!G5&lt;100,0,(C5/$C$17)*'2021 Revekting utgiftsbehov'!G5*'2021 Pensjon tjeneste'!G5/'2021 Lønnsgr pensjon tjeneste'!G5)</f>
        <v>0</v>
      </c>
      <c r="Z5" s="5">
        <f>IF('2021 Lønnsgr pensjon tjeneste'!G5&lt;100,0,C5)</f>
        <v>0</v>
      </c>
      <c r="AA5" s="59">
        <f>'2021 Revekting utgiftsbehov'!G5*Z5/$Z$17</f>
        <v>0</v>
      </c>
      <c r="AB5" s="59">
        <f>'2021 Revekting utgiftsbehov'!G5/$AA$17</f>
        <v>7.8219235279660044E-4</v>
      </c>
      <c r="AC5" s="59">
        <f>IF(Z5=0,0,(Z5/$Z$17)*AB5*'2021 Pensjon tjeneste'!G5/'2021 Lønnsgr pensjon tjeneste'!G5)</f>
        <v>0</v>
      </c>
      <c r="AD5" s="5">
        <f>IF(Z5=0,0,'2021 Nto driftsutg landet'!$C$8*'2021 Lønnsand og pensjon land'!$D$9*('2021 Pensjon tjeneste'!G5/'2021 Lønnsgr pensjon tjeneste'!G5-$AC$17)*'2021 Revekting utgiftsbehov'!G5)</f>
        <v>0</v>
      </c>
      <c r="AE5" s="5">
        <f>+AD5*$C5/1000</f>
        <v>0</v>
      </c>
      <c r="AF5" s="59">
        <f>IF('2021 Lønnsgr pensjon tjeneste'!H5&lt;100,0,(C5/$C$17)*'2021 Revekting utgiftsbehov'!H5*'2021 Pensjon tjeneste'!H5/'2021 Lønnsgr pensjon tjeneste'!H5)</f>
        <v>3.6991332858391381E-2</v>
      </c>
      <c r="AG5" s="5">
        <f>IF('2021 Lønnsgr pensjon tjeneste'!H5&lt;100,0,C5)</f>
        <v>696108</v>
      </c>
      <c r="AH5" s="59">
        <f>'2021 Revekting utgiftsbehov'!H5*AG5/$AG$17</f>
        <v>0.1111006656179479</v>
      </c>
      <c r="AI5" s="59">
        <f>'2021 Revekting utgiftsbehov'!H5/$AH$17</f>
        <v>0.86214546110378132</v>
      </c>
      <c r="AJ5" s="59">
        <f>IF(AG5=0,0,(AG5/$AG$17)*AI5*'2021 Pensjon tjeneste'!H5/'2021 Lønnsgr pensjon tjeneste'!H5)</f>
        <v>3.699133283289574E-2</v>
      </c>
      <c r="AK5" s="5">
        <f>IF(AG5=0,0,'2021 Nto driftsutg landet'!$C$9*'2021 Lønnsand og pensjon land'!$D$10*('2021 Pensjon tjeneste'!H5/'2021 Lønnsgr pensjon tjeneste'!H5-$AJ$17)*'2021 Revekting utgiftsbehov'!H5)</f>
        <v>28.522998842229764</v>
      </c>
      <c r="AL5" s="5">
        <f>+AK5*$C5/1000</f>
        <v>19855.087678066877</v>
      </c>
      <c r="AM5" s="59">
        <f>IF('2021 Lønnsgr pensjon tjeneste'!K5&lt;100,0,(C5/$C$17)*'2021 Pensjon tjeneste'!K5/'2021 Lønnsgr pensjon tjeneste'!K5)</f>
        <v>1.4103657457852163E-2</v>
      </c>
      <c r="AN5" s="5">
        <f>IF('2021 Lønnsgr pensjon tjeneste'!K5&lt;100,0,C5)</f>
        <v>696108</v>
      </c>
      <c r="AO5" s="59">
        <f t="shared" ref="AO5:AO15" si="53">AN5/$AN$17</f>
        <v>0.12886533717771309</v>
      </c>
      <c r="AP5" s="59">
        <f t="shared" ref="AP5:AP15" si="54">1/$AH$17</f>
        <v>0.99999999931076733</v>
      </c>
      <c r="AQ5" s="59">
        <f>IF(AN5=0,0,(AN5/$AN$17)*AP5*'2021 Pensjon tjeneste'!K5/'2021 Lønnsgr pensjon tjeneste'!K5)</f>
        <v>1.4103657448131459E-2</v>
      </c>
      <c r="AR5" s="5">
        <f>IF(AN5=0,0,'2021 Nto driftsutg landet'!$C$23*'2021 Lønnsand og pensjon land'!$D$13*('2021 Pensjon tjeneste'!K5/'2021 Lønnsgr pensjon tjeneste'!K5-$AQ$17))</f>
        <v>-74.97139445973788</v>
      </c>
      <c r="AS5" s="5">
        <f>+AR5*$C5/1000</f>
        <v>-52188.187454579216</v>
      </c>
      <c r="AT5" s="59">
        <f>IF('2021 Lønnsgr pensjon tjeneste'!L5&lt;100,0,(C5/$C$17)*'2021 Pensjon tjeneste'!L5/'2021 Lønnsgr pensjon tjeneste'!L5)</f>
        <v>0</v>
      </c>
      <c r="AU5" s="5">
        <f>IF('2021 Lønnsgr pensjon tjeneste'!L5&lt;100,0,C5)</f>
        <v>0</v>
      </c>
      <c r="AV5" s="59">
        <f t="shared" ref="AV5:AV15" si="55">AU5/$AU$17</f>
        <v>0</v>
      </c>
      <c r="AW5" s="59">
        <f t="shared" ref="AW5:AW15" si="56">1/$AV$17</f>
        <v>1</v>
      </c>
      <c r="AX5" s="59">
        <f>IF(AU5=0,0,(AU5/$AU$17)*AW5*'2021 Pensjon tjeneste'!L5/'2021 Lønnsgr pensjon tjeneste'!L5)</f>
        <v>0</v>
      </c>
      <c r="AY5" s="5">
        <f>IF(AU5=0,0,'2021 Nto driftsutg landet'!$C$24*'2021 Lønnsand og pensjon land'!$D$14*('2021 Pensjon tjeneste'!L5/'2021 Lønnsgr pensjon tjeneste'!L5-$AX$17))</f>
        <v>0</v>
      </c>
      <c r="AZ5" s="5">
        <f>+AY5*$C5/1000</f>
        <v>0</v>
      </c>
      <c r="BA5" s="59">
        <f>IF('2021 Lønnsgr pensjon tjeneste'!M5&lt;100,0,(C5/$C$17)*'2021 Pensjon tjeneste'!M5/'2021 Lønnsgr pensjon tjeneste'!M5)</f>
        <v>0</v>
      </c>
      <c r="BB5" s="5">
        <f>IF('2021 Lønnsgr pensjon tjeneste'!M5&lt;100,0,C5)</f>
        <v>0</v>
      </c>
      <c r="BC5" s="59">
        <f t="shared" ref="BC5:BC15" si="57">BB5/$BB$17</f>
        <v>0</v>
      </c>
      <c r="BD5" s="59">
        <f t="shared" ref="BD5:BD15" si="58">1/$BC$17</f>
        <v>1</v>
      </c>
      <c r="BE5" s="59">
        <f>IF(BB5=0,0,(BB5/$BB$17)*BD5*'2021 Pensjon tjeneste'!M5/'2021 Lønnsgr pensjon tjeneste'!M5)</f>
        <v>0</v>
      </c>
      <c r="BF5" s="5">
        <f>IF(BB5=0,0,'2021 Nto driftsutg landet'!$C$25*'2021 Lønnsand og pensjon land'!$D$15*('2021 Pensjon tjeneste'!M5/'2021 Lønnsgr pensjon tjeneste'!M5-$BE$17))</f>
        <v>0</v>
      </c>
      <c r="BG5" s="5">
        <f>+BF5*$C5/1000</f>
        <v>0</v>
      </c>
      <c r="BH5" s="59">
        <f>IF('2021 Lønnsgr pensjon tjeneste'!N5&lt;100,0,(C5/$C$17)*'2021 Pensjon tjeneste'!N5/'2021 Lønnsgr pensjon tjeneste'!N5)</f>
        <v>4.0954255152586883E-2</v>
      </c>
      <c r="BI5" s="5">
        <f>IF('2021 Lønnsgr pensjon tjeneste'!N5&lt;100,0,C5)</f>
        <v>696108</v>
      </c>
      <c r="BJ5" s="59">
        <f t="shared" ref="BJ5:BJ15" si="59">BI5/$BI$17</f>
        <v>0.12886533717771309</v>
      </c>
      <c r="BK5" s="59">
        <f t="shared" ref="BK5:BK15" si="60">1/$BJ$17</f>
        <v>1</v>
      </c>
      <c r="BL5" s="59">
        <f>IF(BI5=0,0,(BI5/$BI$17)*BK5*'2021 Pensjon tjeneste'!N5/'2021 Lønnsgr pensjon tjeneste'!N5)</f>
        <v>4.0954255152586883E-2</v>
      </c>
      <c r="BM5" s="5">
        <f>IF(BI5=0,0,'2021 Nto driftsutg landet'!$C$26*'2021 Lønnsand og pensjon land'!$D$16*('2021 Pensjon tjeneste'!N5/'2021 Lønnsgr pensjon tjeneste'!N5-$BL$17))</f>
        <v>3.1856485350075388</v>
      </c>
      <c r="BN5" s="5">
        <f>+BM5*$C5/1000</f>
        <v>2217.5554304070279</v>
      </c>
      <c r="BO5" s="59">
        <f>IF('2021 Lønnsgr pensjon tjeneste'!O5&lt;100,0,(C5/$C$17)*'2021 Pensjon tjeneste'!O5/'2021 Lønnsgr pensjon tjeneste'!O5)</f>
        <v>0</v>
      </c>
      <c r="BP5" s="5">
        <f>IF('2021 Lønnsgr pensjon tjeneste'!O5&lt;100,0,C5)</f>
        <v>0</v>
      </c>
      <c r="BQ5" s="59">
        <f t="shared" ref="BQ5:BQ15" si="61">BP5/$BP$17</f>
        <v>0</v>
      </c>
      <c r="BR5" s="59">
        <f t="shared" ref="BR5:BR15" si="62">1/$BQ$17</f>
        <v>1</v>
      </c>
      <c r="BS5" s="59">
        <f>IF(BP5=0,0,(BP5/$BP$17)*BR5*'2021 Pensjon tjeneste'!O5/'2021 Lønnsgr pensjon tjeneste'!O5)</f>
        <v>0</v>
      </c>
      <c r="BT5" s="5">
        <f>IF(BP5=0,0,'2021 Nto driftsutg landet'!$C$27*'2021 Lønnsand og pensjon land'!$D$17*('2021 Pensjon tjeneste'!O5/'2021 Lønnsgr pensjon tjeneste'!O5-$BS$17))</f>
        <v>0</v>
      </c>
      <c r="BU5" s="5">
        <f>+BT5*$C5/1000</f>
        <v>0</v>
      </c>
      <c r="BV5" s="59">
        <f>IF('2021 Lønnsgr pensjon tjeneste'!P5&lt;100,0,(C5/$C$17)*'2021 Pensjon tjeneste'!P5/'2021 Lønnsgr pensjon tjeneste'!P5)</f>
        <v>0</v>
      </c>
      <c r="BW5" s="5">
        <f>IF('2021 Lønnsgr pensjon tjeneste'!P5&lt;100,0,C5)</f>
        <v>0</v>
      </c>
      <c r="BX5" s="59">
        <f t="shared" ref="BX5:BX15" si="63">BW5/$BW$17</f>
        <v>0</v>
      </c>
      <c r="BY5" s="59">
        <f t="shared" ref="BY5:BY15" si="64">1/$BX$17</f>
        <v>1</v>
      </c>
      <c r="BZ5" s="59">
        <f>IF(BW5=0,0,(BW5/$BW$17)*BY5*'2021 Pensjon tjeneste'!P5/'2021 Lønnsgr pensjon tjeneste'!P5)</f>
        <v>0</v>
      </c>
      <c r="CA5" s="5">
        <f>IF(BW5=0,0,'2021 Nto driftsutg landet'!$C$28*'2021 Lønnsand og pensjon land'!$D$18*('2021 Pensjon tjeneste'!P5/'2021 Lønnsgr pensjon tjeneste'!P5-$BZ$17))</f>
        <v>0</v>
      </c>
      <c r="CB5" s="5">
        <f>+CA5*$C5/1000</f>
        <v>0</v>
      </c>
      <c r="CC5" s="5"/>
      <c r="CD5" s="5"/>
      <c r="CE5" s="5"/>
    </row>
    <row r="6" spans="1:83" x14ac:dyDescent="0.3">
      <c r="A6" s="43">
        <v>1100</v>
      </c>
      <c r="B6" s="44" t="s">
        <v>141</v>
      </c>
      <c r="C6" s="44">
        <f>+'2021 Nto driftsutg'!W6</f>
        <v>484091</v>
      </c>
      <c r="D6" s="59">
        <f>IF('2021 Lønnsgr pensjon tjeneste'!D6&lt;100,0,(C6/$C$17)*'2021 Revekting utgiftsbehov'!D6*'2021 Pensjon tjeneste'!D6/'2021 Lønnsgr pensjon tjeneste'!D6)</f>
        <v>1.1272360771648527E-2</v>
      </c>
      <c r="E6" s="5">
        <f>IF('2021 Lønnsgr pensjon tjeneste'!D6&lt;100,0,C6)</f>
        <v>484091</v>
      </c>
      <c r="F6" s="59">
        <f>'2021 Revekting utgiftsbehov'!D6*E6/$E$17</f>
        <v>9.5649108947929912E-2</v>
      </c>
      <c r="G6" s="59">
        <f>'2021 Revekting utgiftsbehov'!D6/$F$17</f>
        <v>1.0673194667771111</v>
      </c>
      <c r="H6" s="59">
        <f>IF(E6=0,0,(E6/$E$17)*G6*'2021 Pensjon tjeneste'!D6/'2021 Lønnsgr pensjon tjeneste'!D6)</f>
        <v>1.1272360772716398E-2</v>
      </c>
      <c r="I6" s="5">
        <f>IF(E6=0,0,'2021 Nto driftsutg landet'!$C$5*'2021 Lønnsand og pensjon land'!$D$6*('2021 Pensjon tjeneste'!D6/'2021 Lønnsgr pensjon tjeneste'!D6-$H$17)*'2021 Revekting utgiftsbehov'!D6)</f>
        <v>13.289678688578928</v>
      </c>
      <c r="J6" s="5">
        <f>I6*C6/1000</f>
        <v>6433.4138460328613</v>
      </c>
      <c r="K6" s="59">
        <f>IF('2021 Lønnsgr pensjon tjeneste'!E6&lt;100,0,(C6/$C$17)*'2021 Revekting utgiftsbehov'!E6*'2021 Pensjon tjeneste'!E6/'2021 Lønnsgr pensjon tjeneste'!E6)</f>
        <v>1.3690365684085083E-2</v>
      </c>
      <c r="L6" s="5">
        <f>IF('2021 Lønnsgr pensjon tjeneste'!E6&lt;100,0,C6)</f>
        <v>484091</v>
      </c>
      <c r="M6" s="59">
        <f>'2021 Revekting utgiftsbehov'!E6*L6/$L$17</f>
        <v>8.4167334080264347E-2</v>
      </c>
      <c r="N6" s="59">
        <f>'2021 Revekting utgiftsbehov'!E6/$M$17</f>
        <v>0.73875233655710504</v>
      </c>
      <c r="O6" s="59">
        <f>IF(L6=0,0,(L6/$L$17)*N6*'2021 Pensjon tjeneste'!E6/'2021 Lønnsgr pensjon tjeneste'!E6)</f>
        <v>1.4190126042524029E-2</v>
      </c>
      <c r="P6" s="5">
        <f>IF(L6=0,0,'2021 Nto driftsutg landet'!$C$6*'2021 Lønnsand og pensjon land'!$D$7*('2021 Pensjon tjeneste'!E6/'2021 Lønnsgr pensjon tjeneste'!E6-$O$17)*'2021 Revekting utgiftsbehov'!E6)</f>
        <v>-13.203253622619862</v>
      </c>
      <c r="Q6" s="5">
        <f t="shared" ref="Q6:Q15" si="65">P6*C6/1000</f>
        <v>-6391.5762494276714</v>
      </c>
      <c r="R6" s="59">
        <f>IF('2021 Lønnsgr pensjon tjeneste'!F6&lt;100,0,(C6/$C$17)*'2021 Revekting utgiftsbehov'!F6*'2021 Pensjon tjeneste'!F6/'2021 Lønnsgr pensjon tjeneste'!F6)</f>
        <v>2.0625660487802421E-2</v>
      </c>
      <c r="S6" s="5">
        <f>IF('2021 Lønnsgr pensjon tjeneste'!F6&lt;100,0,C6)</f>
        <v>484091</v>
      </c>
      <c r="T6" s="59">
        <f>'2021 Revekting utgiftsbehov'!F6*S6/$S$17</f>
        <v>9.1853220285943643E-2</v>
      </c>
      <c r="U6" s="59">
        <f>'2021 Revekting utgiftsbehov'!F6/$T$17</f>
        <v>1.0249622923142516</v>
      </c>
      <c r="V6" s="59">
        <f>IF(S6=0,0,(S6/$S$17)*U6*'2021 Pensjon tjeneste'!F6/'2021 Lønnsgr pensjon tjeneste'!F6)</f>
        <v>2.0625660461928878E-2</v>
      </c>
      <c r="W6" s="5">
        <f>IF(S6=0,0,'2021 Nto driftsutg landet'!$C$7*'2021 Lønnsand og pensjon land'!$D$8*('2021 Pensjon tjeneste'!F6/'2021 Lønnsgr pensjon tjeneste'!F6-$V$17)*'2021 Revekting utgiftsbehov'!F6)</f>
        <v>0.23638329564305194</v>
      </c>
      <c r="X6" s="5">
        <f t="shared" ref="X6:X15" si="66">W6*C6/1000</f>
        <v>114.43102597114066</v>
      </c>
      <c r="Y6" s="59">
        <f>IF('2021 Lønnsgr pensjon tjeneste'!G6&lt;100,0,(C6/$C$17)*'2021 Revekting utgiftsbehov'!G6*'2021 Pensjon tjeneste'!G6/'2021 Lønnsgr pensjon tjeneste'!G6)</f>
        <v>1.4936516599820978E-2</v>
      </c>
      <c r="Z6" s="5">
        <f>IF('2021 Lønnsgr pensjon tjeneste'!G6&lt;100,0,C6)</f>
        <v>484091</v>
      </c>
      <c r="AA6" s="59">
        <f>'2021 Revekting utgiftsbehov'!G6*Z6/$Z$17</f>
        <v>0.17084940818291894</v>
      </c>
      <c r="AB6" s="59">
        <f>'2021 Revekting utgiftsbehov'!G6/$AA$17</f>
        <v>0.49973065485040241</v>
      </c>
      <c r="AC6" s="59">
        <f>IF(Z6=0,0,(Z6/$Z$17)*AB6*'2021 Pensjon tjeneste'!G6/'2021 Lønnsgr pensjon tjeneste'!G6)</f>
        <v>2.0122690432848245E-2</v>
      </c>
      <c r="AD6" s="5">
        <f>IF(Z6=0,0,'2021 Nto driftsutg landet'!$C$8*'2021 Lønnsand og pensjon land'!$D$9*('2021 Pensjon tjeneste'!G6/'2021 Lønnsgr pensjon tjeneste'!G6-$AC$17)*'2021 Revekting utgiftsbehov'!G6)</f>
        <v>4.2212647856531586E-3</v>
      </c>
      <c r="AE6" s="5">
        <f t="shared" ref="AE6:AE15" si="67">+AD6*$C6/1000</f>
        <v>2.0434762913516229</v>
      </c>
      <c r="AF6" s="59">
        <f>IF('2021 Lønnsgr pensjon tjeneste'!H6&lt;100,0,(C6/$C$17)*'2021 Revekting utgiftsbehov'!H6*'2021 Pensjon tjeneste'!H6/'2021 Lønnsgr pensjon tjeneste'!H6)</f>
        <v>2.0305244747486025E-2</v>
      </c>
      <c r="AG6" s="5">
        <f>IF('2021 Lønnsgr pensjon tjeneste'!H6&lt;100,0,C6)</f>
        <v>484091</v>
      </c>
      <c r="AH6" s="59">
        <f>'2021 Revekting utgiftsbehov'!H6*AG6/$AG$17</f>
        <v>9.6840658909156732E-2</v>
      </c>
      <c r="AI6" s="59">
        <f>'2021 Revekting utgiftsbehov'!H6/$AH$17</f>
        <v>1.0806156114272043</v>
      </c>
      <c r="AJ6" s="59">
        <f>IF(AG6=0,0,(AG6/$AG$17)*AI6*'2021 Pensjon tjeneste'!H6/'2021 Lønnsgr pensjon tjeneste'!H6)</f>
        <v>2.0305244733490987E-2</v>
      </c>
      <c r="AK6" s="5">
        <f>IF(AG6=0,0,'2021 Nto driftsutg landet'!$C$9*'2021 Lønnsand og pensjon land'!$D$10*('2021 Pensjon tjeneste'!H6/'2021 Lønnsgr pensjon tjeneste'!H6-$AJ$17)*'2021 Revekting utgiftsbehov'!H6)</f>
        <v>0.35987184045801529</v>
      </c>
      <c r="AL6" s="5">
        <f t="shared" ref="AL6:AL15" si="68">+AK6*$C6/1000</f>
        <v>174.21071911916107</v>
      </c>
      <c r="AM6" s="59">
        <f>IF('2021 Lønnsgr pensjon tjeneste'!K6&lt;100,0,(C6/$C$17)*'2021 Pensjon tjeneste'!K6/'2021 Lønnsgr pensjon tjeneste'!K6)</f>
        <v>1.6429619959465031E-2</v>
      </c>
      <c r="AN6" s="5">
        <f>IF('2021 Lønnsgr pensjon tjeneste'!K6&lt;100,0,C6)</f>
        <v>484091</v>
      </c>
      <c r="AO6" s="59">
        <f t="shared" si="53"/>
        <v>8.9616194526849727E-2</v>
      </c>
      <c r="AP6" s="59">
        <f t="shared" si="54"/>
        <v>0.99999999931076733</v>
      </c>
      <c r="AQ6" s="59">
        <f>IF(AN6=0,0,(AN6/$AN$17)*AP6*'2021 Pensjon tjeneste'!K6/'2021 Lønnsgr pensjon tjeneste'!K6)</f>
        <v>1.64296199481412E-2</v>
      </c>
      <c r="AR6" s="5">
        <f>IF(AN6=0,0,'2021 Nto driftsutg landet'!$C$23*'2021 Lønnsand og pensjon land'!$D$13*('2021 Pensjon tjeneste'!K6/'2021 Lønnsgr pensjon tjeneste'!K6-$AQ$17))</f>
        <v>-51.398824805549715</v>
      </c>
      <c r="AS6" s="5">
        <f t="shared" ref="AS6:AS15" si="69">+AR6*$C6/1000</f>
        <v>-24881.708498943368</v>
      </c>
      <c r="AT6" s="59">
        <f>IF('2021 Lønnsgr pensjon tjeneste'!L6&lt;100,0,(C6/$C$17)*'2021 Pensjon tjeneste'!L6/'2021 Lønnsgr pensjon tjeneste'!L6)</f>
        <v>1.8100275710945718E-2</v>
      </c>
      <c r="AU6" s="5">
        <f>IF('2021 Lønnsgr pensjon tjeneste'!L6&lt;100,0,C6)</f>
        <v>484091</v>
      </c>
      <c r="AV6" s="59">
        <f>AU6/$AU$17</f>
        <v>0.10287295219835788</v>
      </c>
      <c r="AW6" s="59">
        <f t="shared" si="56"/>
        <v>1</v>
      </c>
      <c r="AX6" s="59">
        <f>IF(AU6=0,0,(AU6/$AU$17)*AW6*'2021 Pensjon tjeneste'!L6/'2021 Lønnsgr pensjon tjeneste'!L6)</f>
        <v>2.0777815971993078E-2</v>
      </c>
      <c r="AY6" s="5">
        <f>IF(AU6=0,0,'2021 Nto driftsutg landet'!$C$24*'2021 Lønnsand og pensjon land'!$D$14*('2021 Pensjon tjeneste'!L6/'2021 Lønnsgr pensjon tjeneste'!L6-$AX$17))</f>
        <v>0.72434773578148592</v>
      </c>
      <c r="AZ6" s="5">
        <f t="shared" ref="AZ6:AZ15" si="70">+AY6*$C6/1000</f>
        <v>350.65021976219532</v>
      </c>
      <c r="BA6" s="59">
        <f>IF('2021 Lønnsgr pensjon tjeneste'!M6&lt;100,0,(C6/$C$17)*'2021 Pensjon tjeneste'!M6/'2021 Lønnsgr pensjon tjeneste'!M6)</f>
        <v>1.8720525363103393E-2</v>
      </c>
      <c r="BB6" s="5">
        <f>IF('2021 Lønnsgr pensjon tjeneste'!M6&lt;100,0,C6)</f>
        <v>484091</v>
      </c>
      <c r="BC6" s="59">
        <f t="shared" si="57"/>
        <v>0.10287295219835788</v>
      </c>
      <c r="BD6" s="59">
        <f t="shared" si="58"/>
        <v>1</v>
      </c>
      <c r="BE6" s="59">
        <f>IF(BB6=0,0,(BB6/$BB$17)*BD6*'2021 Pensjon tjeneste'!M6/'2021 Lønnsgr pensjon tjeneste'!M6)</f>
        <v>2.1489818006383724E-2</v>
      </c>
      <c r="BF6" s="5">
        <f>IF(BB6=0,0,'2021 Nto driftsutg landet'!$C$25*'2021 Lønnsand og pensjon land'!$D$15*('2021 Pensjon tjeneste'!M6/'2021 Lønnsgr pensjon tjeneste'!M6-$BE$17))</f>
        <v>0.13424674967038722</v>
      </c>
      <c r="BG6" s="5">
        <f t="shared" ref="BG6:BG15" si="71">+BF6*$C6/1000</f>
        <v>64.987643294687416</v>
      </c>
      <c r="BH6" s="59">
        <f>IF('2021 Lønnsgr pensjon tjeneste'!N6&lt;100,0,(C6/$C$17)*'2021 Pensjon tjeneste'!N6/'2021 Lønnsgr pensjon tjeneste'!N6)</f>
        <v>1.7224220765343561E-2</v>
      </c>
      <c r="BI6" s="5">
        <f>IF('2021 Lønnsgr pensjon tjeneste'!N6&lt;100,0,C6)</f>
        <v>484091</v>
      </c>
      <c r="BJ6" s="59">
        <f t="shared" si="59"/>
        <v>8.9616194526849727E-2</v>
      </c>
      <c r="BK6" s="59">
        <f t="shared" si="60"/>
        <v>1</v>
      </c>
      <c r="BL6" s="59">
        <f>IF(BI6=0,0,(BI6/$BI$17)*BK6*'2021 Pensjon tjeneste'!N6/'2021 Lønnsgr pensjon tjeneste'!N6)</f>
        <v>1.7224220765343561E-2</v>
      </c>
      <c r="BM6" s="5">
        <f>IF(BI6=0,0,'2021 Nto driftsutg landet'!$C$26*'2021 Lønnsand og pensjon land'!$D$16*('2021 Pensjon tjeneste'!N6/'2021 Lønnsgr pensjon tjeneste'!N6-$BL$17))</f>
        <v>7.8624069599795302E-2</v>
      </c>
      <c r="BN6" s="5">
        <f t="shared" ref="BN6:BN15" si="72">+BM6*$C6/1000</f>
        <v>38.061204476634508</v>
      </c>
      <c r="BO6" s="59">
        <f>IF('2021 Lønnsgr pensjon tjeneste'!O6&lt;100,0,(C6/$C$17)*'2021 Pensjon tjeneste'!O6/'2021 Lønnsgr pensjon tjeneste'!O6)</f>
        <v>0</v>
      </c>
      <c r="BP6" s="5">
        <f>IF('2021 Lønnsgr pensjon tjeneste'!O6&lt;100,0,C6)</f>
        <v>0</v>
      </c>
      <c r="BQ6" s="59">
        <f t="shared" si="61"/>
        <v>0</v>
      </c>
      <c r="BR6" s="59">
        <f t="shared" si="62"/>
        <v>1</v>
      </c>
      <c r="BS6" s="59">
        <f>IF(BP6=0,0,(BP6/$BP$17)*BR6*'2021 Pensjon tjeneste'!O6/'2021 Lønnsgr pensjon tjeneste'!O6)</f>
        <v>0</v>
      </c>
      <c r="BT6" s="5">
        <f>IF(BP6=0,0,'2021 Nto driftsutg landet'!$C$27*'2021 Lønnsand og pensjon land'!$D$17*('2021 Pensjon tjeneste'!O6/'2021 Lønnsgr pensjon tjeneste'!O6-$BS$17))</f>
        <v>0</v>
      </c>
      <c r="BU6" s="5">
        <f t="shared" ref="BU6:BU15" si="73">+BT6*$C6/1000</f>
        <v>0</v>
      </c>
      <c r="BV6" s="59">
        <f>IF('2021 Lønnsgr pensjon tjeneste'!P6&lt;100,0,(C6/$C$17)*'2021 Pensjon tjeneste'!P6/'2021 Lønnsgr pensjon tjeneste'!P6)</f>
        <v>1.7795913732244074E-2</v>
      </c>
      <c r="BW6" s="5">
        <f>IF('2021 Lønnsgr pensjon tjeneste'!P6&lt;100,0,C6)</f>
        <v>484091</v>
      </c>
      <c r="BX6" s="59">
        <f t="shared" si="63"/>
        <v>0.15878442538879292</v>
      </c>
      <c r="BY6" s="59">
        <f t="shared" si="64"/>
        <v>1</v>
      </c>
      <c r="BZ6" s="59">
        <f>IF(BW6=0,0,(BW6/$BW$17)*BY6*'2021 Pensjon tjeneste'!P6/'2021 Lønnsgr pensjon tjeneste'!P6)</f>
        <v>3.1531286852359008E-2</v>
      </c>
      <c r="CA6" s="5">
        <f>IF(BW6=0,0,'2021 Nto driftsutg landet'!$C$28*'2021 Lønnsand og pensjon land'!$D$18*('2021 Pensjon tjeneste'!P6/'2021 Lønnsgr pensjon tjeneste'!P6-$BZ$17))</f>
        <v>3.3564888447874934E-3</v>
      </c>
      <c r="CB6" s="5">
        <f t="shared" ref="CB6:CB15" si="74">+CA6*$C6/1000</f>
        <v>1.6248460413620223</v>
      </c>
      <c r="CC6" s="5"/>
      <c r="CD6" s="5"/>
      <c r="CE6" s="5"/>
    </row>
    <row r="7" spans="1:83" x14ac:dyDescent="0.3">
      <c r="A7" s="43">
        <v>1500</v>
      </c>
      <c r="B7" s="44" t="s">
        <v>142</v>
      </c>
      <c r="C7" s="44">
        <f>+'2021 Nto driftsutg'!W7</f>
        <v>265297</v>
      </c>
      <c r="D7" s="59">
        <f>IF('2021 Lønnsgr pensjon tjeneste'!D7&lt;100,0,(C7/$C$17)*'2021 Revekting utgiftsbehov'!D7*'2021 Pensjon tjeneste'!D7/'2021 Lønnsgr pensjon tjeneste'!D7)</f>
        <v>6.4041256119419052E-3</v>
      </c>
      <c r="E7" s="5">
        <f>IF('2021 Lønnsgr pensjon tjeneste'!D7&lt;100,0,C7)</f>
        <v>265297</v>
      </c>
      <c r="F7" s="59">
        <f>'2021 Revekting utgiftsbehov'!D7*E7/$E$17</f>
        <v>5.4771655641091953E-2</v>
      </c>
      <c r="G7" s="59">
        <f>'2021 Revekting utgiftsbehov'!D7/$F$17</f>
        <v>1.1152289651276499</v>
      </c>
      <c r="H7" s="59">
        <f>IF(E7=0,0,(E7/$E$17)*G7*'2021 Pensjon tjeneste'!D7/'2021 Lønnsgr pensjon tjeneste'!D7)</f>
        <v>6.4041256125485935E-3</v>
      </c>
      <c r="I7" s="5">
        <f>IF(E7=0,0,'2021 Nto driftsutg landet'!$C$5*'2021 Lønnsand og pensjon land'!$D$6*('2021 Pensjon tjeneste'!D7/'2021 Lønnsgr pensjon tjeneste'!D7-$H$17)*'2021 Revekting utgiftsbehov'!D7)</f>
        <v>10.357887770222966</v>
      </c>
      <c r="J7" s="5">
        <f t="shared" ref="J7:J15" si="75">I7*C7/1000</f>
        <v>2747.9165517768424</v>
      </c>
      <c r="K7" s="59">
        <f>IF('2021 Lønnsgr pensjon tjeneste'!E7&lt;100,0,(C7/$C$17)*'2021 Revekting utgiftsbehov'!E7*'2021 Pensjon tjeneste'!E7/'2021 Lønnsgr pensjon tjeneste'!E7)</f>
        <v>4.1335283602405445E-2</v>
      </c>
      <c r="L7" s="5">
        <f>IF('2021 Lønnsgr pensjon tjeneste'!E7&lt;100,0,C7)</f>
        <v>265297</v>
      </c>
      <c r="M7" s="59">
        <f>'2021 Revekting utgiftsbehov'!E7*L7/$L$17</f>
        <v>8.2249549104657108E-2</v>
      </c>
      <c r="N7" s="59">
        <f>'2021 Revekting utgiftsbehov'!E7/$M$17</f>
        <v>1.3172963586134345</v>
      </c>
      <c r="O7" s="59">
        <f>IF(L7=0,0,(L7/$L$17)*N7*'2021 Pensjon tjeneste'!E7/'2021 Lønnsgr pensjon tjeneste'!E7)</f>
        <v>4.2844208683444594E-2</v>
      </c>
      <c r="P7" s="5">
        <f>IF(L7=0,0,'2021 Nto driftsutg landet'!$C$6*'2021 Lønnsand og pensjon land'!$D$7*('2021 Pensjon tjeneste'!E7/'2021 Lønnsgr pensjon tjeneste'!E7-$O$17)*'2021 Revekting utgiftsbehov'!E7)</f>
        <v>37.538468488878252</v>
      </c>
      <c r="Q7" s="5">
        <f t="shared" si="65"/>
        <v>9958.8430746939339</v>
      </c>
      <c r="R7" s="59">
        <f>IF('2021 Lønnsgr pensjon tjeneste'!F7&lt;100,0,(C7/$C$17)*'2021 Revekting utgiftsbehov'!F7*'2021 Pensjon tjeneste'!F7/'2021 Lønnsgr pensjon tjeneste'!F7)</f>
        <v>1.1381225232420062E-2</v>
      </c>
      <c r="S7" s="5">
        <f>IF('2021 Lønnsgr pensjon tjeneste'!F7&lt;100,0,C7)</f>
        <v>265297</v>
      </c>
      <c r="T7" s="59">
        <f>'2021 Revekting utgiftsbehov'!F7*S7/$S$17</f>
        <v>4.8941919920543704E-2</v>
      </c>
      <c r="U7" s="59">
        <f>'2021 Revekting utgiftsbehov'!F7/$T$17</f>
        <v>0.9965272364299218</v>
      </c>
      <c r="V7" s="59">
        <f>IF(S7=0,0,(S7/$S$17)*U7*'2021 Pensjon tjeneste'!F7/'2021 Lønnsgr pensjon tjeneste'!F7)</f>
        <v>1.1381225218143061E-2</v>
      </c>
      <c r="W7" s="5">
        <f>IF(S7=0,0,'2021 Nto driftsutg landet'!$C$7*'2021 Lønnsand og pensjon land'!$D$8*('2021 Pensjon tjeneste'!F7/'2021 Lønnsgr pensjon tjeneste'!F7-$V$17)*'2021 Revekting utgiftsbehov'!F7)</f>
        <v>0.50549225933162223</v>
      </c>
      <c r="X7" s="5">
        <f t="shared" si="66"/>
        <v>134.10557992390139</v>
      </c>
      <c r="Y7" s="59">
        <f>IF('2021 Lønnsgr pensjon tjeneste'!G7&lt;100,0,(C7/$C$17)*'2021 Revekting utgiftsbehov'!G7*'2021 Pensjon tjeneste'!G7/'2021 Lønnsgr pensjon tjeneste'!G7)</f>
        <v>2.3675865071192688E-2</v>
      </c>
      <c r="Z7" s="5">
        <f>IF('2021 Lønnsgr pensjon tjeneste'!G7&lt;100,0,C7)</f>
        <v>265297</v>
      </c>
      <c r="AA7" s="59">
        <f>'2021 Revekting utgiftsbehov'!G7*Z7/$Z$17</f>
        <v>0.34542645361586488</v>
      </c>
      <c r="AB7" s="59">
        <f>'2021 Revekting utgiftsbehov'!G7/$AA$17</f>
        <v>1.8436257941873588</v>
      </c>
      <c r="AC7" s="59">
        <f>IF(Z7=0,0,(Z7/$Z$17)*AB7*'2021 Pensjon tjeneste'!G7/'2021 Lønnsgr pensjon tjeneste'!G7)</f>
        <v>3.1896466647598751E-2</v>
      </c>
      <c r="AD7" s="5">
        <f>IF(Z7=0,0,'2021 Nto driftsutg landet'!$C$8*'2021 Lønnsand og pensjon land'!$D$9*('2021 Pensjon tjeneste'!G7/'2021 Lønnsgr pensjon tjeneste'!G7-$AC$17)*'2021 Revekting utgiftsbehov'!G7)</f>
        <v>-0.59712961850225754</v>
      </c>
      <c r="AE7" s="5">
        <f t="shared" si="67"/>
        <v>-158.41669639979341</v>
      </c>
      <c r="AF7" s="59">
        <f>IF('2021 Lønnsgr pensjon tjeneste'!H7&lt;100,0,(C7/$C$17)*'2021 Revekting utgiftsbehov'!H7*'2021 Pensjon tjeneste'!H7/'2021 Lønnsgr pensjon tjeneste'!H7)</f>
        <v>1.2659470451096678E-2</v>
      </c>
      <c r="AG7" s="5">
        <f>IF('2021 Lønnsgr pensjon tjeneste'!H7&lt;100,0,C7)</f>
        <v>265297</v>
      </c>
      <c r="AH7" s="59">
        <f>'2021 Revekting utgiftsbehov'!H7*AG7/$AG$17</f>
        <v>5.0603622928165962E-2</v>
      </c>
      <c r="AI7" s="59">
        <f>'2021 Revekting utgiftsbehov'!H7/$AH$17</f>
        <v>1.0303618783308408</v>
      </c>
      <c r="AJ7" s="59">
        <f>IF(AG7=0,0,(AG7/$AG$17)*AI7*'2021 Pensjon tjeneste'!H7/'2021 Lønnsgr pensjon tjeneste'!H7)</f>
        <v>1.2659470442371359E-2</v>
      </c>
      <c r="AK7" s="5">
        <f>IF(AG7=0,0,'2021 Nto driftsutg landet'!$C$9*'2021 Lønnsand og pensjon land'!$D$10*('2021 Pensjon tjeneste'!H7/'2021 Lønnsgr pensjon tjeneste'!H7-$AJ$17)*'2021 Revekting utgiftsbehov'!H7)</f>
        <v>11.42732708299723</v>
      </c>
      <c r="AL7" s="5">
        <f t="shared" si="68"/>
        <v>3031.6355931379162</v>
      </c>
      <c r="AM7" s="59">
        <f>IF('2021 Lønnsgr pensjon tjeneste'!K7&lt;100,0,(C7/$C$17)*'2021 Pensjon tjeneste'!K7/'2021 Lønnsgr pensjon tjeneste'!K7)</f>
        <v>1.2754850855392859E-2</v>
      </c>
      <c r="AN7" s="5">
        <f>IF('2021 Lønnsgr pensjon tjeneste'!K7&lt;100,0,C7)</f>
        <v>265297</v>
      </c>
      <c r="AO7" s="59">
        <f t="shared" si="53"/>
        <v>4.9112475876208504E-2</v>
      </c>
      <c r="AP7" s="59">
        <f t="shared" si="54"/>
        <v>0.99999999931076733</v>
      </c>
      <c r="AQ7" s="59">
        <f>IF(AN7=0,0,(AN7/$AN$17)*AP7*'2021 Pensjon tjeneste'!K7/'2021 Lønnsgr pensjon tjeneste'!K7)</f>
        <v>1.2754850846601799E-2</v>
      </c>
      <c r="AR7" s="5">
        <f>IF(AN7=0,0,'2021 Nto driftsutg landet'!$C$23*'2021 Lønnsand og pensjon land'!$D$13*('2021 Pensjon tjeneste'!K7/'2021 Lønnsgr pensjon tjeneste'!K7-$AQ$17))</f>
        <v>-27.033289344648271</v>
      </c>
      <c r="AS7" s="5">
        <f t="shared" si="69"/>
        <v>-7171.8505632671522</v>
      </c>
      <c r="AT7" s="59">
        <f>IF('2021 Lønnsgr pensjon tjeneste'!L7&lt;100,0,(C7/$C$17)*'2021 Pensjon tjeneste'!L7/'2021 Lønnsgr pensjon tjeneste'!L7)</f>
        <v>1.0603979914780164E-2</v>
      </c>
      <c r="AU7" s="5">
        <f>IF('2021 Lønnsgr pensjon tjeneste'!L7&lt;100,0,C7)</f>
        <v>265297</v>
      </c>
      <c r="AV7" s="59">
        <f t="shared" si="55"/>
        <v>5.6377593467690473E-2</v>
      </c>
      <c r="AW7" s="59">
        <f t="shared" si="56"/>
        <v>1</v>
      </c>
      <c r="AX7" s="59">
        <f>IF(AU7=0,0,(AU7/$AU$17)*AW7*'2021 Pensjon tjeneste'!L7/'2021 Lønnsgr pensjon tjeneste'!L7)</f>
        <v>1.2172607023150216E-2</v>
      </c>
      <c r="AY7" s="5">
        <f>IF(AU7=0,0,'2021 Nto driftsutg landet'!$C$24*'2021 Lønnsand og pensjon land'!$D$14*('2021 Pensjon tjeneste'!L7/'2021 Lønnsgr pensjon tjeneste'!L7-$AX$17))</f>
        <v>1.3294514539860844</v>
      </c>
      <c r="AZ7" s="5">
        <f t="shared" si="70"/>
        <v>352.69948238814624</v>
      </c>
      <c r="BA7" s="59">
        <f>IF('2021 Lønnsgr pensjon tjeneste'!M7&lt;100,0,(C7/$C$17)*'2021 Pensjon tjeneste'!M7/'2021 Lønnsgr pensjon tjeneste'!M7)</f>
        <v>1.0478487005057028E-2</v>
      </c>
      <c r="BB7" s="5">
        <f>IF('2021 Lønnsgr pensjon tjeneste'!M7&lt;100,0,C7)</f>
        <v>265297</v>
      </c>
      <c r="BC7" s="59">
        <f t="shared" si="57"/>
        <v>5.6377593467690473E-2</v>
      </c>
      <c r="BD7" s="59">
        <f t="shared" si="58"/>
        <v>1</v>
      </c>
      <c r="BE7" s="59">
        <f>IF(BB7=0,0,(BB7/$BB$17)*BD7*'2021 Pensjon tjeneste'!M7/'2021 Lønnsgr pensjon tjeneste'!M7)</f>
        <v>1.2028550179726528E-2</v>
      </c>
      <c r="BF7" s="5">
        <f>IF(BB7=0,0,'2021 Nto driftsutg landet'!$C$25*'2021 Lønnsand og pensjon land'!$D$15*('2021 Pensjon tjeneste'!M7/'2021 Lønnsgr pensjon tjeneste'!M7-$BE$17))</f>
        <v>0.15560891403494728</v>
      </c>
      <c r="BG7" s="5">
        <f t="shared" si="71"/>
        <v>41.282578066729407</v>
      </c>
      <c r="BH7" s="59">
        <f>IF('2021 Lønnsgr pensjon tjeneste'!N7&lt;100,0,(C7/$C$17)*'2021 Pensjon tjeneste'!N7/'2021 Lønnsgr pensjon tjeneste'!N7)</f>
        <v>1.0980306173988191E-2</v>
      </c>
      <c r="BI7" s="5">
        <f>IF('2021 Lønnsgr pensjon tjeneste'!N7&lt;100,0,C7)</f>
        <v>265297</v>
      </c>
      <c r="BJ7" s="59">
        <f t="shared" si="59"/>
        <v>4.9112475876208504E-2</v>
      </c>
      <c r="BK7" s="59">
        <f t="shared" si="60"/>
        <v>1</v>
      </c>
      <c r="BL7" s="59">
        <f>IF(BI7=0,0,(BI7/$BI$17)*BK7*'2021 Pensjon tjeneste'!N7/'2021 Lønnsgr pensjon tjeneste'!N7)</f>
        <v>1.0980306173988191E-2</v>
      </c>
      <c r="BM7" s="5">
        <f>IF(BI7=0,0,'2021 Nto driftsutg landet'!$C$26*'2021 Lønnsand og pensjon land'!$D$16*('2021 Pensjon tjeneste'!N7/'2021 Lønnsgr pensjon tjeneste'!N7-$BL$17))</f>
        <v>0.85471552504261017</v>
      </c>
      <c r="BN7" s="5">
        <f t="shared" si="72"/>
        <v>226.75346464722935</v>
      </c>
      <c r="BO7" s="59">
        <f>IF('2021 Lønnsgr pensjon tjeneste'!O7&lt;100,0,(C7/$C$17)*'2021 Pensjon tjeneste'!O7/'2021 Lønnsgr pensjon tjeneste'!O7)</f>
        <v>0</v>
      </c>
      <c r="BP7" s="5">
        <f>IF('2021 Lønnsgr pensjon tjeneste'!O7&lt;100,0,C7)</f>
        <v>0</v>
      </c>
      <c r="BQ7" s="59">
        <f t="shared" si="61"/>
        <v>0</v>
      </c>
      <c r="BR7" s="59">
        <f t="shared" si="62"/>
        <v>1</v>
      </c>
      <c r="BS7" s="59">
        <f>IF(BP7=0,0,(BP7/$BP$17)*BR7*'2021 Pensjon tjeneste'!O7/'2021 Lønnsgr pensjon tjeneste'!O7)</f>
        <v>0</v>
      </c>
      <c r="BT7" s="5">
        <f>IF(BP7=0,0,'2021 Nto driftsutg landet'!$C$27*'2021 Lønnsand og pensjon land'!$D$17*('2021 Pensjon tjeneste'!O7/'2021 Lønnsgr pensjon tjeneste'!O7-$BS$17))</f>
        <v>0</v>
      </c>
      <c r="BU7" s="5">
        <f t="shared" si="73"/>
        <v>0</v>
      </c>
      <c r="BV7" s="59">
        <f>IF('2021 Lønnsgr pensjon tjeneste'!P7&lt;100,0,(C7/$C$17)*'2021 Pensjon tjeneste'!P7/'2021 Lønnsgr pensjon tjeneste'!P7)</f>
        <v>0</v>
      </c>
      <c r="BW7" s="5">
        <f>IF('2021 Lønnsgr pensjon tjeneste'!P7&lt;100,0,C7)</f>
        <v>0</v>
      </c>
      <c r="BX7" s="59">
        <f t="shared" si="63"/>
        <v>0</v>
      </c>
      <c r="BY7" s="59">
        <f t="shared" si="64"/>
        <v>1</v>
      </c>
      <c r="BZ7" s="59">
        <f>IF(BW7=0,0,(BW7/$BW$17)*BY7*'2021 Pensjon tjeneste'!P7/'2021 Lønnsgr pensjon tjeneste'!P7)</f>
        <v>0</v>
      </c>
      <c r="CA7" s="5">
        <f>IF(BW7=0,0,'2021 Nto driftsutg landet'!$C$28*'2021 Lønnsand og pensjon land'!$D$18*('2021 Pensjon tjeneste'!P7/'2021 Lønnsgr pensjon tjeneste'!P7-$BZ$17))</f>
        <v>0</v>
      </c>
      <c r="CB7" s="5">
        <f t="shared" si="74"/>
        <v>0</v>
      </c>
      <c r="CC7" s="5"/>
      <c r="CD7" s="5"/>
      <c r="CE7" s="5"/>
    </row>
    <row r="8" spans="1:83" x14ac:dyDescent="0.3">
      <c r="A8" s="43">
        <v>1800</v>
      </c>
      <c r="B8" s="44" t="s">
        <v>143</v>
      </c>
      <c r="C8" s="44">
        <f>+'2021 Nto driftsutg'!W8</f>
        <v>240496</v>
      </c>
      <c r="D8" s="59">
        <f>IF('2021 Lønnsgr pensjon tjeneste'!D8&lt;100,0,(C8/$C$17)*'2021 Revekting utgiftsbehov'!D8*'2021 Pensjon tjeneste'!D8/'2021 Lønnsgr pensjon tjeneste'!D8)</f>
        <v>6.32243089552211E-3</v>
      </c>
      <c r="E8" s="5">
        <f>IF('2021 Lønnsgr pensjon tjeneste'!D8&lt;100,0,C8)</f>
        <v>240496</v>
      </c>
      <c r="F8" s="59">
        <f>'2021 Revekting utgiftsbehov'!D8*E8/$E$17</f>
        <v>4.8909291560517279E-2</v>
      </c>
      <c r="G8" s="59">
        <f>'2021 Revekting utgiftsbehov'!D8/$F$17</f>
        <v>1.0985606160140704</v>
      </c>
      <c r="H8" s="59">
        <f>IF(E8=0,0,(E8/$E$17)*G8*'2021 Pensjon tjeneste'!D8/'2021 Lønnsgr pensjon tjeneste'!D8)</f>
        <v>6.3224308961210588E-3</v>
      </c>
      <c r="I8" s="5">
        <f>IF(E8=0,0,'2021 Nto driftsutg landet'!$C$5*'2021 Lønnsand og pensjon land'!$D$6*('2021 Pensjon tjeneste'!D8/'2021 Lønnsgr pensjon tjeneste'!D8-$H$17)*'2021 Revekting utgiftsbehov'!D8)</f>
        <v>56.48092330371189</v>
      </c>
      <c r="J8" s="5">
        <f t="shared" si="75"/>
        <v>13583.436130849495</v>
      </c>
      <c r="K8" s="59">
        <f>IF('2021 Lønnsgr pensjon tjeneste'!E8&lt;100,0,(C8/$C$17)*'2021 Revekting utgiftsbehov'!E8*'2021 Pensjon tjeneste'!E8/'2021 Lønnsgr pensjon tjeneste'!E8)</f>
        <v>3.226804831929278E-2</v>
      </c>
      <c r="L8" s="5">
        <f>IF('2021 Lønnsgr pensjon tjeneste'!E8&lt;100,0,C8)</f>
        <v>240496</v>
      </c>
      <c r="M8" s="59">
        <f>'2021 Revekting utgiftsbehov'!E8*L8/$L$17</f>
        <v>8.8967349640121027E-2</v>
      </c>
      <c r="N8" s="59">
        <f>'2021 Revekting utgiftsbehov'!E8/$M$17</f>
        <v>1.5718282864962618</v>
      </c>
      <c r="O8" s="59">
        <f>IF(L8=0,0,(L8/$L$17)*N8*'2021 Pensjon tjeneste'!E8/'2021 Lønnsgr pensjon tjeneste'!E8)</f>
        <v>3.3445978242152445E-2</v>
      </c>
      <c r="P8" s="5">
        <f>IF(L8=0,0,'2021 Nto driftsutg landet'!$C$6*'2021 Lønnsand og pensjon land'!$D$7*('2021 Pensjon tjeneste'!E8/'2021 Lønnsgr pensjon tjeneste'!E8-$O$17)*'2021 Revekting utgiftsbehov'!E8)</f>
        <v>14.801268251462469</v>
      </c>
      <c r="Q8" s="5">
        <f t="shared" si="65"/>
        <v>3559.645809403718</v>
      </c>
      <c r="R8" s="59">
        <f>IF('2021 Lønnsgr pensjon tjeneste'!F8&lt;100,0,(C8/$C$17)*'2021 Revekting utgiftsbehov'!F8*'2021 Pensjon tjeneste'!F8/'2021 Lønnsgr pensjon tjeneste'!F8)</f>
        <v>1.1570144838185427E-2</v>
      </c>
      <c r="S8" s="5">
        <f>IF('2021 Lønnsgr pensjon tjeneste'!F8&lt;100,0,C8)</f>
        <v>240496</v>
      </c>
      <c r="T8" s="59">
        <f>'2021 Revekting utgiftsbehov'!F8*S8/$S$17</f>
        <v>4.5255104798638028E-2</v>
      </c>
      <c r="U8" s="59">
        <f>'2021 Revekting utgiftsbehov'!F8/$T$17</f>
        <v>1.016483251996888</v>
      </c>
      <c r="V8" s="59">
        <f>IF(S8=0,0,(S8/$S$17)*U8*'2021 Pensjon tjeneste'!F8/'2021 Lønnsgr pensjon tjeneste'!F8)</f>
        <v>1.1570144823671434E-2</v>
      </c>
      <c r="W8" s="5">
        <f>IF(S8=0,0,'2021 Nto driftsutg landet'!$C$7*'2021 Lønnsand og pensjon land'!$D$8*('2021 Pensjon tjeneste'!F8/'2021 Lønnsgr pensjon tjeneste'!F8-$V$17)*'2021 Revekting utgiftsbehov'!F8)</f>
        <v>1.3287011034737803</v>
      </c>
      <c r="X8" s="5">
        <f t="shared" si="66"/>
        <v>319.54730058103024</v>
      </c>
      <c r="Y8" s="59">
        <f>IF('2021 Lønnsgr pensjon tjeneste'!G8&lt;100,0,(C8/$C$17)*'2021 Revekting utgiftsbehov'!G8*'2021 Pensjon tjeneste'!G8/'2021 Lønnsgr pensjon tjeneste'!G8)</f>
        <v>6.1812508763102035E-2</v>
      </c>
      <c r="Z8" s="5">
        <f>IF('2021 Lønnsgr pensjon tjeneste'!G8&lt;100,0,C8)</f>
        <v>240496</v>
      </c>
      <c r="AA8" s="59">
        <f>'2021 Revekting utgiftsbehov'!G8*Z8/$Z$17</f>
        <v>0.55684997250693613</v>
      </c>
      <c r="AB8" s="59">
        <f>'2021 Revekting utgiftsbehov'!G8/$AA$17</f>
        <v>3.2785353139754663</v>
      </c>
      <c r="AC8" s="59">
        <f>IF(Z8=0,0,(Z8/$Z$17)*AB8*'2021 Pensjon tjeneste'!G8/'2021 Lønnsgr pensjon tjeneste'!G8)</f>
        <v>8.3274702666117598E-2</v>
      </c>
      <c r="AD8" s="5">
        <f>IF(Z8=0,0,'2021 Nto driftsutg landet'!$C$8*'2021 Lønnsand og pensjon land'!$D$9*('2021 Pensjon tjeneste'!G8/'2021 Lønnsgr pensjon tjeneste'!G8-$AC$17)*'2021 Revekting utgiftsbehov'!G8)</f>
        <v>1.3881481007428149</v>
      </c>
      <c r="AE8" s="5">
        <f t="shared" si="67"/>
        <v>333.84406563624401</v>
      </c>
      <c r="AF8" s="59">
        <f>IF('2021 Lønnsgr pensjon tjeneste'!H8&lt;100,0,(C8/$C$17)*'2021 Revekting utgiftsbehov'!H8*'2021 Pensjon tjeneste'!H8/'2021 Lønnsgr pensjon tjeneste'!H8)</f>
        <v>1.1436297437057145E-2</v>
      </c>
      <c r="AG8" s="5">
        <f>IF('2021 Lønnsgr pensjon tjeneste'!H8&lt;100,0,C8)</f>
        <v>240496</v>
      </c>
      <c r="AH8" s="59">
        <f>'2021 Revekting utgiftsbehov'!H8*AG8/$AG$17</f>
        <v>4.3873639457928361E-2</v>
      </c>
      <c r="AI8" s="59">
        <f>'2021 Revekting utgiftsbehov'!H8/$AH$17</f>
        <v>0.98545390485279294</v>
      </c>
      <c r="AJ8" s="59">
        <f>IF(AG8=0,0,(AG8/$AG$17)*AI8*'2021 Pensjon tjeneste'!H8/'2021 Lønnsgr pensjon tjeneste'!H8)</f>
        <v>1.1436297429174876E-2</v>
      </c>
      <c r="AK8" s="5">
        <f>IF(AG8=0,0,'2021 Nto driftsutg landet'!$C$9*'2021 Lønnsand og pensjon land'!$D$10*('2021 Pensjon tjeneste'!H8/'2021 Lønnsgr pensjon tjeneste'!H8-$AJ$17)*'2021 Revekting utgiftsbehov'!H8)</f>
        <v>13.676956897169447</v>
      </c>
      <c r="AL8" s="5">
        <f t="shared" si="68"/>
        <v>3289.2534259416634</v>
      </c>
      <c r="AM8" s="59">
        <f>IF('2021 Lønnsgr pensjon tjeneste'!K8&lt;100,0,(C8/$C$17)*'2021 Pensjon tjeneste'!K8/'2021 Lønnsgr pensjon tjeneste'!K8)</f>
        <v>1.0785129965271778E-2</v>
      </c>
      <c r="AN8" s="5">
        <f>IF('2021 Lønnsgr pensjon tjeneste'!K8&lt;100,0,C8)</f>
        <v>240496</v>
      </c>
      <c r="AO8" s="59">
        <f t="shared" si="53"/>
        <v>4.4521249762811639E-2</v>
      </c>
      <c r="AP8" s="59">
        <f t="shared" si="54"/>
        <v>0.99999999931076733</v>
      </c>
      <c r="AQ8" s="59">
        <f>IF(AN8=0,0,(AN8/$AN$17)*AP8*'2021 Pensjon tjeneste'!K8/'2021 Lønnsgr pensjon tjeneste'!K8)</f>
        <v>1.0785129957838315E-2</v>
      </c>
      <c r="AR8" s="5">
        <f>IF(AN8=0,0,'2021 Nto driftsutg landet'!$C$23*'2021 Lønnsand og pensjon land'!$D$13*('2021 Pensjon tjeneste'!K8/'2021 Lønnsgr pensjon tjeneste'!K8-$AQ$17))</f>
        <v>-32.603602051737674</v>
      </c>
      <c r="AS8" s="5">
        <f t="shared" si="69"/>
        <v>-7841.0358790347036</v>
      </c>
      <c r="AT8" s="59">
        <f>IF('2021 Lønnsgr pensjon tjeneste'!L8&lt;100,0,(C8/$C$17)*'2021 Pensjon tjeneste'!L8/'2021 Lønnsgr pensjon tjeneste'!L8)</f>
        <v>1.1090782603818723E-2</v>
      </c>
      <c r="AU8" s="5">
        <f>IF('2021 Lønnsgr pensjon tjeneste'!L8&lt;100,0,C8)</f>
        <v>240496</v>
      </c>
      <c r="AV8" s="59">
        <f t="shared" si="55"/>
        <v>5.1107195779091688E-2</v>
      </c>
      <c r="AW8" s="59">
        <f t="shared" si="56"/>
        <v>1</v>
      </c>
      <c r="AX8" s="59">
        <f>IF(AU8=0,0,(AU8/$AU$17)*AW8*'2021 Pensjon tjeneste'!L8/'2021 Lønnsgr pensjon tjeneste'!L8)</f>
        <v>1.2731421532334621E-2</v>
      </c>
      <c r="AY8" s="5">
        <f>IF(AU8=0,0,'2021 Nto driftsutg landet'!$C$24*'2021 Lønnsand og pensjon land'!$D$14*('2021 Pensjon tjeneste'!L8/'2021 Lønnsgr pensjon tjeneste'!L8-$AX$17))</f>
        <v>2.7709338482216728</v>
      </c>
      <c r="AZ8" s="5">
        <f t="shared" si="70"/>
        <v>666.39850676191941</v>
      </c>
      <c r="BA8" s="59">
        <f>IF('2021 Lønnsgr pensjon tjeneste'!M8&lt;100,0,(C8/$C$17)*'2021 Pensjon tjeneste'!M8/'2021 Lønnsgr pensjon tjeneste'!M8)</f>
        <v>1.0943238838511202E-2</v>
      </c>
      <c r="BB8" s="5">
        <f>IF('2021 Lønnsgr pensjon tjeneste'!M8&lt;100,0,C8)</f>
        <v>240496</v>
      </c>
      <c r="BC8" s="59">
        <f t="shared" si="57"/>
        <v>5.1107195779091688E-2</v>
      </c>
      <c r="BD8" s="59">
        <f t="shared" si="58"/>
        <v>1</v>
      </c>
      <c r="BE8" s="59">
        <f>IF(BB8=0,0,(BB8/$BB$17)*BD8*'2021 Pensjon tjeneste'!M8/'2021 Lønnsgr pensjon tjeneste'!M8)</f>
        <v>1.2562051891101992E-2</v>
      </c>
      <c r="BF8" s="5">
        <f>IF(BB8=0,0,'2021 Nto driftsutg landet'!$C$25*'2021 Lønnsand og pensjon land'!$D$15*('2021 Pensjon tjeneste'!M8/'2021 Lønnsgr pensjon tjeneste'!M8-$BE$17))</f>
        <v>0.31098444780851869</v>
      </c>
      <c r="BG8" s="5">
        <f t="shared" si="71"/>
        <v>74.790515760157504</v>
      </c>
      <c r="BH8" s="59">
        <f>IF('2021 Lønnsgr pensjon tjeneste'!N8&lt;100,0,(C8/$C$17)*'2021 Pensjon tjeneste'!N8/'2021 Lønnsgr pensjon tjeneste'!N8)</f>
        <v>1.0771172132056176E-2</v>
      </c>
      <c r="BI8" s="5">
        <f>IF('2021 Lønnsgr pensjon tjeneste'!N8&lt;100,0,C8)</f>
        <v>240496</v>
      </c>
      <c r="BJ8" s="59">
        <f t="shared" si="59"/>
        <v>4.4521249762811639E-2</v>
      </c>
      <c r="BK8" s="59">
        <f t="shared" si="60"/>
        <v>1</v>
      </c>
      <c r="BL8" s="59">
        <f>IF(BI8=0,0,(BI8/$BI$17)*BK8*'2021 Pensjon tjeneste'!N8/'2021 Lønnsgr pensjon tjeneste'!N8)</f>
        <v>1.0771172132056176E-2</v>
      </c>
      <c r="BM8" s="5">
        <f>IF(BI8=0,0,'2021 Nto driftsutg landet'!$C$26*'2021 Lønnsand og pensjon land'!$D$16*('2021 Pensjon tjeneste'!N8/'2021 Lønnsgr pensjon tjeneste'!N8-$BL$17))</f>
        <v>1.3088362633756516</v>
      </c>
      <c r="BN8" s="5">
        <f t="shared" si="72"/>
        <v>314.76988599679072</v>
      </c>
      <c r="BO8" s="59">
        <f>IF('2021 Lønnsgr pensjon tjeneste'!O8&lt;100,0,(C8/$C$17)*'2021 Pensjon tjeneste'!O8/'2021 Lønnsgr pensjon tjeneste'!O8)</f>
        <v>0</v>
      </c>
      <c r="BP8" s="5">
        <f>IF('2021 Lønnsgr pensjon tjeneste'!O8&lt;100,0,C8)</f>
        <v>0</v>
      </c>
      <c r="BQ8" s="59">
        <f t="shared" si="61"/>
        <v>0</v>
      </c>
      <c r="BR8" s="59">
        <f t="shared" si="62"/>
        <v>1</v>
      </c>
      <c r="BS8" s="59">
        <f>IF(BP8=0,0,(BP8/$BP$17)*BR8*'2021 Pensjon tjeneste'!O8/'2021 Lønnsgr pensjon tjeneste'!O8)</f>
        <v>0</v>
      </c>
      <c r="BT8" s="5">
        <f>IF(BP8=0,0,'2021 Nto driftsutg landet'!$C$27*'2021 Lønnsand og pensjon land'!$D$17*('2021 Pensjon tjeneste'!O8/'2021 Lønnsgr pensjon tjeneste'!O8-$BS$17))</f>
        <v>0</v>
      </c>
      <c r="BU8" s="5">
        <f t="shared" si="73"/>
        <v>0</v>
      </c>
      <c r="BV8" s="59">
        <f>IF('2021 Lønnsgr pensjon tjeneste'!P8&lt;100,0,(C8/$C$17)*'2021 Pensjon tjeneste'!P8/'2021 Lønnsgr pensjon tjeneste'!P8)</f>
        <v>0</v>
      </c>
      <c r="BW8" s="5">
        <f>IF('2021 Lønnsgr pensjon tjeneste'!P8&lt;100,0,C8)</f>
        <v>0</v>
      </c>
      <c r="BX8" s="59">
        <f t="shared" si="63"/>
        <v>0</v>
      </c>
      <c r="BY8" s="59">
        <f t="shared" si="64"/>
        <v>1</v>
      </c>
      <c r="BZ8" s="59">
        <f>IF(BW8=0,0,(BW8/$BW$17)*BY8*'2021 Pensjon tjeneste'!P8/'2021 Lønnsgr pensjon tjeneste'!P8)</f>
        <v>0</v>
      </c>
      <c r="CA8" s="5">
        <f>IF(BW8=0,0,'2021 Nto driftsutg landet'!$C$28*'2021 Lønnsand og pensjon land'!$D$18*('2021 Pensjon tjeneste'!P8/'2021 Lønnsgr pensjon tjeneste'!P8-$BZ$17))</f>
        <v>0</v>
      </c>
      <c r="CB8" s="5">
        <f t="shared" si="74"/>
        <v>0</v>
      </c>
      <c r="CC8" s="5"/>
      <c r="CD8" s="5"/>
      <c r="CE8" s="5"/>
    </row>
    <row r="9" spans="1:83" x14ac:dyDescent="0.3">
      <c r="A9" s="43">
        <v>3000</v>
      </c>
      <c r="B9" s="44" t="s">
        <v>392</v>
      </c>
      <c r="C9" s="44">
        <f>+'2021 Nto driftsutg'!W9</f>
        <v>1260731</v>
      </c>
      <c r="D9" s="59">
        <f>IF('2021 Lønnsgr pensjon tjeneste'!D9&lt;100,0,(C9/$C$17)*'2021 Revekting utgiftsbehov'!D9*'2021 Pensjon tjeneste'!D9/'2021 Lønnsgr pensjon tjeneste'!D9)</f>
        <v>2.5322740877379842E-2</v>
      </c>
      <c r="E9" s="5">
        <f>IF('2021 Lønnsgr pensjon tjeneste'!D9&lt;100,0,C9)</f>
        <v>1260731</v>
      </c>
      <c r="F9" s="59">
        <f>'2021 Revekting utgiftsbehov'!D9*E9/$E$17</f>
        <v>0.23836733779887084</v>
      </c>
      <c r="G9" s="59">
        <f>'2021 Revekting utgiftsbehov'!D9/$F$17</f>
        <v>1.0213270274367541</v>
      </c>
      <c r="H9" s="59">
        <f>IF(E9=0,0,(E9/$E$17)*G9*'2021 Pensjon tjeneste'!D9/'2021 Lønnsgr pensjon tjeneste'!D9)</f>
        <v>2.532274087977876E-2</v>
      </c>
      <c r="I9" s="5">
        <f>IF(E9=0,0,'2021 Nto driftsutg landet'!$C$5*'2021 Lønnsand og pensjon land'!$D$6*('2021 Pensjon tjeneste'!D9/'2021 Lønnsgr pensjon tjeneste'!D9-$H$17)*'2021 Revekting utgiftsbehov'!D9)</f>
        <v>-27.772287036457449</v>
      </c>
      <c r="J9" s="5">
        <f t="shared" si="75"/>
        <v>-35013.383207760038</v>
      </c>
      <c r="K9" s="59">
        <f>IF('2021 Lønnsgr pensjon tjeneste'!E9&lt;100,0,(C9/$C$17)*'2021 Revekting utgiftsbehov'!E9*'2021 Pensjon tjeneste'!E9/'2021 Lønnsgr pensjon tjeneste'!E9)</f>
        <v>4.1694917175727673E-2</v>
      </c>
      <c r="L9" s="5">
        <f>IF('2021 Lønnsgr pensjon tjeneste'!E9&lt;100,0,C9)</f>
        <v>1260731</v>
      </c>
      <c r="M9" s="59">
        <f>'2021 Revekting utgiftsbehov'!E9*L9/$L$17</f>
        <v>0.17345081515173275</v>
      </c>
      <c r="N9" s="59">
        <f>'2021 Revekting utgiftsbehov'!E9/$M$17</f>
        <v>0.58456958836272432</v>
      </c>
      <c r="O9" s="59">
        <f>IF(L9=0,0,(L9/$L$17)*N9*'2021 Pensjon tjeneste'!E9/'2021 Lønnsgr pensjon tjeneste'!E9)</f>
        <v>4.3216970511165388E-2</v>
      </c>
      <c r="P9" s="5">
        <f>IF(L9=0,0,'2021 Nto driftsutg landet'!$C$6*'2021 Lønnsand og pensjon land'!$D$7*('2021 Pensjon tjeneste'!E9/'2021 Lønnsgr pensjon tjeneste'!E9-$O$17)*'2021 Revekting utgiftsbehov'!E9)</f>
        <v>-4.2491349619916177</v>
      </c>
      <c r="Q9" s="5">
        <f t="shared" si="65"/>
        <v>-5357.0161697666545</v>
      </c>
      <c r="R9" s="59">
        <f>IF('2021 Lønnsgr pensjon tjeneste'!F9&lt;100,0,(C9/$C$17)*'2021 Revekting utgiftsbehov'!F9*'2021 Pensjon tjeneste'!F9/'2021 Lønnsgr pensjon tjeneste'!F9)</f>
        <v>3.0980238383300423E-2</v>
      </c>
      <c r="S9" s="5">
        <f>IF('2021 Lønnsgr pensjon tjeneste'!F9&lt;100,0,C9)</f>
        <v>1260731</v>
      </c>
      <c r="T9" s="59">
        <f>'2021 Revekting utgiftsbehov'!F9*S9/$S$17</f>
        <v>0.15667098049119729</v>
      </c>
      <c r="U9" s="59">
        <f>'2021 Revekting utgiftsbehov'!F9/$T$17</f>
        <v>0.67128453106191743</v>
      </c>
      <c r="V9" s="59">
        <f>IF(S9=0,0,(S9/$S$17)*U9*'2021 Pensjon tjeneste'!F9/'2021 Lønnsgr pensjon tjeneste'!F9)</f>
        <v>3.0980238344437735E-2</v>
      </c>
      <c r="W9" s="5">
        <f>IF(S9=0,0,'2021 Nto driftsutg landet'!$C$7*'2021 Lønnsand og pensjon land'!$D$8*('2021 Pensjon tjeneste'!F9/'2021 Lønnsgr pensjon tjeneste'!F9-$V$17)*'2021 Revekting utgiftsbehov'!F9)</f>
        <v>-0.46784838009580371</v>
      </c>
      <c r="X9" s="5">
        <f t="shared" si="66"/>
        <v>-589.83095608656276</v>
      </c>
      <c r="Y9" s="59">
        <f>IF('2021 Lønnsgr pensjon tjeneste'!G9&lt;100,0,(C9/$C$17)*'2021 Revekting utgiftsbehov'!G9*'2021 Pensjon tjeneste'!G9/'2021 Lønnsgr pensjon tjeneste'!G9)</f>
        <v>0</v>
      </c>
      <c r="Z9" s="5">
        <f>IF('2021 Lønnsgr pensjon tjeneste'!G9&lt;100,0,C9)</f>
        <v>0</v>
      </c>
      <c r="AA9" s="59">
        <f>'2021 Revekting utgiftsbehov'!G9*Z9/$Z$17</f>
        <v>0</v>
      </c>
      <c r="AB9" s="59">
        <f>'2021 Revekting utgiftsbehov'!G9/$AA$17</f>
        <v>3.792928663945698E-2</v>
      </c>
      <c r="AC9" s="59">
        <f>IF(Z9=0,0,(Z9/$Z$17)*AB9*'2021 Pensjon tjeneste'!G9/'2021 Lønnsgr pensjon tjeneste'!G9)</f>
        <v>0</v>
      </c>
      <c r="AD9" s="5">
        <f>IF(Z9=0,0,'2021 Nto driftsutg landet'!$C$8*'2021 Lønnsand og pensjon land'!$D$9*('2021 Pensjon tjeneste'!G9/'2021 Lønnsgr pensjon tjeneste'!G9-$AC$17)*'2021 Revekting utgiftsbehov'!G9)</f>
        <v>0</v>
      </c>
      <c r="AE9" s="5">
        <f t="shared" si="67"/>
        <v>0</v>
      </c>
      <c r="AF9" s="59">
        <f>IF('2021 Lønnsgr pensjon tjeneste'!H9&lt;100,0,(C9/$C$17)*'2021 Revekting utgiftsbehov'!H9*'2021 Pensjon tjeneste'!H9/'2021 Lønnsgr pensjon tjeneste'!H9)</f>
        <v>3.4984142133318213E-2</v>
      </c>
      <c r="AG9" s="5">
        <f>IF('2021 Lønnsgr pensjon tjeneste'!H9&lt;100,0,C9)</f>
        <v>1260731</v>
      </c>
      <c r="AH9" s="59">
        <f>'2021 Revekting utgiftsbehov'!H9*AG9/$AG$17</f>
        <v>0.24206864814899379</v>
      </c>
      <c r="AI9" s="59">
        <f>'2021 Revekting utgiftsbehov'!H9/$AH$17</f>
        <v>1.0371859456031376</v>
      </c>
      <c r="AJ9" s="59">
        <f>IF(AG9=0,0,(AG9/$AG$17)*AI9*'2021 Pensjon tjeneste'!H9/'2021 Lønnsgr pensjon tjeneste'!H9)</f>
        <v>3.4984142109206008E-2</v>
      </c>
      <c r="AK9" s="5">
        <f>IF(AG9=0,0,'2021 Nto driftsutg landet'!$C$9*'2021 Lønnsand og pensjon land'!$D$10*('2021 Pensjon tjeneste'!H9/'2021 Lønnsgr pensjon tjeneste'!H9-$AJ$17)*'2021 Revekting utgiftsbehov'!H9)</f>
        <v>-17.608002425122013</v>
      </c>
      <c r="AL9" s="5">
        <f t="shared" si="68"/>
        <v>-22198.9545054265</v>
      </c>
      <c r="AM9" s="59">
        <f>IF('2021 Lønnsgr pensjon tjeneste'!K9&lt;100,0,(C9/$C$17)*'2021 Pensjon tjeneste'!K9/'2021 Lønnsgr pensjon tjeneste'!K9)</f>
        <v>0.165830104061963</v>
      </c>
      <c r="AN9" s="5">
        <f>IF('2021 Lønnsgr pensjon tjeneste'!K9&lt;100,0,C9)</f>
        <v>1260731</v>
      </c>
      <c r="AO9" s="59">
        <f t="shared" si="53"/>
        <v>0.23338982658638516</v>
      </c>
      <c r="AP9" s="59">
        <f t="shared" si="54"/>
        <v>0.99999999931076733</v>
      </c>
      <c r="AQ9" s="59">
        <f>IF(AN9=0,0,(AN9/$AN$17)*AP9*'2021 Pensjon tjeneste'!K9/'2021 Lønnsgr pensjon tjeneste'!K9)</f>
        <v>0.16583010394766753</v>
      </c>
      <c r="AR9" s="5">
        <f>IF(AN9=0,0,'2021 Nto driftsutg landet'!$C$23*'2021 Lønnsand og pensjon land'!$D$13*('2021 Pensjon tjeneste'!K9/'2021 Lønnsgr pensjon tjeneste'!K9-$AQ$17))</f>
        <v>116.79233134134016</v>
      </c>
      <c r="AS9" s="5">
        <f t="shared" si="69"/>
        <v>147243.7126842991</v>
      </c>
      <c r="AT9" s="59">
        <f>IF('2021 Lønnsgr pensjon tjeneste'!L9&lt;100,0,(C9/$C$17)*'2021 Pensjon tjeneste'!L9/'2021 Lønnsgr pensjon tjeneste'!L9)</f>
        <v>3.1733056459428401E-2</v>
      </c>
      <c r="AU9" s="5">
        <f>IF('2021 Lønnsgr pensjon tjeneste'!L9&lt;100,0,C9)</f>
        <v>1260731</v>
      </c>
      <c r="AV9" s="59">
        <f t="shared" si="55"/>
        <v>0.26791475135457571</v>
      </c>
      <c r="AW9" s="59">
        <f t="shared" si="56"/>
        <v>1</v>
      </c>
      <c r="AX9" s="59">
        <f>IF(AU9=0,0,(AU9/$AU$17)*AW9*'2021 Pensjon tjeneste'!L9/'2021 Lønnsgr pensjon tjeneste'!L9)</f>
        <v>3.6427268726307131E-2</v>
      </c>
      <c r="AY9" s="5">
        <f>IF(AU9=0,0,'2021 Nto driftsutg landet'!$C$24*'2021 Lønnsand og pensjon land'!$D$14*('2021 Pensjon tjeneste'!L9/'2021 Lønnsgr pensjon tjeneste'!L9-$AX$17))</f>
        <v>-2.1416694555956597</v>
      </c>
      <c r="AZ9" s="5">
        <f t="shared" si="70"/>
        <v>-2700.0690744225717</v>
      </c>
      <c r="BA9" s="59">
        <f>IF('2021 Lønnsgr pensjon tjeneste'!M9&lt;100,0,(C9/$C$17)*'2021 Pensjon tjeneste'!M9/'2021 Lønnsgr pensjon tjeneste'!M9)</f>
        <v>3.3537725004988195E-2</v>
      </c>
      <c r="BB9" s="5">
        <f>IF('2021 Lønnsgr pensjon tjeneste'!M9&lt;100,0,C9)</f>
        <v>1260731</v>
      </c>
      <c r="BC9" s="59">
        <f t="shared" si="57"/>
        <v>0.26791475135457571</v>
      </c>
      <c r="BD9" s="59">
        <f t="shared" si="58"/>
        <v>1</v>
      </c>
      <c r="BE9" s="59">
        <f>IF(BB9=0,0,(BB9/$BB$17)*BD9*'2021 Pensjon tjeneste'!M9/'2021 Lønnsgr pensjon tjeneste'!M9)</f>
        <v>3.8498898547250152E-2</v>
      </c>
      <c r="BF9" s="5">
        <f>IF(BB9=0,0,'2021 Nto driftsutg landet'!$C$25*'2021 Lønnsand og pensjon land'!$D$15*('2021 Pensjon tjeneste'!M9/'2021 Lønnsgr pensjon tjeneste'!M9-$BE$17))</f>
        <v>-0.178017828259357</v>
      </c>
      <c r="BG9" s="5">
        <f t="shared" si="71"/>
        <v>-224.43259463924741</v>
      </c>
      <c r="BH9" s="59">
        <f>IF('2021 Lønnsgr pensjon tjeneste'!N9&lt;100,0,(C9/$C$17)*'2021 Pensjon tjeneste'!N9/'2021 Lønnsgr pensjon tjeneste'!N9)</f>
        <v>3.1981911353029094E-2</v>
      </c>
      <c r="BI9" s="5">
        <f>IF('2021 Lønnsgr pensjon tjeneste'!N9&lt;100,0,C9)</f>
        <v>1260731</v>
      </c>
      <c r="BJ9" s="59">
        <f t="shared" si="59"/>
        <v>0.23338982658638516</v>
      </c>
      <c r="BK9" s="59">
        <f t="shared" si="60"/>
        <v>1</v>
      </c>
      <c r="BL9" s="59">
        <f>IF(BI9=0,0,(BI9/$BI$17)*BK9*'2021 Pensjon tjeneste'!N9/'2021 Lønnsgr pensjon tjeneste'!N9)</f>
        <v>3.1981911353029094E-2</v>
      </c>
      <c r="BM9" s="5">
        <f>IF(BI9=0,0,'2021 Nto driftsutg landet'!$C$26*'2021 Lønnsand og pensjon land'!$D$16*('2021 Pensjon tjeneste'!N9/'2021 Lønnsgr pensjon tjeneste'!N9-$BL$17))</f>
        <v>-1.2860115698153602</v>
      </c>
      <c r="BN9" s="5">
        <f t="shared" si="72"/>
        <v>-1621.3146524248889</v>
      </c>
      <c r="BO9" s="59">
        <f>IF('2021 Lønnsgr pensjon tjeneste'!O9&lt;100,0,(C9/$C$17)*'2021 Pensjon tjeneste'!O9/'2021 Lønnsgr pensjon tjeneste'!O9)</f>
        <v>0</v>
      </c>
      <c r="BP9" s="5">
        <f>IF('2021 Lønnsgr pensjon tjeneste'!O9&lt;100,0,C9)</f>
        <v>0</v>
      </c>
      <c r="BQ9" s="59">
        <f t="shared" si="61"/>
        <v>0</v>
      </c>
      <c r="BR9" s="59">
        <f t="shared" si="62"/>
        <v>1</v>
      </c>
      <c r="BS9" s="59">
        <f>IF(BP9=0,0,(BP9/$BP$17)*BR9*'2021 Pensjon tjeneste'!O9/'2021 Lønnsgr pensjon tjeneste'!O9)</f>
        <v>0</v>
      </c>
      <c r="BT9" s="5">
        <f>IF(BP9=0,0,'2021 Nto driftsutg landet'!$C$27*'2021 Lønnsand og pensjon land'!$D$17*('2021 Pensjon tjeneste'!O9/'2021 Lønnsgr pensjon tjeneste'!O9-$BS$17))</f>
        <v>0</v>
      </c>
      <c r="BU9" s="5">
        <f t="shared" si="73"/>
        <v>0</v>
      </c>
      <c r="BV9" s="59">
        <f>IF('2021 Lønnsgr pensjon tjeneste'!P9&lt;100,0,(C9/$C$17)*'2021 Pensjon tjeneste'!P9/'2021 Lønnsgr pensjon tjeneste'!P9)</f>
        <v>2.935461060696784E-2</v>
      </c>
      <c r="BW9" s="5">
        <f>IF('2021 Lønnsgr pensjon tjeneste'!P9&lt;100,0,C9)</f>
        <v>1260731</v>
      </c>
      <c r="BX9" s="59">
        <f t="shared" si="63"/>
        <v>0.41352648036182921</v>
      </c>
      <c r="BY9" s="59">
        <f t="shared" si="64"/>
        <v>1</v>
      </c>
      <c r="BZ9" s="59">
        <f>IF(BW9=0,0,(BW9/$BW$17)*BY9*'2021 Pensjon tjeneste'!P9/'2021 Lønnsgr pensjon tjeneste'!P9)</f>
        <v>5.2011302224428471E-2</v>
      </c>
      <c r="CA9" s="5">
        <f>IF(BW9=0,0,'2021 Nto driftsutg landet'!$C$28*'2021 Lønnsand og pensjon land'!$D$18*('2021 Pensjon tjeneste'!P9/'2021 Lønnsgr pensjon tjeneste'!P9-$BZ$17))</f>
        <v>-1.3461597685702935E-3</v>
      </c>
      <c r="CB9" s="5">
        <f t="shared" si="74"/>
        <v>-1.6971453511893946</v>
      </c>
      <c r="CC9" s="5"/>
      <c r="CD9" s="5"/>
      <c r="CE9" s="5"/>
    </row>
    <row r="10" spans="1:83" x14ac:dyDescent="0.3">
      <c r="A10" s="43">
        <v>3400</v>
      </c>
      <c r="B10" s="44" t="s">
        <v>393</v>
      </c>
      <c r="C10" s="44">
        <f>+'2021 Nto driftsutg'!W10</f>
        <v>370701</v>
      </c>
      <c r="D10" s="59">
        <f>IF('2021 Lønnsgr pensjon tjeneste'!D10&lt;100,0,(C10/$C$17)*'2021 Revekting utgiftsbehov'!D10*'2021 Pensjon tjeneste'!D10/'2021 Lønnsgr pensjon tjeneste'!D10)</f>
        <v>8.6327024646771153E-3</v>
      </c>
      <c r="E10" s="5">
        <f>IF('2021 Lønnsgr pensjon tjeneste'!D10&lt;100,0,C10)</f>
        <v>370701</v>
      </c>
      <c r="F10" s="59">
        <f>'2021 Revekting utgiftsbehov'!D10*E10/$E$17</f>
        <v>7.0418712583136728E-2</v>
      </c>
      <c r="G10" s="59">
        <f>'2021 Revekting utgiftsbehov'!D10/$F$17</f>
        <v>1.0261357863492095</v>
      </c>
      <c r="H10" s="59">
        <f>IF(E10=0,0,(E10/$E$17)*G10*'2021 Pensjon tjeneste'!D10/'2021 Lønnsgr pensjon tjeneste'!D10)</f>
        <v>8.6327024654949264E-3</v>
      </c>
      <c r="I10" s="5">
        <f>IF(E10=0,0,'2021 Nto driftsutg landet'!$C$5*'2021 Lønnsand og pensjon land'!$D$6*('2021 Pensjon tjeneste'!D10/'2021 Lønnsgr pensjon tjeneste'!D10-$H$17)*'2021 Revekting utgiftsbehov'!D10)</f>
        <v>29.374562665815162</v>
      </c>
      <c r="J10" s="5">
        <f t="shared" si="75"/>
        <v>10889.179754780347</v>
      </c>
      <c r="K10" s="59">
        <f>IF('2021 Lønnsgr pensjon tjeneste'!E10&lt;100,0,(C10/$C$17)*'2021 Revekting utgiftsbehov'!E10*'2021 Pensjon tjeneste'!E10/'2021 Lønnsgr pensjon tjeneste'!E10)</f>
        <v>3.066370845586806E-2</v>
      </c>
      <c r="L10" s="5">
        <f>IF('2021 Lønnsgr pensjon tjeneste'!E10&lt;100,0,C10)</f>
        <v>370701</v>
      </c>
      <c r="M10" s="59">
        <f>'2021 Revekting utgiftsbehov'!E10*L10/$L$17</f>
        <v>0.11975629469149665</v>
      </c>
      <c r="N10" s="59">
        <f>'2021 Revekting utgiftsbehov'!E10/$M$17</f>
        <v>1.3726407797475817</v>
      </c>
      <c r="O10" s="59">
        <f>IF(L10=0,0,(L10/$L$17)*N10*'2021 Pensjon tjeneste'!E10/'2021 Lønnsgr pensjon tjeneste'!E10)</f>
        <v>3.1783072706801585E-2</v>
      </c>
      <c r="P10" s="5">
        <f>IF(L10=0,0,'2021 Nto driftsutg landet'!$C$6*'2021 Lønnsand og pensjon land'!$D$7*('2021 Pensjon tjeneste'!E10/'2021 Lønnsgr pensjon tjeneste'!E10-$O$17)*'2021 Revekting utgiftsbehov'!E10)</f>
        <v>-7.0439324097741576</v>
      </c>
      <c r="Q10" s="5">
        <f t="shared" si="65"/>
        <v>-2611.1927882356899</v>
      </c>
      <c r="R10" s="59">
        <f>IF('2021 Lønnsgr pensjon tjeneste'!F10&lt;100,0,(C10/$C$17)*'2021 Revekting utgiftsbehov'!F10*'2021 Pensjon tjeneste'!F10/'2021 Lønnsgr pensjon tjeneste'!F10)</f>
        <v>1.8887422927624756E-2</v>
      </c>
      <c r="S10" s="5">
        <f>IF('2021 Lønnsgr pensjon tjeneste'!F10&lt;100,0,C10)</f>
        <v>370701</v>
      </c>
      <c r="T10" s="59">
        <f>'2021 Revekting utgiftsbehov'!F10*S10/$S$17</f>
        <v>6.9292817763818931E-2</v>
      </c>
      <c r="U10" s="59">
        <f>'2021 Revekting utgiftsbehov'!F10/$T$17</f>
        <v>1.0097293367093605</v>
      </c>
      <c r="V10" s="59">
        <f>IF(S10=0,0,(S10/$S$17)*U10*'2021 Pensjon tjeneste'!F10/'2021 Lønnsgr pensjon tjeneste'!F10)</f>
        <v>1.8887422903931722E-2</v>
      </c>
      <c r="W10" s="5">
        <f>IF(S10=0,0,'2021 Nto driftsutg landet'!$C$7*'2021 Lønnsand og pensjon land'!$D$8*('2021 Pensjon tjeneste'!F10/'2021 Lønnsgr pensjon tjeneste'!F10-$V$17)*'2021 Revekting utgiftsbehov'!F10)</f>
        <v>1.9105957491226453</v>
      </c>
      <c r="X10" s="5">
        <f t="shared" si="66"/>
        <v>708.25975479551369</v>
      </c>
      <c r="Y10" s="59">
        <f>IF('2021 Lønnsgr pensjon tjeneste'!G10&lt;100,0,(C10/$C$17)*'2021 Revekting utgiftsbehov'!G10*'2021 Pensjon tjeneste'!G10/'2021 Lønnsgr pensjon tjeneste'!G10)</f>
        <v>2.6267538137830391E-4</v>
      </c>
      <c r="Z10" s="5">
        <f>IF('2021 Lønnsgr pensjon tjeneste'!G10&lt;100,0,C10)</f>
        <v>370701</v>
      </c>
      <c r="AA10" s="59">
        <f>'2021 Revekting utgiftsbehov'!G10*Z10/$Z$17</f>
        <v>5.9970554629092919E-3</v>
      </c>
      <c r="AB10" s="59">
        <f>'2021 Revekting utgiftsbehov'!G10/$AA$17</f>
        <v>2.2906768596468924E-2</v>
      </c>
      <c r="AC10" s="59">
        <f>IF(Z10=0,0,(Z10/$Z$17)*AB10*'2021 Pensjon tjeneste'!G10/'2021 Lønnsgr pensjon tjeneste'!G10)</f>
        <v>3.5388005954944756E-4</v>
      </c>
      <c r="AD10" s="5">
        <f>IF(Z10=0,0,'2021 Nto driftsutg landet'!$C$8*'2021 Lønnsand og pensjon land'!$D$9*('2021 Pensjon tjeneste'!G10/'2021 Lønnsgr pensjon tjeneste'!G10-$AC$17)*'2021 Revekting utgiftsbehov'!G10)</f>
        <v>-1.7392786191955611E-2</v>
      </c>
      <c r="AE10" s="5">
        <f t="shared" si="67"/>
        <v>-6.4475232341441373</v>
      </c>
      <c r="AF10" s="59">
        <f>IF('2021 Lønnsgr pensjon tjeneste'!H10&lt;100,0,(C10/$C$17)*'2021 Revekting utgiftsbehov'!H10*'2021 Pensjon tjeneste'!H10/'2021 Lønnsgr pensjon tjeneste'!H10)</f>
        <v>1.7271340546756823E-2</v>
      </c>
      <c r="AG10" s="5">
        <f>IF('2021 Lønnsgr pensjon tjeneste'!H10&lt;100,0,C10)</f>
        <v>370701</v>
      </c>
      <c r="AH10" s="59">
        <f>'2021 Revekting utgiftsbehov'!H10*AG10/$AG$17</f>
        <v>6.6137160338762754E-2</v>
      </c>
      <c r="AI10" s="59">
        <f>'2021 Revekting utgiftsbehov'!H10/$AH$17</f>
        <v>0.96374535245575521</v>
      </c>
      <c r="AJ10" s="59">
        <f>IF(AG10=0,0,(AG10/$AG$17)*AI10*'2021 Pensjon tjeneste'!H10/'2021 Lønnsgr pensjon tjeneste'!H10)</f>
        <v>1.7271340534852853E-2</v>
      </c>
      <c r="AK10" s="5">
        <f>IF(AG10=0,0,'2021 Nto driftsutg landet'!$C$9*'2021 Lønnsand og pensjon land'!$D$10*('2021 Pensjon tjeneste'!H10/'2021 Lønnsgr pensjon tjeneste'!H10-$AJ$17)*'2021 Revekting utgiftsbehov'!H10)</f>
        <v>13.498523345770504</v>
      </c>
      <c r="AL10" s="5">
        <f t="shared" si="68"/>
        <v>5003.9161028004719</v>
      </c>
      <c r="AM10" s="59">
        <f>IF('2021 Lønnsgr pensjon tjeneste'!K10&lt;100,0,(C10/$C$17)*'2021 Pensjon tjeneste'!K10/'2021 Lønnsgr pensjon tjeneste'!K10)</f>
        <v>1.6381113728100534E-2</v>
      </c>
      <c r="AN10" s="5">
        <f>IF('2021 Lønnsgr pensjon tjeneste'!K10&lt;100,0,C10)</f>
        <v>370701</v>
      </c>
      <c r="AO10" s="59">
        <f t="shared" si="53"/>
        <v>6.8625140577490015E-2</v>
      </c>
      <c r="AP10" s="59">
        <f t="shared" si="54"/>
        <v>0.99999999931076733</v>
      </c>
      <c r="AQ10" s="59">
        <f>IF(AN10=0,0,(AN10/$AN$17)*AP10*'2021 Pensjon tjeneste'!K10/'2021 Lønnsgr pensjon tjeneste'!K10)</f>
        <v>1.6381113716810135E-2</v>
      </c>
      <c r="AR10" s="5">
        <f>IF(AN10=0,0,'2021 Nto driftsutg landet'!$C$23*'2021 Lønnsand og pensjon land'!$D$13*('2021 Pensjon tjeneste'!K10/'2021 Lønnsgr pensjon tjeneste'!K10-$AQ$17))</f>
        <v>-33.733775105810892</v>
      </c>
      <c r="AS10" s="5">
        <f t="shared" si="69"/>
        <v>-12505.144165499203</v>
      </c>
      <c r="AT10" s="59">
        <f>IF('2021 Lønnsgr pensjon tjeneste'!L10&lt;100,0,(C10/$C$17)*'2021 Pensjon tjeneste'!L10/'2021 Lønnsgr pensjon tjeneste'!L10)</f>
        <v>2.1215089603244478E-2</v>
      </c>
      <c r="AU10" s="5">
        <f>IF('2021 Lønnsgr pensjon tjeneste'!L10&lt;100,0,C10)</f>
        <v>370701</v>
      </c>
      <c r="AV10" s="59">
        <f t="shared" si="55"/>
        <v>7.8776730517368554E-2</v>
      </c>
      <c r="AW10" s="59">
        <f t="shared" si="56"/>
        <v>1</v>
      </c>
      <c r="AX10" s="59">
        <f>IF(AU10=0,0,(AU10/$AU$17)*AW10*'2021 Pensjon tjeneste'!L10/'2021 Lønnsgr pensjon tjeneste'!L10)</f>
        <v>2.4353398514200087E-2</v>
      </c>
      <c r="AY10" s="5">
        <f>IF(AU10=0,0,'2021 Nto driftsutg landet'!$C$24*'2021 Lønnsand og pensjon land'!$D$14*('2021 Pensjon tjeneste'!L10/'2021 Lønnsgr pensjon tjeneste'!L10-$AX$17))</f>
        <v>5.3774341033567117</v>
      </c>
      <c r="AZ10" s="5">
        <f t="shared" si="70"/>
        <v>1993.4201995484364</v>
      </c>
      <c r="BA10" s="59">
        <f>IF('2021 Lønnsgr pensjon tjeneste'!M10&lt;100,0,(C10/$C$17)*'2021 Pensjon tjeneste'!M10/'2021 Lønnsgr pensjon tjeneste'!M10)</f>
        <v>1.8350781226267054E-2</v>
      </c>
      <c r="BB10" s="5">
        <f>IF('2021 Lønnsgr pensjon tjeneste'!M10&lt;100,0,C10)</f>
        <v>370701</v>
      </c>
      <c r="BC10" s="59">
        <f t="shared" si="57"/>
        <v>7.8776730517368554E-2</v>
      </c>
      <c r="BD10" s="59">
        <f t="shared" si="58"/>
        <v>1</v>
      </c>
      <c r="BE10" s="59">
        <f>IF(BB10=0,0,(BB10/$BB$17)*BD10*'2021 Pensjon tjeneste'!M10/'2021 Lønnsgr pensjon tjeneste'!M10)</f>
        <v>2.1065378304215922E-2</v>
      </c>
      <c r="BF10" s="5">
        <f>IF(BB10=0,0,'2021 Nto driftsutg landet'!$C$25*'2021 Lønnsand og pensjon land'!$D$15*('2021 Pensjon tjeneste'!M10/'2021 Lønnsgr pensjon tjeneste'!M10-$BE$17))</f>
        <v>0.41447495239349463</v>
      </c>
      <c r="BG10" s="5">
        <f t="shared" si="71"/>
        <v>153.64627932722087</v>
      </c>
      <c r="BH10" s="59">
        <f>IF('2021 Lønnsgr pensjon tjeneste'!N10&lt;100,0,(C10/$C$17)*'2021 Pensjon tjeneste'!N10/'2021 Lønnsgr pensjon tjeneste'!N10)</f>
        <v>7.4977618022251339E-3</v>
      </c>
      <c r="BI10" s="5">
        <f>IF('2021 Lønnsgr pensjon tjeneste'!N10&lt;100,0,C10)</f>
        <v>370701</v>
      </c>
      <c r="BJ10" s="59">
        <f t="shared" si="59"/>
        <v>6.8625140577490015E-2</v>
      </c>
      <c r="BK10" s="59">
        <f t="shared" si="60"/>
        <v>1</v>
      </c>
      <c r="BL10" s="59">
        <f>IF(BI10=0,0,(BI10/$BI$17)*BK10*'2021 Pensjon tjeneste'!N10/'2021 Lønnsgr pensjon tjeneste'!N10)</f>
        <v>7.4977618022251339E-3</v>
      </c>
      <c r="BM10" s="5">
        <f>IF(BI10=0,0,'2021 Nto driftsutg landet'!$C$26*'2021 Lønnsand og pensjon land'!$D$16*('2021 Pensjon tjeneste'!N10/'2021 Lønnsgr pensjon tjeneste'!N10-$BL$17))</f>
        <v>-1.9730669186580181</v>
      </c>
      <c r="BN10" s="5">
        <f t="shared" si="72"/>
        <v>-731.41787981344601</v>
      </c>
      <c r="BO10" s="59">
        <f>IF('2021 Lønnsgr pensjon tjeneste'!O10&lt;100,0,(C10/$C$17)*'2021 Pensjon tjeneste'!O10/'2021 Lønnsgr pensjon tjeneste'!O10)</f>
        <v>0</v>
      </c>
      <c r="BP10" s="5">
        <f>IF('2021 Lønnsgr pensjon tjeneste'!O10&lt;100,0,C10)</f>
        <v>0</v>
      </c>
      <c r="BQ10" s="59">
        <f t="shared" si="61"/>
        <v>0</v>
      </c>
      <c r="BR10" s="59">
        <f t="shared" si="62"/>
        <v>1</v>
      </c>
      <c r="BS10" s="59">
        <f>IF(BP10=0,0,(BP10/$BP$17)*BR10*'2021 Pensjon tjeneste'!O10/'2021 Lønnsgr pensjon tjeneste'!O10)</f>
        <v>0</v>
      </c>
      <c r="BT10" s="5">
        <f>IF(BP10=0,0,'2021 Nto driftsutg landet'!$C$27*'2021 Lønnsand og pensjon land'!$D$17*('2021 Pensjon tjeneste'!O10/'2021 Lønnsgr pensjon tjeneste'!O10-$BS$17))</f>
        <v>0</v>
      </c>
      <c r="BU10" s="5">
        <f t="shared" si="73"/>
        <v>0</v>
      </c>
      <c r="BV10" s="59">
        <f>IF('2021 Lønnsgr pensjon tjeneste'!P10&lt;100,0,(C10/$C$17)*'2021 Pensjon tjeneste'!P10/'2021 Lønnsgr pensjon tjeneste'!P10)</f>
        <v>0</v>
      </c>
      <c r="BW10" s="5">
        <f>IF('2021 Lønnsgr pensjon tjeneste'!P10&lt;100,0,C10)</f>
        <v>0</v>
      </c>
      <c r="BX10" s="59">
        <f t="shared" si="63"/>
        <v>0</v>
      </c>
      <c r="BY10" s="59">
        <f t="shared" si="64"/>
        <v>1</v>
      </c>
      <c r="BZ10" s="59">
        <f>IF(BW10=0,0,(BW10/$BW$17)*BY10*'2021 Pensjon tjeneste'!P10/'2021 Lønnsgr pensjon tjeneste'!P10)</f>
        <v>0</v>
      </c>
      <c r="CA10" s="5">
        <f>IF(BW10=0,0,'2021 Nto driftsutg landet'!$C$28*'2021 Lønnsand og pensjon land'!$D$18*('2021 Pensjon tjeneste'!P10/'2021 Lønnsgr pensjon tjeneste'!P10-$BZ$17))</f>
        <v>0</v>
      </c>
      <c r="CB10" s="5">
        <f t="shared" si="74"/>
        <v>0</v>
      </c>
      <c r="CC10" s="5"/>
      <c r="CD10" s="5"/>
      <c r="CE10" s="5"/>
    </row>
    <row r="11" spans="1:83" x14ac:dyDescent="0.3">
      <c r="A11" s="43">
        <v>3800</v>
      </c>
      <c r="B11" s="44" t="s">
        <v>394</v>
      </c>
      <c r="C11" s="44">
        <f>+'2021 Nto driftsutg'!W11</f>
        <v>423144</v>
      </c>
      <c r="D11" s="59">
        <f>IF('2021 Lønnsgr pensjon tjeneste'!D11&lt;100,0,(C11/$C$17)*'2021 Revekting utgiftsbehov'!D11*'2021 Pensjon tjeneste'!D11/'2021 Lønnsgr pensjon tjeneste'!D11)</f>
        <v>9.7211484646490907E-3</v>
      </c>
      <c r="E11" s="5">
        <f>IF('2021 Lønnsgr pensjon tjeneste'!D11&lt;100,0,C11)</f>
        <v>423144</v>
      </c>
      <c r="F11" s="59">
        <f>'2021 Revekting utgiftsbehov'!D11*E11/$E$17</f>
        <v>7.9813111221490041E-2</v>
      </c>
      <c r="G11" s="59">
        <f>'2021 Revekting utgiftsbehov'!D11/$F$17</f>
        <v>1.0188882734125231</v>
      </c>
      <c r="H11" s="59">
        <f>IF(E11=0,0,(E11/$E$17)*G11*'2021 Pensjon tjeneste'!D11/'2021 Lønnsgr pensjon tjeneste'!D11)</f>
        <v>9.721148465570012E-3</v>
      </c>
      <c r="I11" s="5">
        <f>IF(E11=0,0,'2021 Nto driftsutg landet'!$C$5*'2021 Lønnsand og pensjon land'!$D$6*('2021 Pensjon tjeneste'!D11/'2021 Lønnsgr pensjon tjeneste'!D11-$H$17)*'2021 Revekting utgiftsbehov'!D11)</f>
        <v>26.412826751544294</v>
      </c>
      <c r="J11" s="5">
        <f t="shared" si="75"/>
        <v>11176.429162955459</v>
      </c>
      <c r="K11" s="59">
        <f>IF('2021 Lønnsgr pensjon tjeneste'!E11&lt;100,0,(C11/$C$17)*'2021 Revekting utgiftsbehov'!E11*'2021 Pensjon tjeneste'!E11/'2021 Lønnsgr pensjon tjeneste'!E11)</f>
        <v>1.6611635023430896E-2</v>
      </c>
      <c r="L11" s="5">
        <f>IF('2021 Lønnsgr pensjon tjeneste'!E11&lt;100,0,C11)</f>
        <v>423144</v>
      </c>
      <c r="M11" s="59">
        <f>'2021 Revekting utgiftsbehov'!E11*L11/$L$17</f>
        <v>8.681166708292902E-2</v>
      </c>
      <c r="N11" s="59">
        <f>'2021 Revekting utgiftsbehov'!E11/$M$17</f>
        <v>0.87171037226762682</v>
      </c>
      <c r="O11" s="59">
        <f>IF(L11=0,0,(L11/$L$17)*N11*'2021 Pensjon tjeneste'!E11/'2021 Lønnsgr pensjon tjeneste'!E11)</f>
        <v>1.7218034944743266E-2</v>
      </c>
      <c r="P11" s="5">
        <f>IF(L11=0,0,'2021 Nto driftsutg landet'!$C$6*'2021 Lønnsand og pensjon land'!$D$7*('2021 Pensjon tjeneste'!E11/'2021 Lønnsgr pensjon tjeneste'!E11-$O$17)*'2021 Revekting utgiftsbehov'!E11)</f>
        <v>-12.167074380268224</v>
      </c>
      <c r="Q11" s="5">
        <f t="shared" si="65"/>
        <v>-5148.4245215642177</v>
      </c>
      <c r="R11" s="59">
        <f>IF('2021 Lønnsgr pensjon tjeneste'!F11&lt;100,0,(C11/$C$17)*'2021 Revekting utgiftsbehov'!F11*'2021 Pensjon tjeneste'!F11/'2021 Lønnsgr pensjon tjeneste'!F11)</f>
        <v>1.3606384623004524E-2</v>
      </c>
      <c r="S11" s="5">
        <f>IF('2021 Lønnsgr pensjon tjeneste'!F11&lt;100,0,C11)</f>
        <v>423144</v>
      </c>
      <c r="T11" s="59">
        <f>'2021 Revekting utgiftsbehov'!F11*S11/$S$17</f>
        <v>5.6996427666748083E-2</v>
      </c>
      <c r="U11" s="59">
        <f>'2021 Revekting utgiftsbehov'!F11/$T$17</f>
        <v>0.72761217811125811</v>
      </c>
      <c r="V11" s="59">
        <f>IF(S11=0,0,(S11/$S$17)*U11*'2021 Pensjon tjeneste'!F11/'2021 Lønnsgr pensjon tjeneste'!F11)</f>
        <v>1.3606384605936205E-2</v>
      </c>
      <c r="W11" s="5">
        <f>IF(S11=0,0,'2021 Nto driftsutg landet'!$C$7*'2021 Lønnsand og pensjon land'!$D$8*('2021 Pensjon tjeneste'!F11/'2021 Lønnsgr pensjon tjeneste'!F11-$V$17)*'2021 Revekting utgiftsbehov'!F11)</f>
        <v>0.52460959868241452</v>
      </c>
      <c r="X11" s="5">
        <f t="shared" si="66"/>
        <v>221.98540402487163</v>
      </c>
      <c r="Y11" s="59">
        <f>IF('2021 Lønnsgr pensjon tjeneste'!G11&lt;100,0,(C11/$C$17)*'2021 Revekting utgiftsbehov'!G11*'2021 Pensjon tjeneste'!G11/'2021 Lønnsgr pensjon tjeneste'!G11)</f>
        <v>0</v>
      </c>
      <c r="Z11" s="5">
        <f>IF('2021 Lønnsgr pensjon tjeneste'!G11&lt;100,0,C11)</f>
        <v>0</v>
      </c>
      <c r="AA11" s="59">
        <f>'2021 Revekting utgiftsbehov'!G11*Z11/$Z$17</f>
        <v>0</v>
      </c>
      <c r="AB11" s="59">
        <f>'2021 Revekting utgiftsbehov'!G11/$AA$17</f>
        <v>9.508947147603436E-2</v>
      </c>
      <c r="AC11" s="59">
        <f>IF(Z11=0,0,(Z11/$Z$17)*AB11*'2021 Pensjon tjeneste'!G11/'2021 Lønnsgr pensjon tjeneste'!G11)</f>
        <v>0</v>
      </c>
      <c r="AD11" s="5">
        <f>IF(Z11=0,0,'2021 Nto driftsutg landet'!$C$8*'2021 Lønnsand og pensjon land'!$D$9*('2021 Pensjon tjeneste'!G11/'2021 Lønnsgr pensjon tjeneste'!G11-$AC$17)*'2021 Revekting utgiftsbehov'!G11)</f>
        <v>0</v>
      </c>
      <c r="AE11" s="5">
        <f t="shared" si="67"/>
        <v>0</v>
      </c>
      <c r="AF11" s="59">
        <f>IF('2021 Lønnsgr pensjon tjeneste'!H11&lt;100,0,(C11/$C$17)*'2021 Revekting utgiftsbehov'!H11*'2021 Pensjon tjeneste'!H11/'2021 Lønnsgr pensjon tjeneste'!H11)</f>
        <v>2.0133255372918719E-2</v>
      </c>
      <c r="AG11" s="5">
        <f>IF('2021 Lønnsgr pensjon tjeneste'!H11&lt;100,0,C11)</f>
        <v>423144</v>
      </c>
      <c r="AH11" s="59">
        <f>'2021 Revekting utgiftsbehov'!H11*AG11/$AG$17</f>
        <v>7.8225472319578632E-2</v>
      </c>
      <c r="AI11" s="59">
        <f>'2021 Revekting utgiftsbehov'!H11/$AH$17</f>
        <v>0.9986205918587181</v>
      </c>
      <c r="AJ11" s="59">
        <f>IF(AG11=0,0,(AG11/$AG$17)*AI11*'2021 Pensjon tjeneste'!H11/'2021 Lønnsgr pensjon tjeneste'!H11)</f>
        <v>2.0133255359042219E-2</v>
      </c>
      <c r="AK11" s="5">
        <f>IF(AG11=0,0,'2021 Nto driftsutg landet'!$C$9*'2021 Lønnsand og pensjon land'!$D$10*('2021 Pensjon tjeneste'!H11/'2021 Lønnsgr pensjon tjeneste'!H11-$AJ$17)*'2021 Revekting utgiftsbehov'!H11)</f>
        <v>12.986913404262621</v>
      </c>
      <c r="AL11" s="5">
        <f t="shared" si="68"/>
        <v>5495.3344855333025</v>
      </c>
      <c r="AM11" s="59">
        <f>IF('2021 Lønnsgr pensjon tjeneste'!K11&lt;100,0,(C11/$C$17)*'2021 Pensjon tjeneste'!K11/'2021 Lønnsgr pensjon tjeneste'!K11)</f>
        <v>1.7284593644198723E-2</v>
      </c>
      <c r="AN11" s="5">
        <f>IF('2021 Lønnsgr pensjon tjeneste'!K11&lt;100,0,C11)</f>
        <v>423144</v>
      </c>
      <c r="AO11" s="59">
        <f t="shared" si="53"/>
        <v>7.8333526169396456E-2</v>
      </c>
      <c r="AP11" s="59">
        <f t="shared" si="54"/>
        <v>0.99999999931076733</v>
      </c>
      <c r="AQ11" s="59">
        <f>IF(AN11=0,0,(AN11/$AN$17)*AP11*'2021 Pensjon tjeneste'!K11/'2021 Lønnsgr pensjon tjeneste'!K11)</f>
        <v>1.7284593632285617E-2</v>
      </c>
      <c r="AR11" s="5">
        <f>IF(AN11=0,0,'2021 Nto driftsutg landet'!$C$23*'2021 Lønnsand og pensjon land'!$D$13*('2021 Pensjon tjeneste'!K11/'2021 Lønnsgr pensjon tjeneste'!K11-$AQ$17))</f>
        <v>-39.492402733291925</v>
      </c>
      <c r="AS11" s="5">
        <f t="shared" si="69"/>
        <v>-16710.973262176078</v>
      </c>
      <c r="AT11" s="59">
        <f>IF('2021 Lønnsgr pensjon tjeneste'!L11&lt;100,0,(C11/$C$17)*'2021 Pensjon tjeneste'!L11/'2021 Lønnsgr pensjon tjeneste'!L11)</f>
        <v>1.739954201903262E-2</v>
      </c>
      <c r="AU11" s="5">
        <f>IF('2021 Lønnsgr pensjon tjeneste'!L11&lt;100,0,C11)</f>
        <v>423144</v>
      </c>
      <c r="AV11" s="59">
        <f t="shared" si="55"/>
        <v>8.9921259608259488E-2</v>
      </c>
      <c r="AW11" s="59">
        <f t="shared" si="56"/>
        <v>1</v>
      </c>
      <c r="AX11" s="59">
        <f>IF(AU11=0,0,(AU11/$AU$17)*AW11*'2021 Pensjon tjeneste'!L11/'2021 Lønnsgr pensjon tjeneste'!L11)</f>
        <v>1.9973424042916497E-2</v>
      </c>
      <c r="AY11" s="5">
        <f>IF(AU11=0,0,'2021 Nto driftsutg landet'!$C$24*'2021 Lønnsand og pensjon land'!$D$14*('2021 Pensjon tjeneste'!L11/'2021 Lønnsgr pensjon tjeneste'!L11-$AX$17))</f>
        <v>1.5990403049327833</v>
      </c>
      <c r="AZ11" s="5">
        <f t="shared" si="70"/>
        <v>676.62431079047769</v>
      </c>
      <c r="BA11" s="59">
        <f>IF('2021 Lønnsgr pensjon tjeneste'!M11&lt;100,0,(C11/$C$17)*'2021 Pensjon tjeneste'!M11/'2021 Lønnsgr pensjon tjeneste'!M11)</f>
        <v>1.6114574073839677E-2</v>
      </c>
      <c r="BB11" s="5">
        <f>IF('2021 Lønnsgr pensjon tjeneste'!M11&lt;100,0,C11)</f>
        <v>423144</v>
      </c>
      <c r="BC11" s="59">
        <f t="shared" si="57"/>
        <v>8.9921259608259488E-2</v>
      </c>
      <c r="BD11" s="59">
        <f t="shared" si="58"/>
        <v>1</v>
      </c>
      <c r="BE11" s="59">
        <f>IF(BB11=0,0,(BB11/$BB$17)*BD11*'2021 Pensjon tjeneste'!M11/'2021 Lønnsgr pensjon tjeneste'!M11)</f>
        <v>1.8498373169576286E-2</v>
      </c>
      <c r="BF11" s="5">
        <f>IF(BB11=0,0,'2021 Nto driftsutg landet'!$C$25*'2021 Lønnsand og pensjon land'!$D$15*('2021 Pensjon tjeneste'!M11/'2021 Lønnsgr pensjon tjeneste'!M11-$BE$17))</f>
        <v>0.11902003095515643</v>
      </c>
      <c r="BG11" s="5">
        <f t="shared" si="71"/>
        <v>50.362611978488715</v>
      </c>
      <c r="BH11" s="59">
        <f>IF('2021 Lønnsgr pensjon tjeneste'!N11&lt;100,0,(C11/$C$17)*'2021 Pensjon tjeneste'!N11/'2021 Lønnsgr pensjon tjeneste'!N11)</f>
        <v>1.9484890101230844E-2</v>
      </c>
      <c r="BI11" s="5">
        <f>IF('2021 Lønnsgr pensjon tjeneste'!N11&lt;100,0,C11)</f>
        <v>423144</v>
      </c>
      <c r="BJ11" s="59">
        <f t="shared" si="59"/>
        <v>7.8333526169396456E-2</v>
      </c>
      <c r="BK11" s="59">
        <f t="shared" si="60"/>
        <v>1</v>
      </c>
      <c r="BL11" s="59">
        <f>IF(BI11=0,0,(BI11/$BI$17)*BK11*'2021 Pensjon tjeneste'!N11/'2021 Lønnsgr pensjon tjeneste'!N11)</f>
        <v>1.9484890101230844E-2</v>
      </c>
      <c r="BM11" s="5">
        <f>IF(BI11=0,0,'2021 Nto driftsutg landet'!$C$26*'2021 Lønnsand og pensjon land'!$D$16*('2021 Pensjon tjeneste'!N11/'2021 Lønnsgr pensjon tjeneste'!N11-$BL$17))</f>
        <v>1.4772740235156037</v>
      </c>
      <c r="BN11" s="5">
        <f t="shared" si="72"/>
        <v>625.09963940648663</v>
      </c>
      <c r="BO11" s="59">
        <f>IF('2021 Lønnsgr pensjon tjeneste'!O11&lt;100,0,(C11/$C$17)*'2021 Pensjon tjeneste'!O11/'2021 Lønnsgr pensjon tjeneste'!O11)</f>
        <v>1.3394693868792901E-2</v>
      </c>
      <c r="BP11" s="5">
        <f>IF('2021 Lønnsgr pensjon tjeneste'!O11&lt;100,0,C11)</f>
        <v>423144</v>
      </c>
      <c r="BQ11" s="59">
        <f t="shared" si="61"/>
        <v>1</v>
      </c>
      <c r="BR11" s="59">
        <f t="shared" si="62"/>
        <v>1</v>
      </c>
      <c r="BS11" s="59">
        <f>IF(BP11=0,0,(BP11/$BP$17)*BR11*'2021 Pensjon tjeneste'!O11/'2021 Lønnsgr pensjon tjeneste'!O11)</f>
        <v>0.17099567099567101</v>
      </c>
      <c r="BT11" s="5">
        <f>IF(BP11=0,0,'2021 Nto driftsutg landet'!$C$27*'2021 Lønnsand og pensjon land'!$D$17*('2021 Pensjon tjeneste'!O11/'2021 Lønnsgr pensjon tjeneste'!O11-$BS$17))</f>
        <v>0</v>
      </c>
      <c r="BU11" s="5">
        <f t="shared" si="73"/>
        <v>0</v>
      </c>
      <c r="BV11" s="59">
        <f>IF('2021 Lønnsgr pensjon tjeneste'!P11&lt;100,0,(C11/$C$17)*'2021 Pensjon tjeneste'!P11/'2021 Lønnsgr pensjon tjeneste'!P11)</f>
        <v>1.3288723189451184E-2</v>
      </c>
      <c r="BW11" s="5">
        <f>IF('2021 Lønnsgr pensjon tjeneste'!P11&lt;100,0,C11)</f>
        <v>423144</v>
      </c>
      <c r="BX11" s="59">
        <f t="shared" si="63"/>
        <v>0.13879348489584684</v>
      </c>
      <c r="BY11" s="59">
        <f t="shared" si="64"/>
        <v>1</v>
      </c>
      <c r="BZ11" s="59">
        <f>IF(BW11=0,0,(BW11/$BW$17)*BY11*'2021 Pensjon tjeneste'!P11/'2021 Lønnsgr pensjon tjeneste'!P11)</f>
        <v>2.3545323330545445E-2</v>
      </c>
      <c r="CA11" s="5">
        <f>IF(BW11=0,0,'2021 Nto driftsutg landet'!$C$28*'2021 Lønnsand og pensjon land'!$D$18*('2021 Pensjon tjeneste'!P11/'2021 Lønnsgr pensjon tjeneste'!P11-$BZ$17))</f>
        <v>1.4873996722270457E-3</v>
      </c>
      <c r="CB11" s="5">
        <f t="shared" si="74"/>
        <v>0.62938424690484096</v>
      </c>
      <c r="CC11" s="5"/>
      <c r="CD11" s="5"/>
      <c r="CE11" s="5"/>
    </row>
    <row r="12" spans="1:83" x14ac:dyDescent="0.3">
      <c r="A12" s="43">
        <v>4200</v>
      </c>
      <c r="B12" s="44" t="s">
        <v>395</v>
      </c>
      <c r="C12" s="44">
        <f>+'2021 Nto driftsutg'!W12</f>
        <v>309508</v>
      </c>
      <c r="D12" s="59">
        <f>IF('2021 Lønnsgr pensjon tjeneste'!D12&lt;100,0,(C12/$C$17)*'2021 Revekting utgiftsbehov'!D12*'2021 Pensjon tjeneste'!D12/'2021 Lønnsgr pensjon tjeneste'!D12)</f>
        <v>6.7813399791183315E-3</v>
      </c>
      <c r="E12" s="5">
        <f>IF('2021 Lønnsgr pensjon tjeneste'!D12&lt;100,0,C12)</f>
        <v>309508</v>
      </c>
      <c r="F12" s="59">
        <f>'2021 Revekting utgiftsbehov'!D12*E12/$E$17</f>
        <v>6.0179007367751322E-2</v>
      </c>
      <c r="G12" s="59">
        <f>'2021 Revekting utgiftsbehov'!D12/$F$17</f>
        <v>1.0503006917594988</v>
      </c>
      <c r="H12" s="59">
        <f>IF(E12=0,0,(E12/$E$17)*G12*'2021 Pensjon tjeneste'!D12/'2021 Lønnsgr pensjon tjeneste'!D12)</f>
        <v>6.7813399797607534E-3</v>
      </c>
      <c r="I12" s="5">
        <f>IF(E12=0,0,'2021 Nto driftsutg landet'!$C$5*'2021 Lønnsand og pensjon land'!$D$6*('2021 Pensjon tjeneste'!D12/'2021 Lønnsgr pensjon tjeneste'!D12-$H$17)*'2021 Revekting utgiftsbehov'!D12)</f>
        <v>-5.4347792147100158</v>
      </c>
      <c r="J12" s="5">
        <f t="shared" si="75"/>
        <v>-1682.1076451864676</v>
      </c>
      <c r="K12" s="59">
        <f>IF('2021 Lønnsgr pensjon tjeneste'!E12&lt;100,0,(C12/$C$17)*'2021 Revekting utgiftsbehov'!E12*'2021 Pensjon tjeneste'!E12/'2021 Lønnsgr pensjon tjeneste'!E12)</f>
        <v>2.149093091688227E-2</v>
      </c>
      <c r="L12" s="5">
        <f>IF('2021 Lønnsgr pensjon tjeneste'!E12&lt;100,0,C12)</f>
        <v>309508</v>
      </c>
      <c r="M12" s="59">
        <f>'2021 Revekting utgiftsbehov'!E12*L12/$L$17</f>
        <v>7.6648688833172426E-2</v>
      </c>
      <c r="N12" s="59">
        <f>'2021 Revekting utgiftsbehov'!E12/$M$17</f>
        <v>1.0522408445717317</v>
      </c>
      <c r="O12" s="59">
        <f>IF(L12=0,0,(L12/$L$17)*N12*'2021 Pensjon tjeneste'!E12/'2021 Lønnsgr pensjon tjeneste'!E12)</f>
        <v>2.2275447239239764E-2</v>
      </c>
      <c r="P12" s="5">
        <f>IF(L12=0,0,'2021 Nto driftsutg landet'!$C$6*'2021 Lønnsand og pensjon land'!$D$7*('2021 Pensjon tjeneste'!E12/'2021 Lønnsgr pensjon tjeneste'!E12-$O$17)*'2021 Revekting utgiftsbehov'!E12)</f>
        <v>-1.9071096340705562</v>
      </c>
      <c r="Q12" s="5">
        <f t="shared" si="65"/>
        <v>-590.2656886219097</v>
      </c>
      <c r="R12" s="59">
        <f>IF('2021 Lønnsgr pensjon tjeneste'!F12&lt;100,0,(C12/$C$17)*'2021 Revekting utgiftsbehov'!F12*'2021 Pensjon tjeneste'!F12/'2021 Lønnsgr pensjon tjeneste'!F12)</f>
        <v>9.6067805775185908E-3</v>
      </c>
      <c r="S12" s="5">
        <f>IF('2021 Lønnsgr pensjon tjeneste'!F12&lt;100,0,C12)</f>
        <v>309508</v>
      </c>
      <c r="T12" s="59">
        <f>'2021 Revekting utgiftsbehov'!F12*S12/$S$17</f>
        <v>4.6625742868086975E-2</v>
      </c>
      <c r="U12" s="59">
        <f>'2021 Revekting utgiftsbehov'!F12/$T$17</f>
        <v>0.8137563589711958</v>
      </c>
      <c r="V12" s="59">
        <f>IF(S12=0,0,(S12/$S$17)*U12*'2021 Pensjon tjeneste'!F12/'2021 Lønnsgr pensjon tjeneste'!F12)</f>
        <v>9.6067805654675119E-3</v>
      </c>
      <c r="W12" s="5">
        <f>IF(S12=0,0,'2021 Nto driftsutg landet'!$C$7*'2021 Lønnsand og pensjon land'!$D$8*('2021 Pensjon tjeneste'!F12/'2021 Lønnsgr pensjon tjeneste'!F12-$V$17)*'2021 Revekting utgiftsbehov'!F12)</f>
        <v>-0.33347168675655087</v>
      </c>
      <c r="X12" s="5">
        <f t="shared" si="66"/>
        <v>-103.21215482464653</v>
      </c>
      <c r="Y12" s="59">
        <f>IF('2021 Lønnsgr pensjon tjeneste'!G12&lt;100,0,(C12/$C$17)*'2021 Revekting utgiftsbehov'!G12*'2021 Pensjon tjeneste'!G12/'2021 Lønnsgr pensjon tjeneste'!G12)</f>
        <v>2.7852828939733112E-3</v>
      </c>
      <c r="Z12" s="5">
        <f>IF('2021 Lønnsgr pensjon tjeneste'!G12&lt;100,0,C12)</f>
        <v>309508</v>
      </c>
      <c r="AA12" s="59">
        <f>'2021 Revekting utgiftsbehov'!G12*Z12/$Z$17</f>
        <v>3.086391953240062E-2</v>
      </c>
      <c r="AB12" s="59">
        <f>'2021 Revekting utgiftsbehov'!G12/$AA$17</f>
        <v>0.14119805681232675</v>
      </c>
      <c r="AC12" s="59">
        <f>IF(Z12=0,0,(Z12/$Z$17)*AB12*'2021 Pensjon tjeneste'!G12/'2021 Lønnsgr pensjon tjeneste'!G12)</f>
        <v>3.7523732570955912E-3</v>
      </c>
      <c r="AD12" s="5">
        <f>IF(Z12=0,0,'2021 Nto driftsutg landet'!$C$8*'2021 Lønnsand og pensjon land'!$D$9*('2021 Pensjon tjeneste'!G12/'2021 Lønnsgr pensjon tjeneste'!G12-$AC$17)*'2021 Revekting utgiftsbehov'!G12)</f>
        <v>8.1975101506083416E-3</v>
      </c>
      <c r="AE12" s="5">
        <f t="shared" si="67"/>
        <v>2.5371949716944866</v>
      </c>
      <c r="AF12" s="59">
        <f>IF('2021 Lønnsgr pensjon tjeneste'!H12&lt;100,0,(C12/$C$17)*'2021 Revekting utgiftsbehov'!H12*'2021 Pensjon tjeneste'!H12/'2021 Lønnsgr pensjon tjeneste'!H12)</f>
        <v>1.3515942874856633E-2</v>
      </c>
      <c r="AG12" s="5">
        <f>IF('2021 Lønnsgr pensjon tjeneste'!H12&lt;100,0,C12)</f>
        <v>309508</v>
      </c>
      <c r="AH12" s="59">
        <f>'2021 Revekting utgiftsbehov'!H12*AG12/$AG$17</f>
        <v>6.0086267547513679E-2</v>
      </c>
      <c r="AI12" s="59">
        <f>'2021 Revekting utgiftsbehov'!H12/$AH$17</f>
        <v>1.048682108285214</v>
      </c>
      <c r="AJ12" s="59">
        <f>IF(AG12=0,0,(AG12/$AG$17)*AI12*'2021 Pensjon tjeneste'!H12/'2021 Lønnsgr pensjon tjeneste'!H12)</f>
        <v>1.3515942865541005E-2</v>
      </c>
      <c r="AK12" s="5">
        <f>IF(AG12=0,0,'2021 Nto driftsutg landet'!$C$9*'2021 Lønnsand og pensjon land'!$D$10*('2021 Pensjon tjeneste'!H12/'2021 Lønnsgr pensjon tjeneste'!H12-$AJ$17)*'2021 Revekting utgiftsbehov'!H12)</f>
        <v>4.6022228088044219</v>
      </c>
      <c r="AL12" s="5">
        <f t="shared" si="68"/>
        <v>1424.424777107439</v>
      </c>
      <c r="AM12" s="59">
        <f>IF('2021 Lønnsgr pensjon tjeneste'!K12&lt;100,0,(C12/$C$17)*'2021 Pensjon tjeneste'!K12/'2021 Lønnsgr pensjon tjeneste'!K12)</f>
        <v>2.0498725557838309E-2</v>
      </c>
      <c r="AN12" s="5">
        <f>IF('2021 Lønnsgr pensjon tjeneste'!K12&lt;100,0,C12)</f>
        <v>309508</v>
      </c>
      <c r="AO12" s="59">
        <f t="shared" si="53"/>
        <v>5.7296932055370176E-2</v>
      </c>
      <c r="AP12" s="59">
        <f t="shared" si="54"/>
        <v>0.99999999931076733</v>
      </c>
      <c r="AQ12" s="59">
        <f>IF(AN12=0,0,(AN12/$AN$17)*AP12*'2021 Pensjon tjeneste'!K12/'2021 Lønnsgr pensjon tjeneste'!K12)</f>
        <v>2.0498725543709916E-2</v>
      </c>
      <c r="AR12" s="5">
        <f>IF(AN12=0,0,'2021 Nto driftsutg landet'!$C$23*'2021 Lønnsand og pensjon land'!$D$13*('2021 Pensjon tjeneste'!K12/'2021 Lønnsgr pensjon tjeneste'!K12-$AQ$17))</f>
        <v>4.24956320063652</v>
      </c>
      <c r="AS12" s="5">
        <f t="shared" si="69"/>
        <v>1315.2738071026081</v>
      </c>
      <c r="AT12" s="59">
        <f>IF('2021 Lønnsgr pensjon tjeneste'!L12&lt;100,0,(C12/$C$17)*'2021 Pensjon tjeneste'!L12/'2021 Lønnsgr pensjon tjeneste'!L12)</f>
        <v>1.2076855491796455E-2</v>
      </c>
      <c r="AU12" s="5">
        <f>IF('2021 Lønnsgr pensjon tjeneste'!L12&lt;100,0,C12)</f>
        <v>309508</v>
      </c>
      <c r="AV12" s="59">
        <f t="shared" si="55"/>
        <v>6.5772761090392817E-2</v>
      </c>
      <c r="AW12" s="59">
        <f t="shared" si="56"/>
        <v>1</v>
      </c>
      <c r="AX12" s="59">
        <f>IF(AU12=0,0,(AU12/$AU$17)*AW12*'2021 Pensjon tjeneste'!L12/'2021 Lønnsgr pensjon tjeneste'!L12)</f>
        <v>1.386336235625164E-2</v>
      </c>
      <c r="AY12" s="5">
        <f>IF(AU12=0,0,'2021 Nto driftsutg landet'!$C$24*'2021 Lønnsand og pensjon land'!$D$14*('2021 Pensjon tjeneste'!L12/'2021 Lønnsgr pensjon tjeneste'!L12-$AX$17))</f>
        <v>1.1064777500011382</v>
      </c>
      <c r="AZ12" s="5">
        <f t="shared" si="70"/>
        <v>342.46371544735229</v>
      </c>
      <c r="BA12" s="59">
        <f>IF('2021 Lønnsgr pensjon tjeneste'!M12&lt;100,0,(C12/$C$17)*'2021 Pensjon tjeneste'!M12/'2021 Lønnsgr pensjon tjeneste'!M12)</f>
        <v>1.2405123553252706E-2</v>
      </c>
      <c r="BB12" s="5">
        <f>IF('2021 Lønnsgr pensjon tjeneste'!M12&lt;100,0,C12)</f>
        <v>309508</v>
      </c>
      <c r="BC12" s="59">
        <f t="shared" si="57"/>
        <v>6.5772761090392817E-2</v>
      </c>
      <c r="BD12" s="59">
        <f t="shared" si="58"/>
        <v>1</v>
      </c>
      <c r="BE12" s="59">
        <f>IF(BB12=0,0,(BB12/$BB$17)*BD12*'2021 Pensjon tjeneste'!M12/'2021 Lønnsgr pensjon tjeneste'!M12)</f>
        <v>1.4240190504029313E-2</v>
      </c>
      <c r="BF12" s="5">
        <f>IF(BB12=0,0,'2021 Nto driftsutg landet'!$C$25*'2021 Lønnsand og pensjon land'!$D$15*('2021 Pensjon tjeneste'!M12/'2021 Lønnsgr pensjon tjeneste'!M12-$BE$17))</f>
        <v>0.17069074489650549</v>
      </c>
      <c r="BG12" s="5">
        <f t="shared" si="71"/>
        <v>52.830151071427622</v>
      </c>
      <c r="BH12" s="59">
        <f>IF('2021 Lønnsgr pensjon tjeneste'!N12&lt;100,0,(C12/$C$17)*'2021 Pensjon tjeneste'!N12/'2021 Lønnsgr pensjon tjeneste'!N12)</f>
        <v>1.1702129468449302E-2</v>
      </c>
      <c r="BI12" s="5">
        <f>IF('2021 Lønnsgr pensjon tjeneste'!N12&lt;100,0,C12)</f>
        <v>309508</v>
      </c>
      <c r="BJ12" s="59">
        <f t="shared" si="59"/>
        <v>5.7296932055370176E-2</v>
      </c>
      <c r="BK12" s="59">
        <f t="shared" si="60"/>
        <v>1</v>
      </c>
      <c r="BL12" s="59">
        <f>IF(BI12=0,0,(BI12/$BI$17)*BK12*'2021 Pensjon tjeneste'!N12/'2021 Lønnsgr pensjon tjeneste'!N12)</f>
        <v>1.1702129468449302E-2</v>
      </c>
      <c r="BM12" s="5">
        <f>IF(BI12=0,0,'2021 Nto driftsutg landet'!$C$26*'2021 Lønnsand og pensjon land'!$D$16*('2021 Pensjon tjeneste'!N12/'2021 Lønnsgr pensjon tjeneste'!N12-$BL$17))</f>
        <v>0.37636574217989477</v>
      </c>
      <c r="BN12" s="5">
        <f t="shared" si="72"/>
        <v>116.48820813061488</v>
      </c>
      <c r="BO12" s="59">
        <f>IF('2021 Lønnsgr pensjon tjeneste'!O12&lt;100,0,(C12/$C$17)*'2021 Pensjon tjeneste'!O12/'2021 Lønnsgr pensjon tjeneste'!O12)</f>
        <v>0</v>
      </c>
      <c r="BP12" s="5">
        <f>IF('2021 Lønnsgr pensjon tjeneste'!O12&lt;100,0,C12)</f>
        <v>0</v>
      </c>
      <c r="BQ12" s="59">
        <f t="shared" si="61"/>
        <v>0</v>
      </c>
      <c r="BR12" s="59">
        <f t="shared" si="62"/>
        <v>1</v>
      </c>
      <c r="BS12" s="59">
        <f>IF(BP12=0,0,(BP12/$BP$17)*BR12*'2021 Pensjon tjeneste'!O12/'2021 Lønnsgr pensjon tjeneste'!O12)</f>
        <v>0</v>
      </c>
      <c r="BT12" s="5">
        <f>IF(BP12=0,0,'2021 Nto driftsutg landet'!$C$27*'2021 Lønnsand og pensjon land'!$D$17*('2021 Pensjon tjeneste'!O12/'2021 Lønnsgr pensjon tjeneste'!O12-$BS$17))</f>
        <v>0</v>
      </c>
      <c r="BU12" s="5">
        <f t="shared" si="73"/>
        <v>0</v>
      </c>
      <c r="BV12" s="59">
        <f>IF('2021 Lønnsgr pensjon tjeneste'!P12&lt;100,0,(C12/$C$17)*'2021 Pensjon tjeneste'!P12/'2021 Lønnsgr pensjon tjeneste'!P12)</f>
        <v>0</v>
      </c>
      <c r="BW12" s="5">
        <f>IF('2021 Lønnsgr pensjon tjeneste'!P12&lt;100,0,C12)</f>
        <v>0</v>
      </c>
      <c r="BX12" s="59">
        <f t="shared" si="63"/>
        <v>0</v>
      </c>
      <c r="BY12" s="59">
        <f t="shared" si="64"/>
        <v>1</v>
      </c>
      <c r="BZ12" s="59">
        <f>IF(BW12=0,0,(BW12/$BW$17)*BY12*'2021 Pensjon tjeneste'!P12/'2021 Lønnsgr pensjon tjeneste'!P12)</f>
        <v>0</v>
      </c>
      <c r="CA12" s="5">
        <f>IF(BW12=0,0,'2021 Nto driftsutg landet'!$C$28*'2021 Lønnsand og pensjon land'!$D$18*('2021 Pensjon tjeneste'!P12/'2021 Lønnsgr pensjon tjeneste'!P12-$BZ$17))</f>
        <v>0</v>
      </c>
      <c r="CB12" s="5">
        <f t="shared" si="74"/>
        <v>0</v>
      </c>
      <c r="CC12" s="5"/>
      <c r="CD12" s="5"/>
      <c r="CE12" s="5"/>
    </row>
    <row r="13" spans="1:83" x14ac:dyDescent="0.3">
      <c r="A13" s="43">
        <v>4600</v>
      </c>
      <c r="B13" s="44" t="s">
        <v>396</v>
      </c>
      <c r="C13" s="44">
        <f>+'2021 Nto driftsutg'!W13</f>
        <v>639102</v>
      </c>
      <c r="D13" s="59">
        <f>IF('2021 Lønnsgr pensjon tjeneste'!D13&lt;100,0,(C13/$C$17)*'2021 Revekting utgiftsbehov'!D13*'2021 Pensjon tjeneste'!D13/'2021 Lønnsgr pensjon tjeneste'!D13)</f>
        <v>1.2466488942008167E-2</v>
      </c>
      <c r="E13" s="5">
        <f>IF('2021 Lønnsgr pensjon tjeneste'!D13&lt;100,0,C13)</f>
        <v>639102</v>
      </c>
      <c r="F13" s="59">
        <f>'2021 Revekting utgiftsbehov'!D13*E13/$E$17</f>
        <v>0.12573173284162306</v>
      </c>
      <c r="G13" s="59">
        <f>'2021 Revekting utgiftsbehov'!D13/$F$17</f>
        <v>1.0627111444206745</v>
      </c>
      <c r="H13" s="59">
        <f>IF(E13=0,0,(E13/$E$17)*G13*'2021 Pensjon tjeneste'!D13/'2021 Lønnsgr pensjon tjeneste'!D13)</f>
        <v>1.2466488943189169E-2</v>
      </c>
      <c r="I13" s="5">
        <f>IF(E13=0,0,'2021 Nto driftsutg landet'!$C$5*'2021 Lønnsand og pensjon land'!$D$6*('2021 Pensjon tjeneste'!D13/'2021 Lønnsgr pensjon tjeneste'!D13-$H$17)*'2021 Revekting utgiftsbehov'!D13)</f>
        <v>-54.583068481508228</v>
      </c>
      <c r="J13" s="5">
        <f t="shared" si="75"/>
        <v>-34884.148232668871</v>
      </c>
      <c r="K13" s="59">
        <f>IF('2021 Lønnsgr pensjon tjeneste'!E13&lt;100,0,(C13/$C$17)*'2021 Revekting utgiftsbehov'!E13*'2021 Pensjon tjeneste'!E13/'2021 Lønnsgr pensjon tjeneste'!E13)</f>
        <v>5.2197095409497213E-2</v>
      </c>
      <c r="L13" s="5">
        <f>IF('2021 Lønnsgr pensjon tjeneste'!E13&lt;100,0,C13)</f>
        <v>639102</v>
      </c>
      <c r="M13" s="59">
        <f>'2021 Revekting utgiftsbehov'!E13*L13/$L$17</f>
        <v>0.16021624310950314</v>
      </c>
      <c r="N13" s="59">
        <f>'2021 Revekting utgiftsbehov'!E13/$M$17</f>
        <v>1.0651693755715832</v>
      </c>
      <c r="O13" s="59">
        <f>IF(L13=0,0,(L13/$L$17)*N13*'2021 Pensjon tjeneste'!E13/'2021 Lønnsgr pensjon tjeneste'!E13)</f>
        <v>5.4102525820435537E-2</v>
      </c>
      <c r="P13" s="5">
        <f>IF(L13=0,0,'2021 Nto driftsutg landet'!$C$6*'2021 Lønnsand og pensjon land'!$D$7*('2021 Pensjon tjeneste'!E13/'2021 Lønnsgr pensjon tjeneste'!E13-$O$17)*'2021 Revekting utgiftsbehov'!E13)</f>
        <v>4.6678186881542869</v>
      </c>
      <c r="Q13" s="5">
        <f t="shared" si="65"/>
        <v>2983.2122592367809</v>
      </c>
      <c r="R13" s="59">
        <f>IF('2021 Lønnsgr pensjon tjeneste'!F13&lt;100,0,(C13/$C$17)*'2021 Revekting utgiftsbehov'!F13*'2021 Pensjon tjeneste'!F13/'2021 Lønnsgr pensjon tjeneste'!F13)</f>
        <v>1.1333989735743845E-2</v>
      </c>
      <c r="S13" s="5">
        <f>IF('2021 Lønnsgr pensjon tjeneste'!F13&lt;100,0,C13)</f>
        <v>639102</v>
      </c>
      <c r="T13" s="59">
        <f>'2021 Revekting utgiftsbehov'!F13*S13/$S$17</f>
        <v>0.11835702400825136</v>
      </c>
      <c r="U13" s="59">
        <f>'2021 Revekting utgiftsbehov'!F13/$T$17</f>
        <v>1.0003785474170903</v>
      </c>
      <c r="V13" s="59">
        <f>IF(S13=0,0,(S13/$S$17)*U13*'2021 Pensjon tjeneste'!F13/'2021 Lønnsgr pensjon tjeneste'!F13)</f>
        <v>1.1333989721526095E-2</v>
      </c>
      <c r="W13" s="5">
        <f>IF(S13=0,0,'2021 Nto driftsutg landet'!$C$7*'2021 Lønnsand og pensjon land'!$D$8*('2021 Pensjon tjeneste'!F13/'2021 Lønnsgr pensjon tjeneste'!F13-$V$17)*'2021 Revekting utgiftsbehov'!F13)</f>
        <v>-4.2269064603648063</v>
      </c>
      <c r="X13" s="5">
        <f t="shared" si="66"/>
        <v>-2701.4243726320688</v>
      </c>
      <c r="Y13" s="59">
        <f>IF('2021 Lønnsgr pensjon tjeneste'!G13&lt;100,0,(C13/$C$17)*'2021 Revekting utgiftsbehov'!G13*'2021 Pensjon tjeneste'!G13/'2021 Lønnsgr pensjon tjeneste'!G13)</f>
        <v>0</v>
      </c>
      <c r="Z13" s="5">
        <f>IF('2021 Lønnsgr pensjon tjeneste'!G13&lt;100,0,C13)</f>
        <v>0</v>
      </c>
      <c r="AA13" s="59">
        <f>'2021 Revekting utgiftsbehov'!G13*Z13/$Z$17</f>
        <v>0</v>
      </c>
      <c r="AB13" s="59">
        <f>'2021 Revekting utgiftsbehov'!G13/$AA$17</f>
        <v>1.1558749755762698</v>
      </c>
      <c r="AC13" s="59">
        <f>IF(Z13=0,0,(Z13/$Z$17)*AB13*'2021 Pensjon tjeneste'!G13/'2021 Lønnsgr pensjon tjeneste'!G13)</f>
        <v>0</v>
      </c>
      <c r="AD13" s="5">
        <f>IF(Z13=0,0,'2021 Nto driftsutg landet'!$C$8*'2021 Lønnsand og pensjon land'!$D$9*('2021 Pensjon tjeneste'!G13/'2021 Lønnsgr pensjon tjeneste'!G13-$AC$17)*'2021 Revekting utgiftsbehov'!G13)</f>
        <v>0</v>
      </c>
      <c r="AE13" s="5">
        <f t="shared" si="67"/>
        <v>0</v>
      </c>
      <c r="AF13" s="59">
        <f>IF('2021 Lønnsgr pensjon tjeneste'!H13&lt;100,0,(C13/$C$17)*'2021 Revekting utgiftsbehov'!H13*'2021 Pensjon tjeneste'!H13/'2021 Lønnsgr pensjon tjeneste'!H13)</f>
        <v>1.2977650707899479E-2</v>
      </c>
      <c r="AG13" s="5">
        <f>IF('2021 Lønnsgr pensjon tjeneste'!H13&lt;100,0,C13)</f>
        <v>639102</v>
      </c>
      <c r="AH13" s="59">
        <f>'2021 Revekting utgiftsbehov'!H13*AG13/$AG$17</f>
        <v>0.12154839856715724</v>
      </c>
      <c r="AI13" s="59">
        <f>'2021 Revekting utgiftsbehov'!H13/$AH$17</f>
        <v>1.0273527193429148</v>
      </c>
      <c r="AJ13" s="59">
        <f>IF(AG13=0,0,(AG13/$AG$17)*AI13*'2021 Pensjon tjeneste'!H13/'2021 Lønnsgr pensjon tjeneste'!H13)</f>
        <v>1.2977650698954856E-2</v>
      </c>
      <c r="AK13" s="5">
        <f>IF(AG13=0,0,'2021 Nto driftsutg landet'!$C$9*'2021 Lønnsand og pensjon land'!$D$10*('2021 Pensjon tjeneste'!H13/'2021 Lønnsgr pensjon tjeneste'!H13-$AJ$17)*'2021 Revekting utgiftsbehov'!H13)</f>
        <v>-27.744979423779768</v>
      </c>
      <c r="AL13" s="5">
        <f t="shared" si="68"/>
        <v>-17731.871839696498</v>
      </c>
      <c r="AM13" s="59">
        <f>IF('2021 Lønnsgr pensjon tjeneste'!K13&lt;100,0,(C13/$C$17)*'2021 Pensjon tjeneste'!K13/'2021 Lønnsgr pensjon tjeneste'!K13)</f>
        <v>5.6400508787944727E-3</v>
      </c>
      <c r="AN13" s="5">
        <f>IF('2021 Lønnsgr pensjon tjeneste'!K13&lt;100,0,C13)</f>
        <v>639102</v>
      </c>
      <c r="AO13" s="59">
        <f t="shared" si="53"/>
        <v>0.11831223706802793</v>
      </c>
      <c r="AP13" s="59">
        <f t="shared" si="54"/>
        <v>0.99999999931076733</v>
      </c>
      <c r="AQ13" s="59">
        <f>IF(AN13=0,0,(AN13/$AN$17)*AP13*'2021 Pensjon tjeneste'!K13/'2021 Lønnsgr pensjon tjeneste'!K13)</f>
        <v>5.6400508749071647E-3</v>
      </c>
      <c r="AR13" s="5">
        <f>IF(AN13=0,0,'2021 Nto driftsutg landet'!$C$23*'2021 Lønnsand og pensjon land'!$D$13*('2021 Pensjon tjeneste'!K13/'2021 Lønnsgr pensjon tjeneste'!K13-$AQ$17))</f>
        <v>-94.679168403339688</v>
      </c>
      <c r="AS13" s="5">
        <f t="shared" si="69"/>
        <v>-60509.645884911202</v>
      </c>
      <c r="AT13" s="59">
        <f>IF('2021 Lønnsgr pensjon tjeneste'!L13&lt;100,0,(C13/$C$17)*'2021 Pensjon tjeneste'!L13/'2021 Lønnsgr pensjon tjeneste'!L13)</f>
        <v>1.0866637672866393E-2</v>
      </c>
      <c r="AU13" s="5">
        <f>IF('2021 Lønnsgr pensjon tjeneste'!L13&lt;100,0,C13)</f>
        <v>639102</v>
      </c>
      <c r="AV13" s="59">
        <f t="shared" si="55"/>
        <v>0.13581394716256842</v>
      </c>
      <c r="AW13" s="59">
        <f t="shared" si="56"/>
        <v>1</v>
      </c>
      <c r="AX13" s="59">
        <f>IF(AU13=0,0,(AU13/$AU$17)*AW13*'2021 Pensjon tjeneste'!L13/'2021 Lønnsgr pensjon tjeneste'!L13)</f>
        <v>1.2474119256902085E-2</v>
      </c>
      <c r="AY13" s="5">
        <f>IF(AU13=0,0,'2021 Nto driftsutg landet'!$C$24*'2021 Lønnsand og pensjon land'!$D$14*('2021 Pensjon tjeneste'!L13/'2021 Lønnsgr pensjon tjeneste'!L13-$AX$17))</f>
        <v>-4.0572266981417666</v>
      </c>
      <c r="AZ13" s="5">
        <f t="shared" si="70"/>
        <v>-2592.9816972357994</v>
      </c>
      <c r="BA13" s="59">
        <f>IF('2021 Lønnsgr pensjon tjeneste'!M13&lt;100,0,(C13/$C$17)*'2021 Pensjon tjeneste'!M13/'2021 Lønnsgr pensjon tjeneste'!M13)</f>
        <v>1.1289608628883943E-2</v>
      </c>
      <c r="BB13" s="5">
        <f>IF('2021 Lønnsgr pensjon tjeneste'!M13&lt;100,0,C13)</f>
        <v>639102</v>
      </c>
      <c r="BC13" s="59">
        <f t="shared" si="57"/>
        <v>0.13581394716256842</v>
      </c>
      <c r="BD13" s="59">
        <f t="shared" si="58"/>
        <v>1</v>
      </c>
      <c r="BE13" s="59">
        <f>IF(BB13=0,0,(BB13/$BB$17)*BD13*'2021 Pensjon tjeneste'!M13/'2021 Lønnsgr pensjon tjeneste'!M13)</f>
        <v>1.2959659523027205E-2</v>
      </c>
      <c r="BF13" s="5">
        <f>IF(BB13=0,0,'2021 Nto driftsutg landet'!$C$25*'2021 Lønnsand og pensjon land'!$D$15*('2021 Pensjon tjeneste'!M13/'2021 Lønnsgr pensjon tjeneste'!M13-$BE$17))</f>
        <v>-0.40923429401959893</v>
      </c>
      <c r="BG13" s="5">
        <f t="shared" si="71"/>
        <v>-261.54245577651375</v>
      </c>
      <c r="BH13" s="59">
        <f>IF('2021 Lønnsgr pensjon tjeneste'!N13&lt;100,0,(C13/$C$17)*'2021 Pensjon tjeneste'!N13/'2021 Lønnsgr pensjon tjeneste'!N13)</f>
        <v>1.1540637091053189E-2</v>
      </c>
      <c r="BI13" s="5">
        <f>IF('2021 Lønnsgr pensjon tjeneste'!N13&lt;100,0,C13)</f>
        <v>639102</v>
      </c>
      <c r="BJ13" s="59">
        <f t="shared" si="59"/>
        <v>0.11831223706802793</v>
      </c>
      <c r="BK13" s="59">
        <f t="shared" si="60"/>
        <v>1</v>
      </c>
      <c r="BL13" s="59">
        <f>IF(BI13=0,0,(BI13/$BI$17)*BK13*'2021 Pensjon tjeneste'!N13/'2021 Lønnsgr pensjon tjeneste'!N13)</f>
        <v>1.1540637091053189E-2</v>
      </c>
      <c r="BM13" s="5">
        <f>IF(BI13=0,0,'2021 Nto driftsutg landet'!$C$26*'2021 Lønnsand og pensjon land'!$D$16*('2021 Pensjon tjeneste'!N13/'2021 Lønnsgr pensjon tjeneste'!N13-$BL$17))</f>
        <v>-2.2627981887952959</v>
      </c>
      <c r="BN13" s="5">
        <f t="shared" si="72"/>
        <v>-1446.1588480554512</v>
      </c>
      <c r="BO13" s="59">
        <f>IF('2021 Lønnsgr pensjon tjeneste'!O13&lt;100,0,(C13/$C$17)*'2021 Pensjon tjeneste'!O13/'2021 Lønnsgr pensjon tjeneste'!O13)</f>
        <v>0</v>
      </c>
      <c r="BP13" s="5">
        <f>IF('2021 Lønnsgr pensjon tjeneste'!O13&lt;100,0,C13)</f>
        <v>0</v>
      </c>
      <c r="BQ13" s="59">
        <f t="shared" si="61"/>
        <v>0</v>
      </c>
      <c r="BR13" s="59">
        <f t="shared" si="62"/>
        <v>1</v>
      </c>
      <c r="BS13" s="59">
        <f>IF(BP13=0,0,(BP13/$BP$17)*BR13*'2021 Pensjon tjeneste'!O13/'2021 Lønnsgr pensjon tjeneste'!O13)</f>
        <v>0</v>
      </c>
      <c r="BT13" s="5">
        <f>IF(BP13=0,0,'2021 Nto driftsutg landet'!$C$27*'2021 Lønnsand og pensjon land'!$D$17*('2021 Pensjon tjeneste'!O13/'2021 Lønnsgr pensjon tjeneste'!O13-$BS$17))</f>
        <v>0</v>
      </c>
      <c r="BU13" s="5">
        <f t="shared" si="73"/>
        <v>0</v>
      </c>
      <c r="BV13" s="59">
        <f>IF('2021 Lønnsgr pensjon tjeneste'!P13&lt;100,0,(C13/$C$17)*'2021 Pensjon tjeneste'!P13/'2021 Lønnsgr pensjon tjeneste'!P13)</f>
        <v>1.2061614088264016E-2</v>
      </c>
      <c r="BW13" s="5">
        <f>IF('2021 Lønnsgr pensjon tjeneste'!P13&lt;100,0,C13)</f>
        <v>639102</v>
      </c>
      <c r="BX13" s="59">
        <f t="shared" si="63"/>
        <v>0.20962885869563436</v>
      </c>
      <c r="BY13" s="59">
        <f t="shared" si="64"/>
        <v>1</v>
      </c>
      <c r="BZ13" s="59">
        <f>IF(BW13=0,0,(BW13/$BW$17)*BY13*'2021 Pensjon tjeneste'!P13/'2021 Lønnsgr pensjon tjeneste'!P13)</f>
        <v>2.137109785098678E-2</v>
      </c>
      <c r="CA13" s="5">
        <f>IF(BW13=0,0,'2021 Nto driftsutg landet'!$C$28*'2021 Lønnsand og pensjon land'!$D$18*('2021 Pensjon tjeneste'!P13/'2021 Lønnsgr pensjon tjeneste'!P13-$BZ$17))</f>
        <v>-2.8852656758568051E-3</v>
      </c>
      <c r="CB13" s="5">
        <f t="shared" si="74"/>
        <v>-1.8439790639714357</v>
      </c>
      <c r="CC13" s="5"/>
      <c r="CD13" s="5"/>
      <c r="CE13" s="5"/>
    </row>
    <row r="14" spans="1:83" x14ac:dyDescent="0.3">
      <c r="A14" s="43">
        <v>5000</v>
      </c>
      <c r="B14" s="44" t="s">
        <v>390</v>
      </c>
      <c r="C14" s="44">
        <f>+'2021 Nto driftsutg'!W14</f>
        <v>470984</v>
      </c>
      <c r="D14" s="59">
        <f>IF('2021 Lønnsgr pensjon tjeneste'!D14&lt;100,0,(C14/$C$17)*'2021 Revekting utgiftsbehov'!D14*'2021 Pensjon tjeneste'!D14/'2021 Lønnsgr pensjon tjeneste'!D14)</f>
        <v>1.0415417833694127E-2</v>
      </c>
      <c r="E14" s="5">
        <f>IF('2021 Lønnsgr pensjon tjeneste'!D14&lt;100,0,C14)</f>
        <v>470984</v>
      </c>
      <c r="F14" s="59">
        <f>'2021 Revekting utgiftsbehov'!D14*E14/$E$17</f>
        <v>8.828599008815638E-2</v>
      </c>
      <c r="G14" s="59">
        <f>'2021 Revekting utgiftsbehov'!D14/$F$17</f>
        <v>1.0125725469509248</v>
      </c>
      <c r="H14" s="59">
        <f>IF(E14=0,0,(E14/$E$17)*G14*'2021 Pensjon tjeneste'!D14/'2021 Lønnsgr pensjon tjeneste'!D14)</f>
        <v>1.0415417834680817E-2</v>
      </c>
      <c r="I14" s="5">
        <f>IF(E14=0,0,'2021 Nto driftsutg landet'!$C$5*'2021 Lønnsand og pensjon land'!$D$6*('2021 Pensjon tjeneste'!D14/'2021 Lønnsgr pensjon tjeneste'!D14-$H$17)*'2021 Revekting utgiftsbehov'!D14)</f>
        <v>13.031069707476915</v>
      </c>
      <c r="J14" s="5">
        <f t="shared" si="75"/>
        <v>6137.425335106308</v>
      </c>
      <c r="K14" s="59">
        <f>IF('2021 Lønnsgr pensjon tjeneste'!E14&lt;100,0,(C14/$C$17)*'2021 Revekting utgiftsbehov'!E14*'2021 Pensjon tjeneste'!E14/'2021 Lønnsgr pensjon tjeneste'!E14)</f>
        <v>5.0212968695650256E-2</v>
      </c>
      <c r="L14" s="5">
        <f>IF('2021 Lønnsgr pensjon tjeneste'!E14&lt;100,0,C14)</f>
        <v>470984</v>
      </c>
      <c r="M14" s="59">
        <f>'2021 Revekting utgiftsbehov'!E14*L14/$L$17</f>
        <v>0.12953736681829434</v>
      </c>
      <c r="N14" s="59">
        <f>'2021 Revekting utgiftsbehov'!E14/$M$17</f>
        <v>1.1686143511405822</v>
      </c>
      <c r="O14" s="59">
        <f>IF(L14=0,0,(L14/$L$17)*N14*'2021 Pensjon tjeneste'!E14/'2021 Lønnsgr pensjon tjeneste'!E14)</f>
        <v>5.2045969494364762E-2</v>
      </c>
      <c r="P14" s="5">
        <f>IF(L14=0,0,'2021 Nto driftsutg landet'!$C$6*'2021 Lønnsand og pensjon land'!$D$7*('2021 Pensjon tjeneste'!E14/'2021 Lønnsgr pensjon tjeneste'!E14-$O$17)*'2021 Revekting utgiftsbehov'!E14)</f>
        <v>14.979941207015248</v>
      </c>
      <c r="Q14" s="5">
        <f t="shared" si="65"/>
        <v>7055.3126294448693</v>
      </c>
      <c r="R14" s="59">
        <f>IF('2021 Lønnsgr pensjon tjeneste'!F14&lt;100,0,(C14/$C$17)*'2021 Revekting utgiftsbehov'!F14*'2021 Pensjon tjeneste'!F14/'2021 Lønnsgr pensjon tjeneste'!F14)</f>
        <v>2.0343384038735726E-2</v>
      </c>
      <c r="S14" s="5">
        <f>IF('2021 Lønnsgr pensjon tjeneste'!F14&lt;100,0,C14)</f>
        <v>470984</v>
      </c>
      <c r="T14" s="59">
        <f>'2021 Revekting utgiftsbehov'!F14*S14/$S$17</f>
        <v>9.1997645338258452E-2</v>
      </c>
      <c r="U14" s="59">
        <f>'2021 Revekting utgiftsbehov'!F14/$T$17</f>
        <v>1.055142382556393</v>
      </c>
      <c r="V14" s="59">
        <f>IF(S14=0,0,(S14/$S$17)*U14*'2021 Pensjon tjeneste'!F14/'2021 Lønnsgr pensjon tjeneste'!F14)</f>
        <v>2.0343384013216285E-2</v>
      </c>
      <c r="W14" s="5">
        <f>IF(S14=0,0,'2021 Nto driftsutg landet'!$C$7*'2021 Lønnsand og pensjon land'!$D$8*('2021 Pensjon tjeneste'!F14/'2021 Lønnsgr pensjon tjeneste'!F14-$V$17)*'2021 Revekting utgiftsbehov'!F14)</f>
        <v>0.11846151908747247</v>
      </c>
      <c r="X14" s="5">
        <f t="shared" si="66"/>
        <v>55.79348010589414</v>
      </c>
      <c r="Y14" s="59">
        <f>IF('2021 Lønnsgr pensjon tjeneste'!G14&lt;100,0,(C14/$C$17)*'2021 Revekting utgiftsbehov'!G14*'2021 Pensjon tjeneste'!G14/'2021 Lønnsgr pensjon tjeneste'!G14)</f>
        <v>1.5109655595476921E-2</v>
      </c>
      <c r="Z14" s="5">
        <f>IF('2021 Lønnsgr pensjon tjeneste'!G14&lt;100,0,C14)</f>
        <v>470984</v>
      </c>
      <c r="AA14" s="59">
        <f>'2021 Revekting utgiftsbehov'!G14*Z14/$Z$17</f>
        <v>0.22496356287256355</v>
      </c>
      <c r="AB14" s="59">
        <f>'2021 Revekting utgiftsbehov'!G14/$AA$17</f>
        <v>0.67632516728819636</v>
      </c>
      <c r="AC14" s="59">
        <f>IF(Z14=0,0,(Z14/$Z$17)*AB14*'2021 Pensjon tjeneste'!G14/'2021 Lønnsgr pensjon tjeneste'!G14)</f>
        <v>2.0355945783127206E-2</v>
      </c>
      <c r="AD14" s="5">
        <f>IF(Z14=0,0,'2021 Nto driftsutg landet'!$C$8*'2021 Lønnsand og pensjon land'!$D$9*('2021 Pensjon tjeneste'!G14/'2021 Lønnsgr pensjon tjeneste'!G14-$AC$17)*'2021 Revekting utgiftsbehov'!G14)</f>
        <v>-0.23543274203353756</v>
      </c>
      <c r="AE14" s="5">
        <f t="shared" si="67"/>
        <v>-110.88505457392365</v>
      </c>
      <c r="AF14" s="59">
        <f>IF('2021 Lønnsgr pensjon tjeneste'!H14&lt;100,0,(C14/$C$17)*'2021 Revekting utgiftsbehov'!H14*'2021 Pensjon tjeneste'!H14/'2021 Lønnsgr pensjon tjeneste'!H14)</f>
        <v>1.8132275432980176E-2</v>
      </c>
      <c r="AG14" s="5">
        <f>IF('2021 Lønnsgr pensjon tjeneste'!H14&lt;100,0,C14)</f>
        <v>470984</v>
      </c>
      <c r="AH14" s="59">
        <f>'2021 Revekting utgiftsbehov'!H14*AG14/$AG$17</f>
        <v>8.6577545829989833E-2</v>
      </c>
      <c r="AI14" s="59">
        <f>'2021 Revekting utgiftsbehov'!H14/$AH$17</f>
        <v>0.99297800175960704</v>
      </c>
      <c r="AJ14" s="59">
        <f>IF(AG14=0,0,(AG14/$AG$17)*AI14*'2021 Pensjon tjeneste'!H14/'2021 Lønnsgr pensjon tjeneste'!H14)</f>
        <v>1.8132275420482818E-2</v>
      </c>
      <c r="AK14" s="5">
        <f>IF(AG14=0,0,'2021 Nto driftsutg landet'!$C$9*'2021 Lønnsand og pensjon land'!$D$10*('2021 Pensjon tjeneste'!H14/'2021 Lønnsgr pensjon tjeneste'!H14-$AJ$17)*'2021 Revekting utgiftsbehov'!H14)</f>
        <v>0.2666013039095162</v>
      </c>
      <c r="AL14" s="5">
        <f t="shared" si="68"/>
        <v>125.56494852051958</v>
      </c>
      <c r="AM14" s="59">
        <f>IF('2021 Lønnsgr pensjon tjeneste'!K14&lt;100,0,(C14/$C$17)*'2021 Pensjon tjeneste'!K14/'2021 Lønnsgr pensjon tjeneste'!K14)</f>
        <v>5.079222524069333E-2</v>
      </c>
      <c r="AN14" s="5">
        <f>IF('2021 Lønnsgr pensjon tjeneste'!K14&lt;100,0,C14)</f>
        <v>470984</v>
      </c>
      <c r="AO14" s="59">
        <f t="shared" si="53"/>
        <v>8.7189792338700348E-2</v>
      </c>
      <c r="AP14" s="59">
        <f t="shared" si="54"/>
        <v>0.99999999931076733</v>
      </c>
      <c r="AQ14" s="59">
        <f>IF(AN14=0,0,(AN14/$AN$17)*AP14*'2021 Pensjon tjeneste'!K14/'2021 Lønnsgr pensjon tjeneste'!K14)</f>
        <v>5.0792225205685673E-2</v>
      </c>
      <c r="AR14" s="5">
        <f>IF(AN14=0,0,'2021 Nto driftsutg landet'!$C$23*'2021 Lønnsand og pensjon land'!$D$13*('2021 Pensjon tjeneste'!K14/'2021 Lønnsgr pensjon tjeneste'!K14-$AQ$17))</f>
        <v>75.962675192959225</v>
      </c>
      <c r="AS14" s="5">
        <f t="shared" si="69"/>
        <v>35777.204613080707</v>
      </c>
      <c r="AT14" s="59">
        <f>IF('2021 Lønnsgr pensjon tjeneste'!L14&lt;100,0,(C14/$C$17)*'2021 Pensjon tjeneste'!L14/'2021 Lønnsgr pensjon tjeneste'!L14)</f>
        <v>1.9109474416720281E-2</v>
      </c>
      <c r="AU14" s="5">
        <f>IF('2021 Lønnsgr pensjon tjeneste'!L14&lt;100,0,C14)</f>
        <v>470984</v>
      </c>
      <c r="AV14" s="59">
        <f t="shared" si="55"/>
        <v>0.10008761682863632</v>
      </c>
      <c r="AW14" s="59">
        <f t="shared" si="56"/>
        <v>1</v>
      </c>
      <c r="AX14" s="59">
        <f>IF(AU14=0,0,(AU14/$AU$17)*AW14*'2021 Pensjon tjeneste'!L14/'2021 Lønnsgr pensjon tjeneste'!L14)</f>
        <v>2.1936303573100554E-2</v>
      </c>
      <c r="AY14" s="5">
        <f>IF(AU14=0,0,'2021 Nto driftsutg landet'!$C$24*'2021 Lønnsand og pensjon land'!$D$14*('2021 Pensjon tjeneste'!L14/'2021 Lønnsgr pensjon tjeneste'!L14-$AX$17))</f>
        <v>1.4709453243568951</v>
      </c>
      <c r="AZ14" s="5">
        <f t="shared" si="70"/>
        <v>692.79171264690785</v>
      </c>
      <c r="BA14" s="59">
        <f>IF('2021 Lønnsgr pensjon tjeneste'!M14&lt;100,0,(C14/$C$17)*'2021 Pensjon tjeneste'!M14/'2021 Lønnsgr pensjon tjeneste'!M14)</f>
        <v>1.5759428942850595E-2</v>
      </c>
      <c r="BB14" s="5">
        <f>IF('2021 Lønnsgr pensjon tjeneste'!M14&lt;100,0,C14)</f>
        <v>470984</v>
      </c>
      <c r="BC14" s="59">
        <f t="shared" si="57"/>
        <v>0.10008761682863632</v>
      </c>
      <c r="BD14" s="59">
        <f t="shared" si="58"/>
        <v>1</v>
      </c>
      <c r="BE14" s="59">
        <f>IF(BB14=0,0,(BB14/$BB$17)*BD14*'2021 Pensjon tjeneste'!M14/'2021 Lønnsgr pensjon tjeneste'!M14)</f>
        <v>1.8090692077150819E-2</v>
      </c>
      <c r="BF14" s="5">
        <f>IF(BB14=0,0,'2021 Nto driftsutg landet'!$C$25*'2021 Lønnsand og pensjon land'!$D$15*('2021 Pensjon tjeneste'!M14/'2021 Lønnsgr pensjon tjeneste'!M14-$BE$17))</f>
        <v>-5.6740259055710078E-4</v>
      </c>
      <c r="BG14" s="5">
        <f t="shared" si="71"/>
        <v>-0.26723754171094555</v>
      </c>
      <c r="BH14" s="59">
        <f>IF('2021 Lønnsgr pensjon tjeneste'!N14&lt;100,0,(C14/$C$17)*'2021 Pensjon tjeneste'!N14/'2021 Lønnsgr pensjon tjeneste'!N14)</f>
        <v>1.6765618337726371E-2</v>
      </c>
      <c r="BI14" s="5">
        <f>IF('2021 Lønnsgr pensjon tjeneste'!N14&lt;100,0,C14)</f>
        <v>470984</v>
      </c>
      <c r="BJ14" s="59">
        <f t="shared" si="59"/>
        <v>8.7189792338700348E-2</v>
      </c>
      <c r="BK14" s="59">
        <f t="shared" si="60"/>
        <v>1</v>
      </c>
      <c r="BL14" s="59">
        <f>IF(BI14=0,0,(BI14/$BI$17)*BK14*'2021 Pensjon tjeneste'!N14/'2021 Lønnsgr pensjon tjeneste'!N14)</f>
        <v>1.6765618337726371E-2</v>
      </c>
      <c r="BM14" s="5">
        <f>IF(BI14=0,0,'2021 Nto driftsutg landet'!$C$26*'2021 Lønnsand og pensjon land'!$D$16*('2021 Pensjon tjeneste'!N14/'2021 Lønnsgr pensjon tjeneste'!N14-$BL$17))</f>
        <v>8.0823276135559785E-2</v>
      </c>
      <c r="BN14" s="5">
        <f t="shared" si="72"/>
        <v>38.066469887430486</v>
      </c>
      <c r="BO14" s="59">
        <f>IF('2021 Lønnsgr pensjon tjeneste'!O14&lt;100,0,(C14/$C$17)*'2021 Pensjon tjeneste'!O14/'2021 Lønnsgr pensjon tjeneste'!O14)</f>
        <v>0</v>
      </c>
      <c r="BP14" s="5">
        <f>IF('2021 Lønnsgr pensjon tjeneste'!O14&lt;100,0,C14)</f>
        <v>0</v>
      </c>
      <c r="BQ14" s="59">
        <f t="shared" si="61"/>
        <v>0</v>
      </c>
      <c r="BR14" s="59">
        <f t="shared" si="62"/>
        <v>1</v>
      </c>
      <c r="BS14" s="59">
        <f>IF(BP14=0,0,(BP14/$BP$17)*BR14*'2021 Pensjon tjeneste'!O14/'2021 Lønnsgr pensjon tjeneste'!O14)</f>
        <v>0</v>
      </c>
      <c r="BT14" s="5">
        <f>IF(BP14=0,0,'2021 Nto driftsutg landet'!$C$27*'2021 Lønnsand og pensjon land'!$D$17*('2021 Pensjon tjeneste'!O14/'2021 Lønnsgr pensjon tjeneste'!O14-$BS$17))</f>
        <v>0</v>
      </c>
      <c r="BU14" s="5">
        <f t="shared" si="73"/>
        <v>0</v>
      </c>
      <c r="BV14" s="59">
        <f>IF('2021 Lønnsgr pensjon tjeneste'!P14&lt;100,0,(C14/$C$17)*'2021 Pensjon tjeneste'!P14/'2021 Lønnsgr pensjon tjeneste'!P14)</f>
        <v>0</v>
      </c>
      <c r="BW14" s="5">
        <f>IF('2021 Lønnsgr pensjon tjeneste'!P14&lt;100,0,C14)</f>
        <v>0</v>
      </c>
      <c r="BX14" s="59">
        <f t="shared" si="63"/>
        <v>0</v>
      </c>
      <c r="BY14" s="59">
        <f t="shared" si="64"/>
        <v>1</v>
      </c>
      <c r="BZ14" s="59">
        <f>IF(BW14=0,0,(BW14/$BW$17)*BY14*'2021 Pensjon tjeneste'!P14/'2021 Lønnsgr pensjon tjeneste'!P14)</f>
        <v>0</v>
      </c>
      <c r="CA14" s="5">
        <f>IF(BW14=0,0,'2021 Nto driftsutg landet'!$C$28*'2021 Lønnsand og pensjon land'!$D$18*('2021 Pensjon tjeneste'!P14/'2021 Lønnsgr pensjon tjeneste'!P14-$BZ$17))</f>
        <v>0</v>
      </c>
      <c r="CB14" s="5">
        <f t="shared" si="74"/>
        <v>0</v>
      </c>
      <c r="CC14" s="5"/>
      <c r="CD14" s="5"/>
      <c r="CE14" s="5"/>
    </row>
    <row r="15" spans="1:83" x14ac:dyDescent="0.3">
      <c r="A15" s="43">
        <v>5400</v>
      </c>
      <c r="B15" s="44" t="s">
        <v>397</v>
      </c>
      <c r="C15" s="44">
        <f>+'2021 Nto driftsutg'!W15</f>
        <v>241663</v>
      </c>
      <c r="D15" s="59">
        <f>IF('2021 Lønnsgr pensjon tjeneste'!D15&lt;100,0,(C15/$C$17)*'2021 Revekting utgiftsbehov'!D15*'2021 Pensjon tjeneste'!D15/'2021 Lønnsgr pensjon tjeneste'!D15)</f>
        <v>5.6531924045892896E-3</v>
      </c>
      <c r="E15" s="5">
        <f>IF('2021 Lønnsgr pensjon tjeneste'!D15&lt;100,0,C15)</f>
        <v>241663</v>
      </c>
      <c r="F15" s="59">
        <f>'2021 Revekting utgiftsbehov'!D15*E15/$E$17</f>
        <v>4.7677669156109728E-2</v>
      </c>
      <c r="G15" s="59">
        <f>'2021 Revekting utgiftsbehov'!D15/$F$17</f>
        <v>1.0657255153399601</v>
      </c>
      <c r="H15" s="59">
        <f>IF(E15=0,0,(E15/$E$17)*G15*'2021 Pensjon tjeneste'!D15/'2021 Lønnsgr pensjon tjeneste'!D15)</f>
        <v>5.6531924051248369E-3</v>
      </c>
      <c r="I15" s="5">
        <f>IF(E15=0,0,'2021 Nto driftsutg landet'!$C$5*'2021 Lønnsand og pensjon land'!$D$6*('2021 Pensjon tjeneste'!D15/'2021 Lønnsgr pensjon tjeneste'!D15-$H$17)*'2021 Revekting utgiftsbehov'!D15)</f>
        <v>15.887950181998148</v>
      </c>
      <c r="J15" s="5">
        <f t="shared" si="75"/>
        <v>3839.5297048322186</v>
      </c>
      <c r="K15" s="59">
        <f>IF('2021 Lønnsgr pensjon tjeneste'!E15&lt;100,0,(C15/$C$17)*'2021 Revekting utgiftsbehov'!E15*'2021 Pensjon tjeneste'!E15/'2021 Lønnsgr pensjon tjeneste'!E15)</f>
        <v>2.5072230099991918E-2</v>
      </c>
      <c r="L15" s="5">
        <f>IF('2021 Lønnsgr pensjon tjeneste'!E15&lt;100,0,C15)</f>
        <v>241663</v>
      </c>
      <c r="M15" s="59">
        <f>'2021 Revekting utgiftsbehov'!E15*L15/$L$17</f>
        <v>0.10569409464234809</v>
      </c>
      <c r="N15" s="59">
        <f>'2021 Revekting utgiftsbehov'!E15/$M$17</f>
        <v>1.8583301154726251</v>
      </c>
      <c r="O15" s="59">
        <f>IF(L15=0,0,(L15/$L$17)*N15*'2021 Pensjon tjeneste'!E15/'2021 Lønnsgr pensjon tjeneste'!E15)</f>
        <v>2.59874800641475E-2</v>
      </c>
      <c r="P15" s="5">
        <f>IF(L15=0,0,'2021 Nto driftsutg landet'!$C$6*'2021 Lønnsand og pensjon land'!$D$7*('2021 Pensjon tjeneste'!E15/'2021 Lønnsgr pensjon tjeneste'!E15-$O$17)*'2021 Revekting utgiftsbehov'!E15)</f>
        <v>-14.311410332418037</v>
      </c>
      <c r="Q15" s="5">
        <f t="shared" si="65"/>
        <v>-3458.5383551631398</v>
      </c>
      <c r="R15" s="59">
        <f>IF('2021 Lønnsgr pensjon tjeneste'!F15&lt;100,0,(C15/$C$17)*'2021 Revekting utgiftsbehov'!F15*'2021 Pensjon tjeneste'!F15/'2021 Lønnsgr pensjon tjeneste'!F15)</f>
        <v>1.589282237412316E-2</v>
      </c>
      <c r="S15" s="5">
        <f>IF('2021 Lønnsgr pensjon tjeneste'!F15&lt;100,0,C15)</f>
        <v>241663</v>
      </c>
      <c r="T15" s="59">
        <f>'2021 Revekting utgiftsbehov'!F15*S15/$S$17</f>
        <v>5.0211467240084309E-2</v>
      </c>
      <c r="U15" s="59">
        <f>'2021 Revekting utgiftsbehov'!F15/$T$17</f>
        <v>1.1223627890240693</v>
      </c>
      <c r="V15" s="59">
        <f>IF(S15=0,0,(S15/$S$17)*U15*'2021 Pensjon tjeneste'!F15/'2021 Lønnsgr pensjon tjeneste'!F15)</f>
        <v>1.5892822354186657E-2</v>
      </c>
      <c r="W15" s="5">
        <f>IF(S15=0,0,'2021 Nto driftsutg landet'!$C$7*'2021 Lønnsand og pensjon land'!$D$8*('2021 Pensjon tjeneste'!F15/'2021 Lønnsgr pensjon tjeneste'!F15-$V$17)*'2021 Revekting utgiftsbehov'!F15)</f>
        <v>3.8301537343069931</v>
      </c>
      <c r="X15" s="5">
        <f t="shared" si="66"/>
        <v>925.60644189383095</v>
      </c>
      <c r="Y15" s="59">
        <f>IF('2021 Lønnsgr pensjon tjeneste'!G15&lt;100,0,(C15/$C$17)*'2021 Revekting utgiftsbehov'!G15*'2021 Pensjon tjeneste'!G15/'2021 Lønnsgr pensjon tjeneste'!G15)</f>
        <v>2.7726833002851236E-2</v>
      </c>
      <c r="Z15" s="5">
        <f>IF('2021 Lønnsgr pensjon tjeneste'!G15&lt;100,0,C15)</f>
        <v>241663</v>
      </c>
      <c r="AA15" s="59">
        <f>'2021 Revekting utgiftsbehov'!G15*Z15/$Z$17</f>
        <v>0.34782882567197393</v>
      </c>
      <c r="AB15" s="59">
        <f>'2021 Revekting utgiftsbehov'!G15/$AA$17</f>
        <v>2.0380035155941685</v>
      </c>
      <c r="AC15" s="59">
        <f>IF(Z15=0,0,(Z15/$Z$17)*AB15*'2021 Pensjon tjeneste'!G15/'2021 Lønnsgr pensjon tjeneste'!G15)</f>
        <v>3.7353989028897319E-2</v>
      </c>
      <c r="AD15" s="5">
        <f>IF(Z15=0,0,'2021 Nto driftsutg landet'!$C$8*'2021 Lønnsand og pensjon land'!$D$9*('2021 Pensjon tjeneste'!G15/'2021 Lønnsgr pensjon tjeneste'!G15-$AC$17)*'2021 Revekting utgiftsbehov'!G15)</f>
        <v>-0.25935067714722382</v>
      </c>
      <c r="AE15" s="5">
        <f t="shared" si="67"/>
        <v>-62.675462691429551</v>
      </c>
      <c r="AF15" s="59">
        <f>IF('2021 Lønnsgr pensjon tjeneste'!H15&lt;100,0,(C15/$C$17)*'2021 Revekting utgiftsbehov'!H15*'2021 Pensjon tjeneste'!H15/'2021 Lønnsgr pensjon tjeneste'!H15)</f>
        <v>1.0016368731703871E-2</v>
      </c>
      <c r="AG15" s="5">
        <f>IF('2021 Lønnsgr pensjon tjeneste'!H15&lt;100,0,C15)</f>
        <v>241663</v>
      </c>
      <c r="AH15" s="59">
        <f>'2021 Revekting utgiftsbehov'!H15*AG15/$AG$17</f>
        <v>4.2937921024037769E-2</v>
      </c>
      <c r="AI15" s="59">
        <f>'2021 Revekting utgiftsbehov'!H15/$AH$17</f>
        <v>0.95977925903348893</v>
      </c>
      <c r="AJ15" s="59">
        <f>IF(AG15=0,0,(AG15/$AG$17)*AI15*'2021 Pensjon tjeneste'!H15/'2021 Lønnsgr pensjon tjeneste'!H15)</f>
        <v>1.0016368724800263E-2</v>
      </c>
      <c r="AK15" s="5">
        <f>IF(AG15=0,0,'2021 Nto driftsutg landet'!$C$9*'2021 Lønnsand og pensjon land'!$D$10*('2021 Pensjon tjeneste'!H15/'2021 Lønnsgr pensjon tjeneste'!H15-$AJ$17)*'2021 Revekting utgiftsbehov'!H15)</f>
        <v>6.3369180010825659</v>
      </c>
      <c r="AL15" s="5">
        <f t="shared" si="68"/>
        <v>1531.3986148956162</v>
      </c>
      <c r="AM15" s="59">
        <f>IF('2021 Lønnsgr pensjon tjeneste'!K15&lt;100,0,(C15/$C$17)*'2021 Pensjon tjeneste'!K15/'2021 Lønnsgr pensjon tjeneste'!K15)</f>
        <v>1.3942727819356295E-2</v>
      </c>
      <c r="AN15" s="5">
        <f>IF('2021 Lønnsgr pensjon tjeneste'!K15&lt;100,0,C15)</f>
        <v>241663</v>
      </c>
      <c r="AO15" s="59">
        <f t="shared" si="53"/>
        <v>4.4737287861046963E-2</v>
      </c>
      <c r="AP15" s="59">
        <f t="shared" si="54"/>
        <v>0.99999999931076733</v>
      </c>
      <c r="AQ15" s="59">
        <f>IF(AN15=0,0,(AN15/$AN$17)*AP15*'2021 Pensjon tjeneste'!K15/'2021 Lønnsgr pensjon tjeneste'!K15)</f>
        <v>1.3942727809746513E-2</v>
      </c>
      <c r="AR15" s="5">
        <f>IF(AN15=0,0,'2021 Nto driftsutg landet'!$C$23*'2021 Lønnsand og pensjon land'!$D$13*('2021 Pensjon tjeneste'!K15/'2021 Lønnsgr pensjon tjeneste'!K15-$AQ$17))</f>
        <v>-10.45937932967542</v>
      </c>
      <c r="AS15" s="5">
        <f t="shared" si="69"/>
        <v>-2527.6449869473513</v>
      </c>
      <c r="AT15" s="59">
        <f>IF('2021 Lønnsgr pensjon tjeneste'!L15&lt;100,0,(C15/$C$17)*'2021 Pensjon tjeneste'!L15/'2021 Lønnsgr pensjon tjeneste'!L15)</f>
        <v>9.2189820286219058E-3</v>
      </c>
      <c r="AU15" s="5">
        <f>IF('2021 Lønnsgr pensjon tjeneste'!L15&lt;100,0,C15)</f>
        <v>241663</v>
      </c>
      <c r="AV15" s="59">
        <f t="shared" si="55"/>
        <v>5.1355191993058658E-2</v>
      </c>
      <c r="AW15" s="59">
        <f t="shared" si="56"/>
        <v>1</v>
      </c>
      <c r="AX15" s="59">
        <f>IF(AU15=0,0,(AU15/$AU$17)*AW15*'2021 Pensjon tjeneste'!L15/'2021 Lønnsgr pensjon tjeneste'!L15)</f>
        <v>1.0582728964950617E-2</v>
      </c>
      <c r="AY15" s="5">
        <f>IF(AU15=0,0,'2021 Nto driftsutg landet'!$C$24*'2021 Lønnsand og pensjon land'!$D$14*('2021 Pensjon tjeneste'!L15/'2021 Lønnsgr pensjon tjeneste'!L15-$AX$17))</f>
        <v>0.90209351167923657</v>
      </c>
      <c r="AZ15" s="5">
        <f t="shared" si="70"/>
        <v>218.00262431293936</v>
      </c>
      <c r="BA15" s="59">
        <f>IF('2021 Lønnsgr pensjon tjeneste'!M15&lt;100,0,(C15/$C$17)*'2021 Pensjon tjeneste'!M15/'2021 Lønnsgr pensjon tjeneste'!M15)</f>
        <v>9.9600411328455117E-3</v>
      </c>
      <c r="BB15" s="5">
        <f>IF('2021 Lønnsgr pensjon tjeneste'!M15&lt;100,0,C15)</f>
        <v>241663</v>
      </c>
      <c r="BC15" s="59">
        <f t="shared" si="57"/>
        <v>5.1355191993058658E-2</v>
      </c>
      <c r="BD15" s="59">
        <f t="shared" si="58"/>
        <v>1</v>
      </c>
      <c r="BE15" s="59">
        <f>IF(BB15=0,0,(BB15/$BB$17)*BD15*'2021 Pensjon tjeneste'!M15/'2021 Lønnsgr pensjon tjeneste'!M15)</f>
        <v>1.1433411569891094E-2</v>
      </c>
      <c r="BF15" s="5">
        <f>IF(BB15=0,0,'2021 Nto driftsutg landet'!$C$25*'2021 Lønnsand og pensjon land'!$D$15*('2021 Pensjon tjeneste'!M15/'2021 Lønnsgr pensjon tjeneste'!M15-$BE$17))</f>
        <v>0.20004100114109508</v>
      </c>
      <c r="BG15" s="5">
        <f t="shared" si="71"/>
        <v>48.342508458760456</v>
      </c>
      <c r="BH15" s="59">
        <f>IF('2021 Lønnsgr pensjon tjeneste'!N15&lt;100,0,(C15/$C$17)*'2021 Pensjon tjeneste'!N15/'2021 Lønnsgr pensjon tjeneste'!N15)</f>
        <v>1.0118454281230434E-2</v>
      </c>
      <c r="BI15" s="5">
        <f>IF('2021 Lønnsgr pensjon tjeneste'!N15&lt;100,0,C15)</f>
        <v>241663</v>
      </c>
      <c r="BJ15" s="59">
        <f t="shared" si="59"/>
        <v>4.4737287861046963E-2</v>
      </c>
      <c r="BK15" s="59">
        <f t="shared" si="60"/>
        <v>1</v>
      </c>
      <c r="BL15" s="59">
        <f>IF(BI15=0,0,(BI15/$BI$17)*BK15*'2021 Pensjon tjeneste'!N15/'2021 Lønnsgr pensjon tjeneste'!N15)</f>
        <v>1.0118454281230434E-2</v>
      </c>
      <c r="BM15" s="5">
        <f>IF(BI15=0,0,'2021 Nto driftsutg landet'!$C$26*'2021 Lønnsand og pensjon land'!$D$16*('2021 Pensjon tjeneste'!N15/'2021 Lønnsgr pensjon tjeneste'!N15-$BL$17))</f>
        <v>0.91903633299914855</v>
      </c>
      <c r="BN15" s="5">
        <f t="shared" si="72"/>
        <v>222.09707734157323</v>
      </c>
      <c r="BO15" s="59">
        <f>IF('2021 Lønnsgr pensjon tjeneste'!O15&lt;100,0,(C15/$C$17)*'2021 Pensjon tjeneste'!O15/'2021 Lønnsgr pensjon tjeneste'!O15)</f>
        <v>0</v>
      </c>
      <c r="BP15" s="5">
        <f>IF('2021 Lønnsgr pensjon tjeneste'!O15&lt;100,0,C15)</f>
        <v>0</v>
      </c>
      <c r="BQ15" s="59">
        <f t="shared" si="61"/>
        <v>0</v>
      </c>
      <c r="BR15" s="59">
        <f t="shared" si="62"/>
        <v>1</v>
      </c>
      <c r="BS15" s="59">
        <f>IF(BP15=0,0,(BP15/$BP$17)*BR15*'2021 Pensjon tjeneste'!O15/'2021 Lønnsgr pensjon tjeneste'!O15)</f>
        <v>0</v>
      </c>
      <c r="BT15" s="5">
        <f>IF(BP15=0,0,'2021 Nto driftsutg landet'!$C$27*'2021 Lønnsand og pensjon land'!$D$17*('2021 Pensjon tjeneste'!O15/'2021 Lønnsgr pensjon tjeneste'!O15-$BS$17))</f>
        <v>0</v>
      </c>
      <c r="BU15" s="5">
        <f t="shared" si="73"/>
        <v>0</v>
      </c>
      <c r="BV15" s="59">
        <f>IF('2021 Lønnsgr pensjon tjeneste'!P15&lt;100,0,(C15/$C$17)*'2021 Pensjon tjeneste'!P15/'2021 Lønnsgr pensjon tjeneste'!P15)</f>
        <v>1.0247400452800067E-2</v>
      </c>
      <c r="BW15" s="5">
        <f>IF('2021 Lønnsgr pensjon tjeneste'!P15&lt;100,0,C15)</f>
        <v>241663</v>
      </c>
      <c r="BX15" s="59">
        <f t="shared" si="63"/>
        <v>7.9266750657896679E-2</v>
      </c>
      <c r="BY15" s="59">
        <f t="shared" si="64"/>
        <v>1</v>
      </c>
      <c r="BZ15" s="59">
        <f>IF(BW15=0,0,(BW15/$BW$17)*BY15*'2021 Pensjon tjeneste'!P15/'2021 Lønnsgr pensjon tjeneste'!P15)</f>
        <v>1.8156624494239316E-2</v>
      </c>
      <c r="CA15" s="5">
        <f>IF(BW15=0,0,'2021 Nto driftsutg landet'!$C$28*'2021 Lønnsand og pensjon land'!$D$18*('2021 Pensjon tjeneste'!P15/'2021 Lønnsgr pensjon tjeneste'!P15-$BZ$17))</f>
        <v>5.3251599412982723E-3</v>
      </c>
      <c r="CB15" s="5">
        <f t="shared" si="74"/>
        <v>1.2868941268939642</v>
      </c>
      <c r="CC15" s="5"/>
      <c r="CD15" s="5"/>
      <c r="CE15" s="5"/>
    </row>
    <row r="16" spans="1:83" x14ac:dyDescent="0.3">
      <c r="B16" s="45"/>
      <c r="C16" s="45"/>
      <c r="D16" s="45"/>
      <c r="E16" s="45"/>
      <c r="F16" s="45"/>
      <c r="G16" s="45"/>
    </row>
    <row r="17" spans="2:83" x14ac:dyDescent="0.3">
      <c r="B17" s="44" t="s">
        <v>3</v>
      </c>
      <c r="C17" s="5">
        <f>SUM(C5:C16)</f>
        <v>5401825</v>
      </c>
      <c r="D17" s="59">
        <f>SUM(D5:D16)</f>
        <v>0.11420245520849374</v>
      </c>
      <c r="E17" s="5">
        <f>SUM(E5:E16)</f>
        <v>5401825</v>
      </c>
      <c r="F17" s="59">
        <f>SUM(F5:F16)</f>
        <v>0.99999999990526622</v>
      </c>
      <c r="G17" s="5"/>
      <c r="H17" s="59">
        <f>SUM(H5:H16)</f>
        <v>0.11420245521931258</v>
      </c>
      <c r="I17" s="5"/>
      <c r="J17" s="5">
        <f>SUM(J5:J16)</f>
        <v>-1.4142642612569034E-10</v>
      </c>
      <c r="K17" s="59">
        <f>SUM(K5:K16)</f>
        <v>0.32523718338283159</v>
      </c>
      <c r="L17" s="5">
        <f>SUM(L5:L16)</f>
        <v>4705717</v>
      </c>
      <c r="M17" s="59">
        <f>SUM(M5:M16)</f>
        <v>1.1074994031545189</v>
      </c>
      <c r="N17" s="5"/>
      <c r="O17" s="59">
        <f>SUM(O5:O16)</f>
        <v>0.33710981374901883</v>
      </c>
      <c r="P17" s="5"/>
      <c r="Q17" s="5">
        <f>SUM(Q5:Q16)</f>
        <v>1.9099388737231493E-11</v>
      </c>
      <c r="R17" s="59">
        <f>SUM(R5:R16)</f>
        <v>0.21788445721871522</v>
      </c>
      <c r="S17" s="5">
        <f>SUM(S5:S16)</f>
        <v>5401825</v>
      </c>
      <c r="T17" s="59">
        <f>SUM(T5:T16)</f>
        <v>1.0000000012544346</v>
      </c>
      <c r="U17" s="5"/>
      <c r="V17" s="59">
        <f>SUM(V5:V16)</f>
        <v>0.21788445694539343</v>
      </c>
      <c r="W17" s="5"/>
      <c r="X17" s="5">
        <f>SUM(X5:X16)</f>
        <v>-3.2969182939268649E-12</v>
      </c>
      <c r="Y17" s="59">
        <f>SUM(Y5:Y16)</f>
        <v>0.14630933730779547</v>
      </c>
      <c r="Z17" s="5">
        <f>SUM(Z5:Z16)</f>
        <v>2382740</v>
      </c>
      <c r="AA17" s="59">
        <f>SUM(AA5:AA16)</f>
        <v>1.6827791978455671</v>
      </c>
      <c r="AB17" s="5"/>
      <c r="AC17" s="59">
        <f>SUM(AC5:AC16)</f>
        <v>0.19711004787523417</v>
      </c>
      <c r="AD17" s="5"/>
      <c r="AE17" s="5">
        <f>SUM(AE5:AE16)</f>
        <v>-6.4659388954169117E-13</v>
      </c>
      <c r="AF17" s="59">
        <f>SUM(AF5:AF16)</f>
        <v>0.20842332129446514</v>
      </c>
      <c r="AG17" s="5">
        <f>SUM(AG5:AG16)</f>
        <v>5401825</v>
      </c>
      <c r="AH17" s="59">
        <f>SUM(AH5:AH16)</f>
        <v>1.0000000006892327</v>
      </c>
      <c r="AI17" s="5"/>
      <c r="AJ17" s="59">
        <f>SUM(AJ5:AJ16)</f>
        <v>0.208423321150813</v>
      </c>
      <c r="AK17" s="5"/>
      <c r="AL17" s="5">
        <f>SUM(AL5:AL16)</f>
        <v>-3.3878677641041577E-11</v>
      </c>
      <c r="AM17" s="59">
        <f>SUM(AM5:AM16)</f>
        <v>0.34444279916892651</v>
      </c>
      <c r="AN17" s="5">
        <f>SUM(AN5:AN16)</f>
        <v>5401825</v>
      </c>
      <c r="AO17" s="59">
        <f>SUM(AO5:AO16)</f>
        <v>1</v>
      </c>
      <c r="AP17" s="5"/>
      <c r="AQ17" s="59">
        <f>SUM(AQ5:AQ16)</f>
        <v>0.3444427989315253</v>
      </c>
      <c r="AR17" s="5"/>
      <c r="AS17" s="5">
        <f>SUM(AS5:AS16)</f>
        <v>4.091241276000801E-4</v>
      </c>
      <c r="AT17" s="59">
        <f>SUM(AT5:AT16)</f>
        <v>0.16141467592125514</v>
      </c>
      <c r="AU17" s="5">
        <f>SUM(AU5:AU16)</f>
        <v>4705717</v>
      </c>
      <c r="AV17" s="59">
        <f>SUM(AV5:AV16)</f>
        <v>1</v>
      </c>
      <c r="AW17" s="5"/>
      <c r="AX17" s="59">
        <f>SUM(AX5:AX16)</f>
        <v>0.1852924499621065</v>
      </c>
      <c r="AY17" s="5"/>
      <c r="AZ17" s="5">
        <f>SUM(AZ5:AZ16)</f>
        <v>3.4106051316484809E-12</v>
      </c>
      <c r="BA17" s="59">
        <f>SUM(BA5:BA16)</f>
        <v>0.15755953376959933</v>
      </c>
      <c r="BB17" s="5">
        <f>SUM(BB5:BB16)</f>
        <v>4705717</v>
      </c>
      <c r="BC17" s="59">
        <f>SUM(BC5:BC16)</f>
        <v>1</v>
      </c>
      <c r="BD17" s="5"/>
      <c r="BE17" s="59">
        <f>SUM(BE5:BE16)</f>
        <v>0.18086702377235303</v>
      </c>
      <c r="BF17" s="5"/>
      <c r="BG17" s="5">
        <f>SUM(BG5:BG16)</f>
        <v>-1.2789769243681803E-13</v>
      </c>
      <c r="BH17" s="59">
        <f>SUM(BH5:BH16)</f>
        <v>0.18902135665891917</v>
      </c>
      <c r="BI17" s="5">
        <f>SUM(BI5:BI16)</f>
        <v>5401825</v>
      </c>
      <c r="BJ17" s="59">
        <f>SUM(BJ5:BJ16)</f>
        <v>1</v>
      </c>
      <c r="BK17" s="5"/>
      <c r="BL17" s="59">
        <f>SUM(BL5:BL16)</f>
        <v>0.18902135665891917</v>
      </c>
      <c r="BM17" s="5"/>
      <c r="BN17" s="5">
        <f>SUM(BN5:BN16)</f>
        <v>1.7053025658242404E-12</v>
      </c>
      <c r="BO17" s="59">
        <f>SUM(BO5:BO16)</f>
        <v>1.3394693868792901E-2</v>
      </c>
      <c r="BP17" s="5">
        <f>SUM(BP5:BP16)</f>
        <v>423144</v>
      </c>
      <c r="BQ17" s="59">
        <f>SUM(BQ5:BQ16)</f>
        <v>1</v>
      </c>
      <c r="BR17" s="5"/>
      <c r="BS17" s="59">
        <f>SUM(BS5:BS16)</f>
        <v>0.17099567099567101</v>
      </c>
      <c r="BT17" s="5"/>
      <c r="BU17" s="5">
        <f>SUM(BU5:BU16)</f>
        <v>0</v>
      </c>
      <c r="BV17" s="59">
        <f>SUM(BV5:BV16)</f>
        <v>8.2748262069727185E-2</v>
      </c>
      <c r="BW17" s="5">
        <f>SUM(BW5:BW16)</f>
        <v>3048731</v>
      </c>
      <c r="BX17" s="59">
        <f>SUM(BX5:BX16)</f>
        <v>1</v>
      </c>
      <c r="BY17" s="5"/>
      <c r="BZ17" s="59">
        <f>SUM(BZ5:BZ16)</f>
        <v>0.14661563475255904</v>
      </c>
      <c r="CA17" s="59"/>
      <c r="CB17" s="5">
        <f>SUM(CB5:CB16)</f>
        <v>-2.886579864025407E-15</v>
      </c>
      <c r="CC17" s="5"/>
      <c r="CD17" s="5"/>
      <c r="CE17" s="5"/>
    </row>
    <row r="18" spans="2:83" x14ac:dyDescent="0.3">
      <c r="CD18" s="5"/>
    </row>
  </sheetData>
  <sheetProtection algorithmName="SHA-512" hashValue="UdbvjlFDClfUiwNyDnf7aNRCXRugXcXzQlcz45Y2oWFpFHBP75YQk8q3tprOwnI6VWIVc68L2c245wSyZow8Ow==" saltValue="kBLTrW5WX9GMG94LuH9Yqw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80"/>
  <sheetViews>
    <sheetView showGridLines="0" workbookViewId="0"/>
  </sheetViews>
  <sheetFormatPr baseColWidth="10" defaultRowHeight="14.4" x14ac:dyDescent="0.3"/>
  <cols>
    <col min="2" max="2" width="39.5546875" customWidth="1"/>
    <col min="3" max="3" width="17.44140625" customWidth="1"/>
    <col min="4" max="4" width="24" customWidth="1"/>
    <col min="5" max="5" width="24.5546875" customWidth="1"/>
    <col min="6" max="6" width="22.88671875" customWidth="1"/>
    <col min="7" max="7" width="8.88671875" customWidth="1"/>
    <col min="8" max="8" width="30.5546875" customWidth="1"/>
    <col min="9" max="9" width="16.5546875" bestFit="1" customWidth="1"/>
  </cols>
  <sheetData>
    <row r="1" spans="2:8" ht="33" customHeight="1" x14ac:dyDescent="0.5">
      <c r="B1" s="79" t="str">
        <f>+Inngang!C5</f>
        <v>TRØNDELAG</v>
      </c>
      <c r="C1" s="106"/>
    </row>
    <row r="3" spans="2:8" x14ac:dyDescent="0.3">
      <c r="B3" s="7" t="s">
        <v>52</v>
      </c>
    </row>
    <row r="4" spans="2:8" x14ac:dyDescent="0.3">
      <c r="B4" s="7"/>
    </row>
    <row r="5" spans="2:8" ht="43.2" x14ac:dyDescent="0.3">
      <c r="B5" s="38"/>
      <c r="C5" s="18" t="s">
        <v>315</v>
      </c>
      <c r="D5" s="18" t="s">
        <v>131</v>
      </c>
    </row>
    <row r="6" spans="2:8" x14ac:dyDescent="0.3">
      <c r="B6" s="39"/>
      <c r="C6" s="37" t="s">
        <v>40</v>
      </c>
      <c r="D6" s="37" t="s">
        <v>40</v>
      </c>
    </row>
    <row r="7" spans="2:8" x14ac:dyDescent="0.3">
      <c r="B7" s="62" t="s">
        <v>139</v>
      </c>
      <c r="C7" s="64">
        <f>VLOOKUP(Inngang!$B$5,'2021 Inntektsnivå'!A5:D15,4)</f>
        <v>-67.43964362562474</v>
      </c>
      <c r="D7" s="101"/>
    </row>
    <row r="8" spans="2:8" x14ac:dyDescent="0.3">
      <c r="B8" s="62" t="s">
        <v>273</v>
      </c>
      <c r="C8" s="65">
        <f>+E31+E32+E33+E34+E35</f>
        <v>-413.18995420616397</v>
      </c>
      <c r="D8" s="74">
        <f>H31+H32+H33+H34+H35</f>
        <v>-360.90125067898515</v>
      </c>
    </row>
    <row r="9" spans="2:8" x14ac:dyDescent="0.3">
      <c r="B9" s="62" t="s">
        <v>272</v>
      </c>
      <c r="C9" s="65">
        <f>+E36</f>
        <v>298.275230156715</v>
      </c>
      <c r="D9" s="74">
        <f t="shared" ref="D9:D12" si="0">+H36</f>
        <v>304.44436369538903</v>
      </c>
    </row>
    <row r="10" spans="2:8" x14ac:dyDescent="0.3">
      <c r="B10" s="62" t="s">
        <v>27</v>
      </c>
      <c r="C10" s="65">
        <f>+E37</f>
        <v>-12.690324860571394</v>
      </c>
      <c r="D10" s="74">
        <f t="shared" si="0"/>
        <v>-13.468537893287277</v>
      </c>
    </row>
    <row r="11" spans="2:8" x14ac:dyDescent="0.3">
      <c r="B11" s="62" t="s">
        <v>24</v>
      </c>
      <c r="C11" s="65">
        <f t="shared" ref="C11:C12" si="1">+E38</f>
        <v>469.61927057867376</v>
      </c>
      <c r="D11" s="74">
        <f t="shared" si="0"/>
        <v>472.91612299286965</v>
      </c>
    </row>
    <row r="12" spans="2:8" x14ac:dyDescent="0.3">
      <c r="B12" s="63" t="s">
        <v>25</v>
      </c>
      <c r="C12" s="66">
        <f t="shared" si="1"/>
        <v>-409.45386529428174</v>
      </c>
      <c r="D12" s="75">
        <f t="shared" si="0"/>
        <v>-402.99069811599065</v>
      </c>
    </row>
    <row r="13" spans="2:8" x14ac:dyDescent="0.3">
      <c r="B13" s="7"/>
      <c r="C13" s="5"/>
      <c r="D13" s="5"/>
    </row>
    <row r="14" spans="2:8" x14ac:dyDescent="0.3">
      <c r="B14" s="7"/>
    </row>
    <row r="16" spans="2:8" ht="43.2" x14ac:dyDescent="0.3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9" x14ac:dyDescent="0.3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9" x14ac:dyDescent="0.3">
      <c r="B18" s="62" t="s">
        <v>174</v>
      </c>
      <c r="C18" s="14">
        <f>VLOOKUP(Inngang!$B$5,'2021 Nto driftsutg eks avskriv'!$A$5:$T$15,4)*1000/VLOOKUP(Inngang!$B$5,'2021 Nto driftsutg'!$A$5:$W$15,23)*100/'2021 Nto driftsutg landet'!C5-100</f>
        <v>4.5523759127803771</v>
      </c>
      <c r="D18" s="5">
        <f>('2021 Nto driftsutg landet'!$C$5+VLOOKUP(Inngang!$B$5,'2021 Korreksjoner'!$A$5:$AS$15,3)+VLOOKUP(Inngang!$B$5,'2021 Korreksjoner'!$A$5:$AS$15,5)+VLOOKUP(Inngang!$B$5,'2021 Korreksjoner'!$A$5:$AS$15,12)+VLOOKUP(Inngang!$B$5,'2021 Korreksjoner'!$A$5:$AS$15,28))*100/'2021 Nto driftsutg landet'!C5-100</f>
        <v>1.4065909851913858</v>
      </c>
      <c r="E18" s="16">
        <f>+C18-D18</f>
        <v>3.1457849275889913</v>
      </c>
      <c r="F18" s="5">
        <f>('2021 Nto driftsutg landet'!$C$5*VLOOKUP(Inngang!$B$5,'2021 Inntektsnivå'!$A$5:$C$15,3)+VLOOKUP(Inngang!$B$5,'2021 Korreksjoner'!$A$5:$AS$15,5)+VLOOKUP(Inngang!$B$5,'2021 Korreksjoner'!$A$5:$AS$15,3)+VLOOKUP(Inngang!$B$5,'2021 Korreksjoner'!$A$5:$AS$15,12)+VLOOKUP(Inngang!$B$5,'2021 Korreksjoner'!$A$5:$AS$15,28))*100/'2021 Nto driftsutg landet'!C5-100</f>
        <v>0.95678783101517695</v>
      </c>
      <c r="G18" s="5"/>
      <c r="H18" s="16">
        <f>+C18-F18</f>
        <v>3.5955880817652002</v>
      </c>
    </row>
    <row r="19" spans="2:9" x14ac:dyDescent="0.3">
      <c r="B19" s="62" t="s">
        <v>175</v>
      </c>
      <c r="C19" s="14">
        <f>VLOOKUP(Inngang!$B$5,'2021 Nto driftsutg eks avskriv'!$A$5:$T$15,5)*1000/VLOOKUP(Inngang!$B$5,'2021 Nto driftsutg'!$A$5:$W$15,23)*100/'2021 Nto driftsutg landet'!C6-100</f>
        <v>33.261675292275385</v>
      </c>
      <c r="D19" s="5">
        <f>('2021 Nto driftsutg landet'!$C$6+VLOOKUP(Inngang!$B$5,'2021 Korreksjoner'!$A$5:$AS$15,6)+VLOOKUP(Inngang!$B$5,'2021 Korreksjoner'!$A$5:$AS$15,13)+VLOOKUP(Inngang!$B$5,'2021 Korreksjoner'!$A$5:$AS$15,29))*100/'2021 Nto driftsutg landet'!C6-100</f>
        <v>30.736430045590993</v>
      </c>
      <c r="E19" s="16">
        <f>+C19-D19</f>
        <v>2.525245246684392</v>
      </c>
      <c r="F19" s="5">
        <f>('2021 Nto driftsutg landet'!$C$6*VLOOKUP(Inngang!$B$5,'2021 Inntektsnivå'!$A$5:$C$15,3)+VLOOKUP(Inngang!$B$5,'2021 Korreksjoner'!$A$5:$AS$15,6)+VLOOKUP(Inngang!$B$5,'2021 Korreksjoner'!$A$5:$AS$15,13)+VLOOKUP(Inngang!$B$5,'2021 Korreksjoner'!$A$5:$AS$15,29))*100/'2021 Nto driftsutg landet'!C6-100</f>
        <v>30.286626891414784</v>
      </c>
      <c r="G19" s="5"/>
      <c r="H19" s="16">
        <f>+C19-F19</f>
        <v>2.9750484008606009</v>
      </c>
    </row>
    <row r="20" spans="2:9" x14ac:dyDescent="0.3">
      <c r="B20" s="32" t="s">
        <v>278</v>
      </c>
      <c r="C20" s="14">
        <f>VLOOKUP(Inngang!$B$5,'2021 Nto driftsutg eks avskriv'!$A$5:$T$15,6)*1000/VLOOKUP(Inngang!$B$5,'2021 Nto driftsutg'!$A$5:$W$15,23)*100/'2021 Nto driftsutg landet'!C7-100</f>
        <v>-18.946410997805359</v>
      </c>
      <c r="D20" s="5">
        <f>('2021 Nto driftsutg landet'!$C$7+VLOOKUP(Inngang!$B$5,'2021 Korreksjoner'!$A$5:$AS$15,7)+VLOOKUP(Inngang!$B$5,'2021 Korreksjoner'!$A$5:$AS$15,14)+VLOOKUP(Inngang!$B$5,'2021 Korreksjoner'!$A$5:$AS$15,30))*100/'2021 Nto driftsutg landet'!C7-100</f>
        <v>5.5287395350324999</v>
      </c>
      <c r="E20" s="16">
        <f>+C20-D20</f>
        <v>-24.475150532837858</v>
      </c>
      <c r="F20" s="5">
        <f>('2021 Nto driftsutg landet'!$C$7*VLOOKUP(Inngang!$B$5,'2021 Inntektsnivå'!$A$5:$C$15,3)+VLOOKUP(Inngang!$B$5,'2021 Korreksjoner'!$A$5:$AS$15,7)+VLOOKUP(Inngang!$B$5,'2021 Korreksjoner'!$A$5:$AS$15,14)+VLOOKUP(Inngang!$B$5,'2021 Korreksjoner'!$A$5:$AS$15,30))*100/'2021 Nto driftsutg landet'!C7-100</f>
        <v>5.0789363808562911</v>
      </c>
      <c r="G20" s="5"/>
      <c r="H20" s="16">
        <f>+C20-F20</f>
        <v>-24.02534737866165</v>
      </c>
    </row>
    <row r="21" spans="2:9" x14ac:dyDescent="0.3">
      <c r="B21" s="32" t="s">
        <v>279</v>
      </c>
      <c r="C21" s="14">
        <f>VLOOKUP(Inngang!$B$5,'2021 Nto driftsutg eks avskriv'!$A$5:$T$15,7)*1000/VLOOKUP(Inngang!$B$5,'2021 Nto driftsutg'!$A$5:$W$15,23)*100/'2021 Nto driftsutg landet'!C9-100</f>
        <v>58.647788200197851</v>
      </c>
      <c r="D21" s="5">
        <f>('2021 Nto driftsutg landet'!$C$8+VLOOKUP(Inngang!$B$5,'2021 Korreksjoner'!$A$5:$AS$15,8)+VLOOKUP(Inngang!$B$5,'2021 Korreksjoner'!$A$5:$AS$15,15)+VLOOKUP(Inngang!$B$5,'2021 Korreksjoner'!$A$5:$AS$15,31))*100/'2021 Nto driftsutg landet'!C8-100</f>
        <v>13.790847581838392</v>
      </c>
      <c r="E21" s="16">
        <f>+C21-D21</f>
        <v>44.856940618359459</v>
      </c>
      <c r="F21" s="5">
        <f>('2021 Nto driftsutg landet'!$C$8*VLOOKUP(Inngang!$B$5,'2021 Inntektsnivå'!$A$5:$C$15,3)+VLOOKUP(Inngang!$B$5,'2021 Korreksjoner'!$A$5:$AS$15,8)+VLOOKUP(Inngang!$B$5,'2021 Korreksjoner'!$A$5:$AS$15,15)+VLOOKUP(Inngang!$B$5,'2021 Korreksjoner'!$A$5:$AS$15,31))*100/'2021 Nto driftsutg landet'!C8-100</f>
        <v>13.341044427662183</v>
      </c>
      <c r="G21" s="5"/>
      <c r="H21" s="16">
        <f>+C21-F21</f>
        <v>45.306743772535668</v>
      </c>
    </row>
    <row r="22" spans="2:9" x14ac:dyDescent="0.3">
      <c r="B22" s="63" t="s">
        <v>176</v>
      </c>
      <c r="C22" s="26">
        <f>VLOOKUP(Inngang!$B$5,'2021 Nto driftsutg eks avskriv'!$A$5:$T$15,8)*1000/VLOOKUP(Inngang!$B$5,'2021 Nto driftsutg'!$A$5:$W$15,23)*100/'2021 Nto driftsutg landet'!C9-100</f>
        <v>17.261555730693559</v>
      </c>
      <c r="D22" s="22">
        <f>('2021 Nto driftsutg landet'!$C$9+VLOOKUP(Inngang!$B$5,'2021 Korreksjoner'!$A$5:$AS$15,9)+VLOOKUP(Inngang!$B$5,'2021 Korreksjoner'!$A$5:$AS$15,16)+VLOOKUP(Inngang!$B$5,'2021 Korreksjoner'!$A$5:$AS$15,32))*100/'2021 Nto driftsutg landet'!C9-100</f>
        <v>-1.0703728622684849</v>
      </c>
      <c r="E22" s="27">
        <f t="shared" ref="E22" si="2">+C22-D22</f>
        <v>18.331928592962043</v>
      </c>
      <c r="F22" s="22">
        <f>('2021 Nto driftsutg landet'!$C$9*VLOOKUP(Inngang!$B$5,'2021 Inntektsnivå'!$A$5:$C$15,3)+VLOOKUP(Inngang!$B$5,'2021 Korreksjoner'!$A$5:$AS$15,9)+VLOOKUP(Inngang!$B$5,'2021 Korreksjoner'!$A$5:$AS$15,16)+VLOOKUP(Inngang!$B$5,'2021 Korreksjoner'!$A$5:$AS$15,32))*100/'2021 Nto driftsutg landet'!C9-100</f>
        <v>-1.5201760164446796</v>
      </c>
      <c r="G22" s="22"/>
      <c r="H22" s="27">
        <f t="shared" ref="H22" si="3">+C22-F22</f>
        <v>18.781731747138238</v>
      </c>
    </row>
    <row r="26" spans="2:9" x14ac:dyDescent="0.3">
      <c r="B26" s="7" t="s">
        <v>35</v>
      </c>
    </row>
    <row r="28" spans="2:9" ht="43.2" x14ac:dyDescent="0.3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</row>
    <row r="29" spans="2:9" x14ac:dyDescent="0.3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9" x14ac:dyDescent="0.3">
      <c r="B30" s="83" t="s">
        <v>140</v>
      </c>
      <c r="C30" s="84">
        <f>SUM(C31:C35)</f>
        <v>12050.37113787305</v>
      </c>
      <c r="D30" s="84">
        <f>SUM(D31:D35)</f>
        <v>12463.561092079211</v>
      </c>
      <c r="E30" s="85">
        <f>SUM(E31:E35)</f>
        <v>-413.18995420616397</v>
      </c>
      <c r="F30" s="87">
        <f>SUM(F31:F35)</f>
        <v>12411.272388552034</v>
      </c>
      <c r="G30" s="84"/>
      <c r="H30" s="86">
        <f>SUM(H31:H35)</f>
        <v>-360.90125067898515</v>
      </c>
    </row>
    <row r="31" spans="2:9" x14ac:dyDescent="0.3">
      <c r="B31" s="32" t="s">
        <v>174</v>
      </c>
      <c r="C31" s="5">
        <f>VLOOKUP(Inngang!$B$5,'2021 Nto driftsutg eks avskriv'!$A$5:$T$15,4)*1000/VLOOKUP(Inngang!$B$5,'2021 Nto driftsutg'!$A$5:$W$15,23)</f>
        <v>6429.7640684184598</v>
      </c>
      <c r="D31" s="5">
        <f>+'2021 Nto driftsutg landet'!$C$5+VLOOKUP(Inngang!$B$5,'2021 Korreksjoner'!$A$5:$AS$15,5)+VLOOKUP(Inngang!$B$5,'2021 Korreksjoner'!$A$5:$I$15,3)+VLOOKUP(Inngang!$B$5,'2021 Korreksjoner'!$A$5:$AS$15,12)+VLOOKUP(Inngang!$B$5,'2021 Korreksjoner'!$A$5:$AS$15,28)</f>
        <v>6236.3045251245076</v>
      </c>
      <c r="E31" s="17">
        <f>+C31-D31</f>
        <v>193.45954329395227</v>
      </c>
      <c r="F31" s="14">
        <f>+'2021 Nto driftsutg landet'!$C$5*VLOOKUP(Inngang!$B$5,'2021 Inntektsnivå'!$A$5:$C$15,3)+VLOOKUP(Inngang!$B$5,'2021 Korreksjoner'!$A$5:$AS$15,5)+VLOOKUP(Inngang!$B$5,'2021 Korreksjoner'!$A$5:$AS$15,3)+VLOOKUP(Inngang!$B$5,'2021 Korreksjoner'!$A$5:$AS$15,12)+VLOOKUP(Inngang!$B$5,'2021 Korreksjoner'!$A$5:$AS$15,28)</f>
        <v>6208.6425219100029</v>
      </c>
      <c r="G31" s="5"/>
      <c r="H31" s="16">
        <f>IF(F34=G34,C31-F31,(C31-F31)-(G34-F34)*C31/C30)</f>
        <v>221.12154650845696</v>
      </c>
      <c r="I31" s="105"/>
    </row>
    <row r="32" spans="2:9" x14ac:dyDescent="0.3">
      <c r="B32" s="32" t="s">
        <v>175</v>
      </c>
      <c r="C32" s="5">
        <f>VLOOKUP(Inngang!$B$5,'2021 Nto driftsutg eks avskriv'!$A$5:$T$15,5)*1000/VLOOKUP(Inngang!$B$5,'2021 Nto driftsutg'!$A$5:$W$15,23)</f>
        <v>2197.9536459837277</v>
      </c>
      <c r="D32" s="5">
        <f>+'2021 Nto driftsutg landet'!$C$6+VLOOKUP(Inngang!$B$5,'2021 Korreksjoner'!$A$5:$AS$15,6)+VLOOKUP(Inngang!$B$5,'2021 Korreksjoner'!$A$5:$AS$15,13)+VLOOKUP(Inngang!$B$5,'2021 Korreksjoner'!$A$5:$AS$15,29)</f>
        <v>2156.3034717323558</v>
      </c>
      <c r="E32" s="17">
        <f>+C32-D32</f>
        <v>41.650174251371936</v>
      </c>
      <c r="F32" s="14">
        <f>+'2021 Nto driftsutg landet'!$C$6*VLOOKUP(Inngang!$B$5,'2021 Inntektsnivå'!$A$5:$C$15,3)+VLOOKUP(Inngang!$B$5,'2021 Korreksjoner'!$A$5:$AS$15,6)+VLOOKUP(Inngang!$B$5,'2021 Korreksjoner'!$A$5:$AS$15,13)+VLOOKUP(Inngang!$B$5,'2021 Korreksjoner'!$A$5:$AS$15,29)</f>
        <v>2148.8846359678478</v>
      </c>
      <c r="G32" s="5"/>
      <c r="H32" s="16">
        <f>IF(F34=G34,C32-F32,(C32-F32)-(G34-F34)*C32/C30)</f>
        <v>49.06901001587994</v>
      </c>
      <c r="I32" s="105"/>
    </row>
    <row r="33" spans="2:9" x14ac:dyDescent="0.3">
      <c r="B33" s="32" t="s">
        <v>278</v>
      </c>
      <c r="C33" s="5">
        <f>VLOOKUP(Inngang!$B$5,'2021 Nto driftsutg eks avskriv'!$A$5:$T$15,6)*1000/VLOOKUP(Inngang!$B$5,'2021 Nto driftsutg'!$A$5:$W$15,23)</f>
        <v>2037.0946783754862</v>
      </c>
      <c r="D33" s="5">
        <f>+'2021 Nto driftsutg landet'!$C$7+VLOOKUP(Inngang!$B$5,'2021 Korreksjoner'!$A$5:$AS$15,7)+VLOOKUP(Inngang!$B$5,'2021 Korreksjoner'!$A$5:$AS$15,14)+VLOOKUP(Inngang!$B$5,'2021 Korreksjoner'!$A$5:$AS$15,30)</f>
        <v>2652.2210351063763</v>
      </c>
      <c r="E33" s="17">
        <f>+C33-D33</f>
        <v>-615.12635673089017</v>
      </c>
      <c r="F33" s="14">
        <f>+'2021 Nto driftsutg landet'!$C$7*VLOOKUP(Inngang!$B$5,'2021 Inntektsnivå'!$A$5:$C$15,3)+VLOOKUP(Inngang!$B$5,'2021 Korreksjoner'!$A$5:$AS$15,7)+VLOOKUP(Inngang!$B$5,'2021 Korreksjoner'!$A$5:$AS$15,14)+VLOOKUP(Inngang!$B$5,'2021 Korreksjoner'!$A$5:$AS$15,30)</f>
        <v>2640.9162721345101</v>
      </c>
      <c r="G33" s="5"/>
      <c r="H33" s="16">
        <f>IF(F34=G34,C33-F33,(C33-F33)-(G34-F34)*(C33+C34)/C30)</f>
        <v>-603.82159375902393</v>
      </c>
      <c r="I33" s="105"/>
    </row>
    <row r="34" spans="2:9" x14ac:dyDescent="0.3">
      <c r="B34" s="32" t="s">
        <v>279</v>
      </c>
      <c r="C34" s="5">
        <f>VLOOKUP(Inngang!$B$5,'2021 Nto driftsutg eks avskriv'!$A$5:$T$15,7)*1000/VLOOKUP(Inngang!$B$5,'2021 Nto driftsutg'!$A$5:$W$15,23)</f>
        <v>796.69585378696513</v>
      </c>
      <c r="D34" s="5">
        <f>+'2021 Nto driftsutg landet'!$C$8+VLOOKUP(Inngang!$B$5,'2021 Korreksjoner'!$A$5:$AS$15,8)+VLOOKUP(Inngang!$B$5,'2021 Korreksjoner'!$A$5:$AS$15,15)+VLOOKUP(Inngang!$B$5,'2021 Korreksjoner'!$A$5:$AS$15,31)</f>
        <v>921.92826189432924</v>
      </c>
      <c r="E34" s="17">
        <f>+C34-D34</f>
        <v>-125.23240810736411</v>
      </c>
      <c r="F34" s="14">
        <f>IF(AND(C34&gt;=0.5,D34&gt;0),IF(G34&lt;10,C34,G34),0)</f>
        <v>918.2839772357936</v>
      </c>
      <c r="G34" s="5">
        <f>+'2021 Nto driftsutg landet'!$C$8*VLOOKUP(Inngang!$B$5,'2021 Inntektsnivå'!$A$5:$C$15,3)+VLOOKUP(Inngang!$B$5,'2021 Korreksjoner'!$A$5:$AS$15,8)+VLOOKUP(Inngang!$B$5,'2021 Korreksjoner'!$A$5:$AS$15,15)+VLOOKUP(Inngang!$B$5,'2021 Korreksjoner'!$A$5:$AS$15,31)</f>
        <v>918.2839772357936</v>
      </c>
      <c r="H34" s="16">
        <f>+C34-F34</f>
        <v>-121.58812344882847</v>
      </c>
      <c r="I34" s="105"/>
    </row>
    <row r="35" spans="2:9" x14ac:dyDescent="0.3">
      <c r="B35" s="33" t="s">
        <v>176</v>
      </c>
      <c r="C35" s="22">
        <f>VLOOKUP(Inngang!$B$5,'2021 Nto driftsutg eks avskriv'!$A$5:$T$15,8)*1000/VLOOKUP(Inngang!$B$5,'2021 Nto driftsutg'!$A$5:$W$15,23)</f>
        <v>588.86289130840964</v>
      </c>
      <c r="D35" s="22">
        <f>+'2021 Nto driftsutg landet'!$C$9+VLOOKUP(Inngang!$B$5,'2021 Korreksjoner'!$A$5:$AS$15,9)+VLOOKUP(Inngang!$B$5,'2021 Korreksjoner'!$A$5:$AS$15,16)+VLOOKUP(Inngang!$B$5,'2021 Korreksjoner'!$A$5:$AS$15,32)</f>
        <v>496.80379822164355</v>
      </c>
      <c r="E35" s="40">
        <f t="shared" ref="E35:E39" si="4">+C35-D35</f>
        <v>92.059093086766097</v>
      </c>
      <c r="F35" s="26">
        <f>+'2021 Nto driftsutg landet'!$C$9*VLOOKUP(Inngang!$B$5,'2021 Inntektsnivå'!$A$5:$C$15,3)+VLOOKUP(Inngang!$B$5,'2021 Korreksjoner'!$A$5:$AS$15,9)+VLOOKUP(Inngang!$B$5,'2021 Korreksjoner'!$A$5:$AS$15,16)+VLOOKUP(Inngang!$B$5,'2021 Korreksjoner'!$A$5:$AS$15,32)</f>
        <v>494.5449813038793</v>
      </c>
      <c r="G35" s="22"/>
      <c r="H35" s="27">
        <f>IF(F34=G34,C35-F35,(C35-F35)-(G34-F34)*C35/C30)</f>
        <v>94.317910004530347</v>
      </c>
      <c r="I35" s="105"/>
    </row>
    <row r="36" spans="2:9" x14ac:dyDescent="0.3">
      <c r="B36" s="32" t="s">
        <v>272</v>
      </c>
      <c r="C36" s="5">
        <f>VLOOKUP(Inngang!$B$5,'2021 Nto driftsutg eks avskriv'!$A$5:$T$15,9)*1000/VLOOKUP(Inngang!$B$5,'2021 Nto driftsutg'!$A$5:$W$15,23)</f>
        <v>1762.295534455523</v>
      </c>
      <c r="D36" s="5">
        <f>'2021 Nto driftsutg landet'!$C$13+VLOOKUP(Inngang!$B$5,'2021 Korreksjoner'!$A$5:$AS$15,17)+VLOOKUP(Inngang!$B$5,'2021 Korreksjoner'!$A$5:$AS$15,33)+VLOOKUP(Inngang!$B$5,'2021 Korreksjoner'!$A$5:$AW$15,46)</f>
        <v>1464.020304298808</v>
      </c>
      <c r="E36" s="17">
        <f t="shared" si="4"/>
        <v>298.275230156715</v>
      </c>
      <c r="F36" s="14">
        <f>+'2021 Nto driftsutg landet'!$C$13*VLOOKUP(Inngang!$B$5,'2021 Inntektsnivå'!$A$5:$C$15,3)+VLOOKUP(Inngang!$B$5,'2021 Korreksjoner'!$A$5:$AS$15,17)+VLOOKUP(Inngang!$B$5,'2021 Korreksjoner'!$A$5:$AS$15,33)+VLOOKUP(Inngang!$B$5,'2021 Korreksjoner'!$A$5:$AV$15,46)</f>
        <v>1457.851170760134</v>
      </c>
      <c r="G36" s="5"/>
      <c r="H36" s="16">
        <f t="shared" ref="H36:H39" si="5">+C36-F36</f>
        <v>304.44436369538903</v>
      </c>
    </row>
    <row r="37" spans="2:9" x14ac:dyDescent="0.3">
      <c r="B37" s="32" t="s">
        <v>27</v>
      </c>
      <c r="C37" s="5">
        <f>VLOOKUP(Inngang!$B$5,'2021 Nto driftsutg eks avskriv'!$A$5:$T$15,18)*1000/VLOOKUP(Inngang!$B$5,'2021 Nto driftsutg'!$A$5:$W$15,23)</f>
        <v>-156.90978886756238</v>
      </c>
      <c r="D37" s="5">
        <f>'2021 Nto driftsutg landet'!$C$14+VLOOKUP(Inngang!$B$5,'2021 Korreksjoner'!$A$5:$AX$15,44)</f>
        <v>-144.21946400699099</v>
      </c>
      <c r="E37" s="17">
        <f t="shared" si="4"/>
        <v>-12.690324860571394</v>
      </c>
      <c r="F37" s="14">
        <f>+'2021 Nto driftsutg landet'!$C$14*VLOOKUP(Inngang!$B$5,'2021 Inntektsnivå'!$A$5:$C$15,3)+VLOOKUP(Inngang!$B$5,'2021 Korreksjoner'!$A$5:$AX$15,44)</f>
        <v>-143.44125097427511</v>
      </c>
      <c r="G37" s="5"/>
      <c r="H37" s="16">
        <f t="shared" si="5"/>
        <v>-13.468537893287277</v>
      </c>
    </row>
    <row r="38" spans="2:9" x14ac:dyDescent="0.3">
      <c r="B38" s="32" t="s">
        <v>24</v>
      </c>
      <c r="C38" s="5">
        <f>VLOOKUP(Inngang!$B$5,'2021 Nto driftsutg eks avskriv'!$A$5:$T$15,19)*1000/VLOOKUP(Inngang!$B$5,'2021 Nto driftsutg'!$A$5:$W$15,23)</f>
        <v>1202.5737604674468</v>
      </c>
      <c r="D38" s="93">
        <f>'2021 Nto driftsutg landet'!$C$15</f>
        <v>732.95448988877308</v>
      </c>
      <c r="E38" s="94">
        <f t="shared" si="4"/>
        <v>469.61927057867376</v>
      </c>
      <c r="F38" s="95">
        <f>+'2021 Nto driftsutg landet'!$C$15*VLOOKUP(Inngang!$B$5,'2021 Inntektsnivå'!$A$5:$C$15,3)</f>
        <v>729.6576374745772</v>
      </c>
      <c r="G38" s="93"/>
      <c r="H38" s="96">
        <f t="shared" si="5"/>
        <v>472.91612299286965</v>
      </c>
      <c r="I38" s="5"/>
    </row>
    <row r="39" spans="2:9" x14ac:dyDescent="0.3">
      <c r="B39" s="33" t="s">
        <v>25</v>
      </c>
      <c r="C39" s="22">
        <f>VLOOKUP(Inngang!$B$5,'2021 Nto driftsutg eks avskriv'!$A$5:$T$15,20)*1000/VLOOKUP(Inngang!$B$5,'2021 Nto driftsutg'!$A$5:$W$15,23)</f>
        <v>1027.4340529614594</v>
      </c>
      <c r="D39" s="97">
        <f>'2021 Nto driftsutg landet'!$C$16</f>
        <v>1436.8879182557412</v>
      </c>
      <c r="E39" s="98">
        <f t="shared" si="4"/>
        <v>-409.45386529428174</v>
      </c>
      <c r="F39" s="99">
        <f>+'2021 Nto driftsutg landet'!$C$16*VLOOKUP(Inngang!$B$5,'2021 Inntektsnivå'!$A$5:$C$15,3)</f>
        <v>1430.4247510774501</v>
      </c>
      <c r="G39" s="93"/>
      <c r="H39" s="96">
        <f t="shared" si="5"/>
        <v>-402.99069811599065</v>
      </c>
    </row>
    <row r="40" spans="2:9" x14ac:dyDescent="0.3">
      <c r="B40" s="28" t="s">
        <v>18</v>
      </c>
      <c r="C40" s="29">
        <f>SUM(C31:C39)</f>
        <v>15885.764696889917</v>
      </c>
      <c r="D40" s="30">
        <f>SUM(D31:D39)</f>
        <v>15953.204340515544</v>
      </c>
      <c r="E40" s="31">
        <f>SUM(E31:E39)</f>
        <v>-67.439643625628378</v>
      </c>
      <c r="F40" s="29">
        <f>SUM(F31:F39)</f>
        <v>15885.764696889919</v>
      </c>
      <c r="G40" s="30"/>
      <c r="H40" s="34">
        <f>SUM(H31:H39)</f>
        <v>-4.4337866711430252E-12</v>
      </c>
    </row>
    <row r="41" spans="2:9" x14ac:dyDescent="0.3">
      <c r="C41" s="5"/>
    </row>
    <row r="42" spans="2:9" x14ac:dyDescent="0.3">
      <c r="I42" s="5"/>
    </row>
    <row r="43" spans="2:9" x14ac:dyDescent="0.3">
      <c r="B43" s="7" t="s">
        <v>36</v>
      </c>
      <c r="I43" s="5"/>
    </row>
    <row r="45" spans="2:9" ht="43.2" x14ac:dyDescent="0.3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</row>
    <row r="46" spans="2:9" x14ac:dyDescent="0.3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9" x14ac:dyDescent="0.3">
      <c r="B47" s="83" t="s">
        <v>137</v>
      </c>
      <c r="C47" s="84">
        <f>SUM(C48:C53)</f>
        <v>1762.295534455523</v>
      </c>
      <c r="D47" s="84">
        <f>SUM(D48:D53)</f>
        <v>1464.0203042988082</v>
      </c>
      <c r="E47" s="88">
        <f>SUM(E48:E53)</f>
        <v>298.27523015671483</v>
      </c>
      <c r="F47" s="89">
        <f>SUM(F48:F53)</f>
        <v>1457.8511707601342</v>
      </c>
      <c r="G47" s="84"/>
      <c r="H47" s="90">
        <f>SUM(H48:H53)</f>
        <v>304.44436369538886</v>
      </c>
    </row>
    <row r="48" spans="2:9" x14ac:dyDescent="0.3">
      <c r="B48" s="32" t="s">
        <v>4</v>
      </c>
      <c r="C48" s="5">
        <f>VLOOKUP(Inngang!$B$5,'2021 Nto driftsutg eks avskriv'!$A$5:$T$15,11)*1000/VLOOKUP(Inngang!$B$5,'2021 Nto driftsutg'!$A$5:$W$15,23)</f>
        <v>846.62748628403517</v>
      </c>
      <c r="D48" s="5">
        <f>'2021 Nto driftsutg eks avskriv'!K$17*1000/'2021 Nto driftsutg'!$W$17+VLOOKUP(Inngang!$B$5,'2021 Korreksjoner'!$A$5:$AS$15,19)+VLOOKUP(Inngang!$B$5,'2021 Korreksjoner'!$A$5:$AS$15,35)</f>
        <v>855.35024127375357</v>
      </c>
      <c r="E48" s="17">
        <f t="shared" ref="E48:E53" si="6">+C48-D48</f>
        <v>-8.7227549897183962</v>
      </c>
      <c r="F48" s="14">
        <f>+'2021 Nto driftsutg landet'!$C$23*VLOOKUP(Inngang!$B$5,'2021 Inntektsnivå'!$A$5:$C$15,3)+VLOOKUP(Inngang!$B$5,'2021 Korreksjoner'!$A$5:$AS$15,19)+VLOOKUP(Inngang!$B$5,'2021 Korreksjoner'!$A$5:$AS$15,35)</f>
        <v>851.90945458755073</v>
      </c>
      <c r="G48" s="5"/>
      <c r="H48" s="16">
        <f t="shared" ref="H48:H53" si="7">+C48-F48</f>
        <v>-5.2819683035155549</v>
      </c>
    </row>
    <row r="49" spans="2:9" x14ac:dyDescent="0.3">
      <c r="B49" s="32" t="s">
        <v>271</v>
      </c>
      <c r="C49" s="5">
        <f>VLOOKUP(Inngang!$B$5,'2021 Nto driftsutg eks avskriv'!$A$5:$T$15,12)*1000/VLOOKUP(Inngang!$B$5,'2021 Nto driftsutg'!$A$5:$W$15,23)</f>
        <v>178.95724695531058</v>
      </c>
      <c r="D49" s="5">
        <f>'2021 Nto driftsutg eks avskriv'!L$17*1000/'2021 Nto driftsutg'!$W$17+VLOOKUP(Inngang!$B$5,'2021 Korreksjoner'!$A$5:$AS$15,20)+VLOOKUP(Inngang!$B$5,'2021 Korreksjoner'!$A$5:$AS$15,36)</f>
        <v>204.6246825809605</v>
      </c>
      <c r="E49" s="17">
        <f t="shared" si="6"/>
        <v>-25.667435625649915</v>
      </c>
      <c r="F49" s="14">
        <f>+'2021 Nto driftsutg landet'!$C$24*VLOOKUP(Inngang!$B$5,'2021 Inntektsnivå'!$A$5:$C$15,3)+VLOOKUP(Inngang!$B$5,'2021 Korreksjoner'!$A$5:$AS$15,20)+VLOOKUP(Inngang!$B$5,'2021 Korreksjoner'!$A$5:$AS$15,36)</f>
        <v>203.71245606257779</v>
      </c>
      <c r="G49" s="5"/>
      <c r="H49" s="16">
        <f t="shared" si="7"/>
        <v>-24.755209107267206</v>
      </c>
    </row>
    <row r="50" spans="2:9" x14ac:dyDescent="0.3">
      <c r="B50" s="32" t="s">
        <v>37</v>
      </c>
      <c r="C50" s="5">
        <f>VLOOKUP(Inngang!$B$5,'2021 Nto driftsutg eks avskriv'!$A$5:$T$15,13)*1000/VLOOKUP(Inngang!$B$5,'2021 Nto driftsutg'!$A$5:$W$15,23)</f>
        <v>195.41852801793692</v>
      </c>
      <c r="D50" s="5">
        <f>'2021 Nto driftsutg eks avskriv'!M$17*1000/'2021 Nto driftsutg'!$W$17+VLOOKUP(Inngang!$B$5,'2021 Korreksjoner'!$A$5:$AS$15,21)+VLOOKUP(Inngang!$B$5,'2021 Korreksjoner'!$A$5:$AS$15,37)</f>
        <v>63.339809849915447</v>
      </c>
      <c r="E50" s="17">
        <f t="shared" si="6"/>
        <v>132.07871816802148</v>
      </c>
      <c r="F50" s="14">
        <f>+'2021 Nto driftsutg landet'!$C$25*VLOOKUP(Inngang!$B$5,'2021 Inntektsnivå'!$A$5:$C$15,3)+VLOOKUP(Inngang!$B$5,'2021 Korreksjoner'!$A$5:$AS$15,21)+VLOOKUP(Inngang!$B$5,'2021 Korreksjoner'!$A$5:$AS$15,37)</f>
        <v>63.05472849819963</v>
      </c>
      <c r="G50" s="5"/>
      <c r="H50" s="16">
        <f t="shared" si="7"/>
        <v>132.36379951973728</v>
      </c>
    </row>
    <row r="51" spans="2:9" x14ac:dyDescent="0.3">
      <c r="B51" s="32" t="s">
        <v>178</v>
      </c>
      <c r="C51" s="5">
        <f>VLOOKUP(Inngang!$B$5,'2021 Nto driftsutg eks avskriv'!$A$5:$T$15,14)*1000/VLOOKUP(Inngang!$B$5,'2021 Nto driftsutg'!$A$5:$W$15,23)</f>
        <v>541.29227319824031</v>
      </c>
      <c r="D51" s="5">
        <f>'2021 Nto driftsutg eks avskriv'!N$17*1000/'2021 Nto driftsutg'!$W$17+VLOOKUP(Inngang!$B$5,'2021 Korreksjoner'!$A$5:$AS$15,22)+VLOOKUP(Inngang!$B$5,'2021 Korreksjoner'!$A$5:$AS$15,38)</f>
        <v>340.53340655702453</v>
      </c>
      <c r="E51" s="17">
        <f t="shared" si="6"/>
        <v>200.75886664121577</v>
      </c>
      <c r="F51" s="14">
        <f>+'2021 Nto driftsutg landet'!$C$26*VLOOKUP(Inngang!$B$5,'2021 Inntektsnivå'!$A$5:$C$15,3)+VLOOKUP(Inngang!$B$5,'2021 Korreksjoner'!$A$5:$AS$15,22)+VLOOKUP(Inngang!$B$5,'2021 Korreksjoner'!$A$5:$AS$15,38)</f>
        <v>339.0031419739214</v>
      </c>
      <c r="G51" s="5"/>
      <c r="H51" s="16">
        <f t="shared" si="7"/>
        <v>202.28913122431891</v>
      </c>
    </row>
    <row r="52" spans="2:9" x14ac:dyDescent="0.3">
      <c r="B52" s="32" t="s">
        <v>138</v>
      </c>
      <c r="C52" s="5">
        <f>VLOOKUP(Inngang!$B$5,'2021 Nto driftsutg eks avskriv'!$A$5:$T$15,15)*1000/VLOOKUP(Inngang!$B$5,'2021 Nto driftsutg'!$A$5:$W$15,23)</f>
        <v>0</v>
      </c>
      <c r="D52" s="5">
        <f>'2021 Nto driftsutg eks avskriv'!O17*1000/'2021 Nto driftsutg'!$W$17+VLOOKUP(Inngang!$B$5,'2021 Korreksjoner'!$A$5:$AS$15,23)+VLOOKUP(Inngang!$B$5,'2021 Korreksjoner'!$A$5:$AS$15,39)</f>
        <v>-0.21196540058221064</v>
      </c>
      <c r="E52" s="17">
        <f t="shared" si="6"/>
        <v>0.21196540058221064</v>
      </c>
      <c r="F52" s="14">
        <f>'2021 Nto driftsutg landet'!$C$27*VLOOKUP(Inngang!$B$5,'2021 Inntektsnivå'!$A$5:$C$15,3)+VLOOKUP(Inngang!$B$5,'2021 Korreksjoner'!$A$5:$AS$15,23)+VLOOKUP(Inngang!$B$5,'2021 Korreksjoner'!$A$5:$AS$15,39)</f>
        <v>-0.21101197352462961</v>
      </c>
      <c r="G52" s="5"/>
      <c r="H52" s="16">
        <f t="shared" si="7"/>
        <v>0.21101197352462961</v>
      </c>
    </row>
    <row r="53" spans="2:9" x14ac:dyDescent="0.3">
      <c r="B53" s="61" t="s">
        <v>129</v>
      </c>
      <c r="C53" s="22">
        <f>VLOOKUP(Inngang!$B$5,'2021 Nto driftsutg eks avskriv'!$A$5:$T$15,16)*1000/VLOOKUP(Inngang!$B$5,'2021 Nto driftsutg'!$A$5:$W$15,23)</f>
        <v>0</v>
      </c>
      <c r="D53" s="22">
        <f>'2021 Nto driftsutg eks avskriv'!P17*1000/'2021 Nto driftsutg'!$W$17+VLOOKUP(Inngang!$B$5,'2021 Korreksjoner'!$A$5:$AS$15,24)+VLOOKUP(Inngang!$B$5,'2021 Korreksjoner'!$A$5:$AS$15,40)</f>
        <v>0.38412943773632058</v>
      </c>
      <c r="E53" s="40">
        <f t="shared" si="6"/>
        <v>-0.38412943773632058</v>
      </c>
      <c r="F53" s="26">
        <f>'2021 Nto driftsutg landet'!$C$28*VLOOKUP(Inngang!$B$5,'2021 Inntektsnivå'!$A$5:$C$15,3)+VLOOKUP(Inngang!$B$5,'2021 Korreksjoner'!$A$5:$AS$15,24)+VLOOKUP(Inngang!$B$5,'2021 Korreksjoner'!$A$5:$AS$15,40)</f>
        <v>0.38240161140926326</v>
      </c>
      <c r="G53" s="22"/>
      <c r="H53" s="27">
        <f t="shared" si="7"/>
        <v>-0.38240161140926326</v>
      </c>
    </row>
    <row r="54" spans="2:9" x14ac:dyDescent="0.3">
      <c r="B54" s="28" t="s">
        <v>137</v>
      </c>
      <c r="C54" s="30">
        <f>SUM(C48:C53)</f>
        <v>1762.295534455523</v>
      </c>
      <c r="D54" s="30">
        <f>SUM(D48:D53)</f>
        <v>1464.0203042988082</v>
      </c>
      <c r="E54" s="31">
        <f>SUM(E48:E53)</f>
        <v>298.27523015671483</v>
      </c>
      <c r="F54" s="29">
        <f>SUM(F48:F53)</f>
        <v>1457.8511707601342</v>
      </c>
      <c r="G54" s="30"/>
      <c r="H54" s="34">
        <f>SUM(H48:H53)</f>
        <v>304.44436369538886</v>
      </c>
      <c r="I54" s="5"/>
    </row>
    <row r="55" spans="2:9" x14ac:dyDescent="0.3">
      <c r="I55" s="5"/>
    </row>
    <row r="56" spans="2:9" x14ac:dyDescent="0.3">
      <c r="I56" s="5"/>
    </row>
    <row r="57" spans="2:9" x14ac:dyDescent="0.3">
      <c r="I57" s="5"/>
    </row>
    <row r="58" spans="2:9" x14ac:dyDescent="0.3">
      <c r="B58" s="38" t="s">
        <v>128</v>
      </c>
      <c r="C58" s="20" t="s">
        <v>274</v>
      </c>
      <c r="D58" s="67" t="s">
        <v>3</v>
      </c>
      <c r="I58" s="5"/>
    </row>
    <row r="59" spans="2:9" x14ac:dyDescent="0.3">
      <c r="B59" s="62" t="s">
        <v>174</v>
      </c>
      <c r="C59" s="70">
        <f>VLOOKUP(Inngang!$B$5,'2021 Revekting utgiftsbehov'!$A$5:$I$15,4)</f>
        <v>1.012572546855</v>
      </c>
      <c r="D59" s="68">
        <v>1</v>
      </c>
      <c r="I59" s="5"/>
    </row>
    <row r="60" spans="2:9" x14ac:dyDescent="0.3">
      <c r="B60" s="62" t="s">
        <v>175</v>
      </c>
      <c r="C60" s="70">
        <f>VLOOKUP(Inngang!$B$5,'2021 Revekting utgiftsbehov'!$A$5:$I$15,5)</f>
        <v>1.2942396964060001</v>
      </c>
      <c r="D60" s="68">
        <v>1</v>
      </c>
      <c r="I60" s="5"/>
    </row>
    <row r="61" spans="2:9" x14ac:dyDescent="0.3">
      <c r="B61" s="32" t="s">
        <v>278</v>
      </c>
      <c r="C61" s="70">
        <f>VLOOKUP(Inngang!$B$5,'2021 Revekting utgiftsbehov'!$A$5:$I$15,6)</f>
        <v>1.05514238388</v>
      </c>
      <c r="D61" s="68">
        <v>1</v>
      </c>
      <c r="I61" s="5"/>
    </row>
    <row r="62" spans="2:9" x14ac:dyDescent="0.3">
      <c r="B62" s="32" t="s">
        <v>279</v>
      </c>
      <c r="C62" s="70">
        <f>VLOOKUP(Inngang!$B$5,'2021 Revekting utgiftsbehov'!$A$5:$I$15,7)</f>
        <v>1.138105922492</v>
      </c>
      <c r="D62" s="68">
        <v>1</v>
      </c>
      <c r="I62" s="5"/>
    </row>
    <row r="63" spans="2:9" x14ac:dyDescent="0.3">
      <c r="B63" s="63" t="s">
        <v>176</v>
      </c>
      <c r="C63" s="71">
        <f>VLOOKUP(Inngang!$B$5,'2021 Revekting utgiftsbehov'!$A$5:$I$15,8)</f>
        <v>0.99297800244399992</v>
      </c>
      <c r="D63" s="69">
        <v>1</v>
      </c>
      <c r="I63" s="5"/>
    </row>
    <row r="64" spans="2:9" x14ac:dyDescent="0.3">
      <c r="B64" s="80" t="s">
        <v>133</v>
      </c>
      <c r="C64" s="81">
        <f>+VLOOKUP(Inngang!$B$5,'2021 Revekting utgiftsbehov'!$A$5:$I$15,9)</f>
        <v>1.08347192</v>
      </c>
      <c r="D64" s="82">
        <v>1</v>
      </c>
      <c r="I64" s="5"/>
    </row>
    <row r="65" spans="2:9" x14ac:dyDescent="0.3">
      <c r="I65" s="5"/>
    </row>
    <row r="66" spans="2:9" x14ac:dyDescent="0.3">
      <c r="I66" s="5"/>
    </row>
    <row r="67" spans="2:9" x14ac:dyDescent="0.3">
      <c r="I67" s="5"/>
    </row>
    <row r="68" spans="2:9" ht="28.8" x14ac:dyDescent="0.3">
      <c r="B68" s="73" t="s">
        <v>130</v>
      </c>
      <c r="C68" s="76" t="s">
        <v>275</v>
      </c>
      <c r="D68" s="76" t="s">
        <v>276</v>
      </c>
    </row>
    <row r="69" spans="2:9" x14ac:dyDescent="0.3">
      <c r="B69" s="32" t="s">
        <v>139</v>
      </c>
      <c r="C69" s="74">
        <f>SUM(C70:C78)</f>
        <v>892.61869524919052</v>
      </c>
    </row>
    <row r="70" spans="2:9" x14ac:dyDescent="0.3">
      <c r="B70" s="32" t="s">
        <v>174</v>
      </c>
      <c r="C70" s="74">
        <f>+C31-'2021 Nto driftsutg landet'!$C5</f>
        <v>279.96210334184252</v>
      </c>
    </row>
    <row r="71" spans="2:9" x14ac:dyDescent="0.3">
      <c r="B71" s="32" t="s">
        <v>175</v>
      </c>
      <c r="C71" s="74">
        <f>+C32-'2021 Nto driftsutg landet'!$C6</f>
        <v>548.60199168170948</v>
      </c>
    </row>
    <row r="72" spans="2:9" x14ac:dyDescent="0.3">
      <c r="B72" s="32" t="s">
        <v>278</v>
      </c>
      <c r="C72" s="74">
        <f>+C33-'2021 Nto driftsutg landet'!$C7</f>
        <v>-476.17426313965007</v>
      </c>
    </row>
    <row r="73" spans="2:9" x14ac:dyDescent="0.3">
      <c r="B73" s="32" t="s">
        <v>279</v>
      </c>
      <c r="C73" s="74">
        <f>+C34-'2021 Nto driftsutg landet'!$C8</f>
        <v>-13.499589419728864</v>
      </c>
    </row>
    <row r="74" spans="2:9" x14ac:dyDescent="0.3">
      <c r="B74" s="32" t="s">
        <v>176</v>
      </c>
      <c r="C74" s="74">
        <f>+C35-'2021 Nto driftsutg landet'!$C9</f>
        <v>86.683905502686571</v>
      </c>
    </row>
    <row r="75" spans="2:9" x14ac:dyDescent="0.3">
      <c r="B75" s="32" t="s">
        <v>127</v>
      </c>
      <c r="C75" s="74">
        <f>+C36-'2021 Nto driftsutg landet'!$C13</f>
        <v>390.77701987943078</v>
      </c>
    </row>
    <row r="76" spans="2:9" x14ac:dyDescent="0.3">
      <c r="B76" s="32" t="s">
        <v>27</v>
      </c>
      <c r="C76" s="74">
        <f>+C37-'2021 Nto driftsutg landet'!$C14</f>
        <v>16.102122118508078</v>
      </c>
    </row>
    <row r="77" spans="2:9" x14ac:dyDescent="0.3">
      <c r="B77" s="32" t="s">
        <v>24</v>
      </c>
      <c r="C77" s="74">
        <f>+C38-'2021 Nto driftsutg landet'!$C15</f>
        <v>469.61927057867376</v>
      </c>
    </row>
    <row r="78" spans="2:9" x14ac:dyDescent="0.3">
      <c r="B78" s="33" t="s">
        <v>25</v>
      </c>
      <c r="C78" s="75">
        <f>+C39-'2021 Nto driftsutg landet'!$C16</f>
        <v>-409.45386529428174</v>
      </c>
    </row>
    <row r="80" spans="2:9" x14ac:dyDescent="0.3">
      <c r="E80" s="5"/>
    </row>
  </sheetData>
  <sheetProtection algorithmName="SHA-512" hashValue="G2SZOFOiH72f3K1LdEM+ZDk6FHH6FcN+cI1r/OCyOsXQ6cgr4Xo93gOe5q5b92itF/rJyeXg7Gj6C4XSdSbj7w==" saltValue="4P2LgiNNB0DR8cKtriYfjA==" spinCount="100000" sheet="1" selectLockedCells="1" selectUnlockedCell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E18"/>
  <sheetViews>
    <sheetView zoomScale="80" zoomScaleNormal="80"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5" width="12" customWidth="1"/>
    <col min="6" max="6" width="13.44140625" customWidth="1"/>
    <col min="7" max="7" width="13.5546875" customWidth="1"/>
    <col min="8" max="8" width="14.44140625" customWidth="1"/>
    <col min="9" max="9" width="14.109375" customWidth="1"/>
    <col min="10" max="14" width="15.44140625" customWidth="1"/>
    <col min="15" max="15" width="14.44140625" customWidth="1"/>
    <col min="16" max="16" width="12.44140625" customWidth="1"/>
    <col min="17" max="21" width="15.44140625" customWidth="1"/>
    <col min="22" max="22" width="14.44140625" customWidth="1"/>
    <col min="23" max="23" width="13.44140625" customWidth="1"/>
    <col min="24" max="35" width="15.44140625" customWidth="1"/>
    <col min="36" max="36" width="14.44140625" customWidth="1"/>
    <col min="37" max="37" width="13.44140625" customWidth="1"/>
    <col min="38" max="42" width="15.44140625" customWidth="1"/>
    <col min="43" max="43" width="14.44140625" customWidth="1"/>
    <col min="44" max="44" width="13.44140625" customWidth="1"/>
    <col min="45" max="49" width="15.44140625" customWidth="1"/>
    <col min="50" max="50" width="14.44140625" customWidth="1"/>
    <col min="51" max="51" width="13.44140625" customWidth="1"/>
    <col min="52" max="56" width="15.44140625" customWidth="1"/>
    <col min="57" max="57" width="14.44140625" customWidth="1"/>
    <col min="58" max="58" width="13.44140625" customWidth="1"/>
    <col min="59" max="63" width="15.44140625" customWidth="1"/>
    <col min="64" max="64" width="14.44140625" customWidth="1"/>
    <col min="65" max="65" width="13.44140625" customWidth="1"/>
    <col min="66" max="70" width="15.44140625" customWidth="1"/>
    <col min="71" max="71" width="14.44140625" customWidth="1"/>
    <col min="72" max="72" width="13.44140625" customWidth="1"/>
    <col min="73" max="77" width="15.44140625" customWidth="1"/>
    <col min="78" max="78" width="14.44140625" customWidth="1"/>
    <col min="79" max="79" width="13.44140625" customWidth="1"/>
    <col min="80" max="80" width="15.44140625" customWidth="1"/>
    <col min="81" max="81" width="14.44140625" customWidth="1"/>
    <col min="82" max="82" width="13.44140625" customWidth="1"/>
    <col min="83" max="83" width="15.44140625" customWidth="1"/>
  </cols>
  <sheetData>
    <row r="1" spans="1:83" x14ac:dyDescent="0.3">
      <c r="H1" s="58"/>
      <c r="CB1" s="5"/>
    </row>
    <row r="2" spans="1:83" ht="79.8" x14ac:dyDescent="0.3">
      <c r="A2" s="24" t="s">
        <v>2</v>
      </c>
      <c r="B2" s="24" t="s">
        <v>1</v>
      </c>
      <c r="C2" s="24" t="s">
        <v>401</v>
      </c>
      <c r="D2" s="24" t="s">
        <v>322</v>
      </c>
      <c r="E2" s="24" t="s">
        <v>323</v>
      </c>
      <c r="F2" s="24" t="s">
        <v>325</v>
      </c>
      <c r="G2" s="24" t="s">
        <v>324</v>
      </c>
      <c r="H2" s="24" t="s">
        <v>326</v>
      </c>
      <c r="I2" s="24" t="s">
        <v>231</v>
      </c>
      <c r="J2" s="24" t="s">
        <v>230</v>
      </c>
      <c r="K2" s="108" t="s">
        <v>327</v>
      </c>
      <c r="L2" s="108" t="s">
        <v>328</v>
      </c>
      <c r="M2" s="108" t="s">
        <v>329</v>
      </c>
      <c r="N2" s="108" t="s">
        <v>330</v>
      </c>
      <c r="O2" s="108" t="s">
        <v>331</v>
      </c>
      <c r="P2" s="108" t="s">
        <v>233</v>
      </c>
      <c r="Q2" s="108" t="s">
        <v>232</v>
      </c>
      <c r="R2" s="24" t="s">
        <v>332</v>
      </c>
      <c r="S2" s="24" t="s">
        <v>333</v>
      </c>
      <c r="T2" s="24" t="s">
        <v>334</v>
      </c>
      <c r="U2" s="24" t="s">
        <v>335</v>
      </c>
      <c r="V2" s="24" t="s">
        <v>336</v>
      </c>
      <c r="W2" s="24" t="s">
        <v>312</v>
      </c>
      <c r="X2" s="24" t="s">
        <v>311</v>
      </c>
      <c r="Y2" s="108" t="s">
        <v>337</v>
      </c>
      <c r="Z2" s="108" t="s">
        <v>338</v>
      </c>
      <c r="AA2" s="108" t="s">
        <v>339</v>
      </c>
      <c r="AB2" s="108" t="s">
        <v>340</v>
      </c>
      <c r="AC2" s="108" t="s">
        <v>341</v>
      </c>
      <c r="AD2" s="108" t="s">
        <v>314</v>
      </c>
      <c r="AE2" s="108" t="s">
        <v>313</v>
      </c>
      <c r="AF2" s="24" t="s">
        <v>342</v>
      </c>
      <c r="AG2" s="24" t="s">
        <v>343</v>
      </c>
      <c r="AH2" s="24" t="s">
        <v>344</v>
      </c>
      <c r="AI2" s="24" t="s">
        <v>345</v>
      </c>
      <c r="AJ2" s="24" t="s">
        <v>346</v>
      </c>
      <c r="AK2" s="24" t="s">
        <v>347</v>
      </c>
      <c r="AL2" s="24" t="s">
        <v>348</v>
      </c>
      <c r="AM2" s="108" t="s">
        <v>349</v>
      </c>
      <c r="AN2" s="108" t="s">
        <v>350</v>
      </c>
      <c r="AO2" s="108" t="s">
        <v>351</v>
      </c>
      <c r="AP2" s="108" t="s">
        <v>352</v>
      </c>
      <c r="AQ2" s="108" t="s">
        <v>353</v>
      </c>
      <c r="AR2" s="108" t="s">
        <v>235</v>
      </c>
      <c r="AS2" s="108" t="s">
        <v>234</v>
      </c>
      <c r="AT2" s="24" t="s">
        <v>354</v>
      </c>
      <c r="AU2" s="24" t="s">
        <v>355</v>
      </c>
      <c r="AV2" s="24" t="s">
        <v>356</v>
      </c>
      <c r="AW2" s="24" t="s">
        <v>357</v>
      </c>
      <c r="AX2" s="24" t="s">
        <v>358</v>
      </c>
      <c r="AY2" s="24" t="s">
        <v>359</v>
      </c>
      <c r="AZ2" s="24" t="s">
        <v>360</v>
      </c>
      <c r="BA2" s="108" t="s">
        <v>361</v>
      </c>
      <c r="BB2" s="108" t="s">
        <v>362</v>
      </c>
      <c r="BC2" s="108" t="s">
        <v>363</v>
      </c>
      <c r="BD2" s="108" t="s">
        <v>364</v>
      </c>
      <c r="BE2" s="108" t="s">
        <v>365</v>
      </c>
      <c r="BF2" s="108" t="s">
        <v>237</v>
      </c>
      <c r="BG2" s="108" t="s">
        <v>236</v>
      </c>
      <c r="BH2" s="24" t="s">
        <v>366</v>
      </c>
      <c r="BI2" s="24" t="s">
        <v>367</v>
      </c>
      <c r="BJ2" s="24" t="s">
        <v>368</v>
      </c>
      <c r="BK2" s="24" t="s">
        <v>369</v>
      </c>
      <c r="BL2" s="24" t="s">
        <v>370</v>
      </c>
      <c r="BM2" s="24" t="s">
        <v>239</v>
      </c>
      <c r="BN2" s="24" t="s">
        <v>238</v>
      </c>
      <c r="BO2" s="108" t="s">
        <v>371</v>
      </c>
      <c r="BP2" s="108" t="s">
        <v>372</v>
      </c>
      <c r="BQ2" s="108" t="s">
        <v>373</v>
      </c>
      <c r="BR2" s="108" t="s">
        <v>374</v>
      </c>
      <c r="BS2" s="108" t="s">
        <v>375</v>
      </c>
      <c r="BT2" s="108" t="s">
        <v>376</v>
      </c>
      <c r="BU2" s="108" t="s">
        <v>377</v>
      </c>
      <c r="BV2" s="24" t="s">
        <v>378</v>
      </c>
      <c r="BW2" s="24" t="s">
        <v>379</v>
      </c>
      <c r="BX2" s="24" t="s">
        <v>380</v>
      </c>
      <c r="BY2" s="24" t="s">
        <v>381</v>
      </c>
      <c r="BZ2" s="24" t="s">
        <v>382</v>
      </c>
      <c r="CA2" s="24" t="s">
        <v>383</v>
      </c>
      <c r="CB2" s="24" t="s">
        <v>384</v>
      </c>
      <c r="CC2" s="108"/>
      <c r="CD2" s="108"/>
      <c r="CE2" s="108"/>
    </row>
    <row r="3" spans="1:83" x14ac:dyDescent="0.3">
      <c r="A3" s="107">
        <v>1</v>
      </c>
      <c r="B3" s="107">
        <f>+A3+1</f>
        <v>2</v>
      </c>
      <c r="C3" s="107">
        <f t="shared" ref="C3:BN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9">
        <f t="shared" si="0"/>
        <v>11</v>
      </c>
      <c r="L3" s="109">
        <f t="shared" si="0"/>
        <v>12</v>
      </c>
      <c r="M3" s="109">
        <f t="shared" si="0"/>
        <v>13</v>
      </c>
      <c r="N3" s="109">
        <f t="shared" si="0"/>
        <v>14</v>
      </c>
      <c r="O3" s="109">
        <f t="shared" si="0"/>
        <v>15</v>
      </c>
      <c r="P3" s="109">
        <f t="shared" si="0"/>
        <v>16</v>
      </c>
      <c r="Q3" s="109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>+U3+1</f>
        <v>22</v>
      </c>
      <c r="W3" s="107">
        <f t="shared" si="0"/>
        <v>23</v>
      </c>
      <c r="X3" s="107">
        <f t="shared" si="0"/>
        <v>24</v>
      </c>
      <c r="Y3" s="109">
        <f t="shared" si="0"/>
        <v>25</v>
      </c>
      <c r="Z3" s="109">
        <f t="shared" si="0"/>
        <v>26</v>
      </c>
      <c r="AA3" s="109">
        <f t="shared" si="0"/>
        <v>27</v>
      </c>
      <c r="AB3" s="109">
        <f t="shared" si="0"/>
        <v>28</v>
      </c>
      <c r="AC3" s="109">
        <f t="shared" si="0"/>
        <v>29</v>
      </c>
      <c r="AD3" s="109">
        <f t="shared" si="0"/>
        <v>30</v>
      </c>
      <c r="AE3" s="109">
        <f t="shared" si="0"/>
        <v>31</v>
      </c>
      <c r="AF3" s="107">
        <f t="shared" si="0"/>
        <v>32</v>
      </c>
      <c r="AG3" s="107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9">
        <f t="shared" si="0"/>
        <v>39</v>
      </c>
      <c r="AN3" s="109">
        <f t="shared" si="0"/>
        <v>40</v>
      </c>
      <c r="AO3" s="109">
        <f t="shared" si="0"/>
        <v>41</v>
      </c>
      <c r="AP3" s="109">
        <f t="shared" si="0"/>
        <v>42</v>
      </c>
      <c r="AQ3" s="109">
        <f t="shared" si="0"/>
        <v>43</v>
      </c>
      <c r="AR3" s="109">
        <f t="shared" si="0"/>
        <v>44</v>
      </c>
      <c r="AS3" s="109">
        <f t="shared" si="0"/>
        <v>45</v>
      </c>
      <c r="AT3" s="107">
        <f t="shared" si="0"/>
        <v>46</v>
      </c>
      <c r="AU3" s="107">
        <f t="shared" si="0"/>
        <v>47</v>
      </c>
      <c r="AV3" s="107">
        <f t="shared" si="0"/>
        <v>48</v>
      </c>
      <c r="AW3" s="107">
        <f t="shared" si="0"/>
        <v>49</v>
      </c>
      <c r="AX3" s="107">
        <f t="shared" si="0"/>
        <v>50</v>
      </c>
      <c r="AY3" s="107">
        <f t="shared" si="0"/>
        <v>51</v>
      </c>
      <c r="AZ3" s="107">
        <f t="shared" si="0"/>
        <v>52</v>
      </c>
      <c r="BA3" s="109">
        <f t="shared" si="0"/>
        <v>53</v>
      </c>
      <c r="BB3" s="109">
        <f t="shared" si="0"/>
        <v>54</v>
      </c>
      <c r="BC3" s="109">
        <f t="shared" si="0"/>
        <v>55</v>
      </c>
      <c r="BD3" s="109">
        <f t="shared" si="0"/>
        <v>56</v>
      </c>
      <c r="BE3" s="109">
        <f t="shared" si="0"/>
        <v>57</v>
      </c>
      <c r="BF3" s="109">
        <f t="shared" si="0"/>
        <v>58</v>
      </c>
      <c r="BG3" s="109">
        <f t="shared" si="0"/>
        <v>59</v>
      </c>
      <c r="BH3" s="107">
        <f t="shared" si="0"/>
        <v>60</v>
      </c>
      <c r="BI3" s="107">
        <f t="shared" si="0"/>
        <v>61</v>
      </c>
      <c r="BJ3" s="107">
        <f t="shared" si="0"/>
        <v>62</v>
      </c>
      <c r="BK3" s="107">
        <f t="shared" si="0"/>
        <v>63</v>
      </c>
      <c r="BL3" s="107">
        <f t="shared" si="0"/>
        <v>64</v>
      </c>
      <c r="BM3" s="107">
        <f t="shared" si="0"/>
        <v>65</v>
      </c>
      <c r="BN3" s="107">
        <f t="shared" si="0"/>
        <v>66</v>
      </c>
      <c r="BO3" s="109">
        <f t="shared" ref="BO3:BR3" si="1">+BN3+1</f>
        <v>67</v>
      </c>
      <c r="BP3" s="109">
        <f t="shared" si="1"/>
        <v>68</v>
      </c>
      <c r="BQ3" s="109">
        <f t="shared" si="1"/>
        <v>69</v>
      </c>
      <c r="BR3" s="109">
        <f t="shared" si="1"/>
        <v>70</v>
      </c>
      <c r="BS3" s="109">
        <f>+BN3+1</f>
        <v>67</v>
      </c>
      <c r="BT3" s="109">
        <f t="shared" ref="BT3:CE3" si="2">+BS3+1</f>
        <v>68</v>
      </c>
      <c r="BU3" s="109">
        <f t="shared" si="2"/>
        <v>69</v>
      </c>
      <c r="BV3" s="107">
        <f t="shared" si="2"/>
        <v>70</v>
      </c>
      <c r="BW3" s="107">
        <f t="shared" si="2"/>
        <v>71</v>
      </c>
      <c r="BX3" s="107">
        <f t="shared" si="2"/>
        <v>72</v>
      </c>
      <c r="BY3" s="107">
        <f t="shared" si="2"/>
        <v>73</v>
      </c>
      <c r="BZ3" s="107">
        <f t="shared" si="2"/>
        <v>74</v>
      </c>
      <c r="CA3" s="107">
        <f t="shared" si="2"/>
        <v>75</v>
      </c>
      <c r="CB3" s="107">
        <f t="shared" si="2"/>
        <v>76</v>
      </c>
      <c r="CC3" s="109">
        <f t="shared" si="2"/>
        <v>77</v>
      </c>
      <c r="CD3" s="109">
        <f t="shared" si="2"/>
        <v>78</v>
      </c>
      <c r="CE3" s="109">
        <f t="shared" si="2"/>
        <v>79</v>
      </c>
    </row>
    <row r="5" spans="1:83" x14ac:dyDescent="0.3">
      <c r="A5" s="43">
        <v>300</v>
      </c>
      <c r="B5" s="44" t="s">
        <v>0</v>
      </c>
      <c r="C5" s="44">
        <f>+'2021 Nto driftsutg'!W5</f>
        <v>696108</v>
      </c>
      <c r="D5" s="59">
        <f>IF('2021 Lønnsgr arbavg tjeneste'!D5&lt;100,0,(C5/$C$17)*'2021 Revekting utgiftsbehov'!D5*'2021 Arbavg tjeneste'!D5/'2021 Lønnsgr arbavg tjeneste'!D5)</f>
        <v>1.2421520087909109E-2</v>
      </c>
      <c r="E5" s="5">
        <f>IF('2021 Lønnsgr arbavg tjeneste'!D5&lt;100,0,C5)</f>
        <v>696108</v>
      </c>
      <c r="F5" s="59">
        <f>'2021 Revekting utgiftsbehov'!D5*E5/$E$17</f>
        <v>9.0196382698589025E-2</v>
      </c>
      <c r="G5" s="59">
        <f>'2021 Revekting utgiftsbehov'!D5/$F$17</f>
        <v>0.69992741789630675</v>
      </c>
      <c r="H5" s="59">
        <f>IF(E5=0,0,(E5/$E$17)*G5*'2021 Arbavg tjeneste'!D5/'2021 Lønnsgr arbavg tjeneste'!D5)</f>
        <v>1.2421520089085845E-2</v>
      </c>
      <c r="I5" s="5">
        <f>IF(E5=0,0,'2021 Nto driftsutg landet'!$C$5*'2021 Lønnsand og arbavg landet'!$D$6*('2021 Arbavg tjeneste'!D5/'2021 Lønnsgr arbavg tjeneste'!D5-$H$17)*'2021 Revekting utgiftsbehov'!D5)</f>
        <v>26.312231281517736</v>
      </c>
      <c r="J5" s="5">
        <f>I5*C5/1000</f>
        <v>18316.154692914748</v>
      </c>
      <c r="K5" s="59">
        <f>IF('2021 Lønnsgr arbavg tjeneste'!E5&lt;100,0,(C5/$C$17)*'2021 Revekting utgiftsbehov'!E5*'2021 Arbavg tjeneste'!E5/'2021 Lønnsgr arbavg tjeneste'!E5)</f>
        <v>0</v>
      </c>
      <c r="L5" s="5">
        <f>IF('2021 Lønnsgr arbavg tjeneste'!E5&lt;100,0,C5)</f>
        <v>0</v>
      </c>
      <c r="M5" s="59">
        <f>'2021 Revekting utgiftsbehov'!E5*L5/$L$17</f>
        <v>0</v>
      </c>
      <c r="N5" s="59">
        <f>'2021 Revekting utgiftsbehov'!E5/$M$17</f>
        <v>0.24677203184358656</v>
      </c>
      <c r="O5" s="59">
        <f>IF(L5=0,0,(L5/$L$17)*N5*'2021 Arbavg tjeneste'!E5/'2021 Lønnsgr arbavg tjeneste'!E5)</f>
        <v>0</v>
      </c>
      <c r="P5" s="5">
        <f>IF(L5=0,0,'2021 Nto driftsutg landet'!$C$6*'2021 Lønnsand og arbavg landet'!$D$7*('2021 Arbavg tjeneste'!E5/'2021 Lønnsgr arbavg tjeneste'!E5-$O$17)*'2021 Revekting utgiftsbehov'!E5)</f>
        <v>0</v>
      </c>
      <c r="Q5" s="5">
        <f>P5*C5/1000</f>
        <v>0</v>
      </c>
      <c r="R5" s="59">
        <f>IF('2021 Lønnsgr arbavg tjeneste'!F5&lt;100,0,(C5/$C$17)*'2021 Revekting utgiftsbehov'!F5*'2021 Arbavg tjeneste'!F5/'2021 Lønnsgr arbavg tjeneste'!F5)</f>
        <v>3.092300480970581E-2</v>
      </c>
      <c r="S5" s="5">
        <f>IF('2021 Lønnsgr arbavg tjeneste'!F5&lt;100,0,C5)</f>
        <v>696108</v>
      </c>
      <c r="T5" s="59">
        <f>'2021 Revekting utgiftsbehov'!F5*S5/$S$17</f>
        <v>0.22379765087286374</v>
      </c>
      <c r="U5" s="59">
        <f>'2021 Revekting utgiftsbehov'!F5/$T$17</f>
        <v>1.7366784233334505</v>
      </c>
      <c r="V5" s="59">
        <f>IF(S5=0,0,(S5/$S$17)*U5*'2021 Arbavg tjeneste'!F5/'2021 Lønnsgr arbavg tjeneste'!F5)</f>
        <v>3.0923004770914926E-2</v>
      </c>
      <c r="W5" s="5">
        <f>IF(S5=0,0,'2021 Nto driftsutg landet'!$C$7*'2021 Lønnsand og arbavg landet'!$D$8*('2021 Arbavg tjeneste'!F5/'2021 Lønnsgr arbavg tjeneste'!F5-$V$17)*'2021 Revekting utgiftsbehov'!F5)</f>
        <v>0.33655577995915414</v>
      </c>
      <c r="X5" s="5">
        <f>W5*C5/1000</f>
        <v>234.2791708758069</v>
      </c>
      <c r="Y5" s="59">
        <f>IF('2021 Lønnsgr arbavg tjeneste'!G5&lt;100,0,(C5/$C$17)*'2021 Revekting utgiftsbehov'!G5*'2021 Arbavg tjeneste'!G5/'2021 Lønnsgr arbavg tjeneste'!G5)</f>
        <v>0</v>
      </c>
      <c r="Z5" s="5">
        <f>IF('2021 Lønnsgr arbavg tjeneste'!G5&lt;100,0,C5)</f>
        <v>0</v>
      </c>
      <c r="AA5" s="59">
        <f>'2021 Revekting utgiftsbehov'!G5*Z5/$Z$17</f>
        <v>0</v>
      </c>
      <c r="AB5" s="59">
        <f>'2021 Revekting utgiftsbehov'!G5/$AA$17</f>
        <v>7.8219235279660044E-4</v>
      </c>
      <c r="AC5" s="59">
        <f>IF(Z5=0,0,(Z5/$Z$17)*AB5*'2021 Arbavg tjeneste'!G5/'2021 Lønnsgr arbavg tjeneste'!G5)</f>
        <v>0</v>
      </c>
      <c r="AD5" s="5">
        <f>IF(Z5=0,0,'2021 Nto driftsutg landet'!$C$8*'2021 Lønnsand og arbavg landet'!$D$9*('2021 Arbavg tjeneste'!G5/'2021 Lønnsgr arbavg tjeneste'!G5-$AC$17)*'2021 Revekting utgiftsbehov'!G5)</f>
        <v>0</v>
      </c>
      <c r="AE5" s="5">
        <f>+AD5*$C5/1000</f>
        <v>0</v>
      </c>
      <c r="AF5" s="59">
        <f>IF('2021 Lønnsgr arbavg tjeneste'!H5&lt;100,0,(C5/$C$17)*'2021 Revekting utgiftsbehov'!H5*'2021 Arbavg tjeneste'!H5/'2021 Lønnsgr arbavg tjeneste'!H5)</f>
        <v>1.4467403965313203E-2</v>
      </c>
      <c r="AG5" s="5">
        <f>IF('2021 Lønnsgr arbavg tjeneste'!H5&lt;100,0,C5)</f>
        <v>696108</v>
      </c>
      <c r="AH5" s="59">
        <f>'2021 Revekting utgiftsbehov'!H5*AG5/$AG$17</f>
        <v>0.1111006656179479</v>
      </c>
      <c r="AI5" s="59">
        <f>'2021 Revekting utgiftsbehov'!H5/$AH$17</f>
        <v>0.86214546110378132</v>
      </c>
      <c r="AJ5" s="59">
        <f>IF(AG5=0,0,(AG5/$AG$17)*AI5*'2021 Arbavg tjeneste'!H5/'2021 Lønnsgr arbavg tjeneste'!H5)</f>
        <v>1.4467403955341794E-2</v>
      </c>
      <c r="AK5" s="5">
        <f>IF(AG5=0,0,'2021 Nto driftsutg landet'!$C$9*'2021 Lønnsand og arbavg landet'!$D$10*('2021 Arbavg tjeneste'!H5/'2021 Lønnsgr arbavg tjeneste'!H5-$AJ$17)*'2021 Revekting utgiftsbehov'!H5)</f>
        <v>1.1440458735502139</v>
      </c>
      <c r="AL5" s="5">
        <f>+AK5*$C5/1000</f>
        <v>796.37948494529235</v>
      </c>
      <c r="AM5" s="59">
        <f>IF('2021 Lønnsgr arbavg tjeneste'!K5&lt;100,0,(C5/$C$17)*'2021 Arbavg tjeneste'!K5/'2021 Lønnsgr arbavg tjeneste'!K5)</f>
        <v>8.4558177892258019E-3</v>
      </c>
      <c r="AN5" s="5">
        <f>IF('2021 Lønnsgr arbavg tjeneste'!K5&lt;100,0,C5)</f>
        <v>696108</v>
      </c>
      <c r="AO5" s="59">
        <f t="shared" ref="AO5:AO15" si="3">AN5/$AN$17</f>
        <v>0.12886533717771309</v>
      </c>
      <c r="AP5" s="59">
        <f t="shared" ref="AP5:AP15" si="4">1/$AH$17</f>
        <v>0.99999999931076733</v>
      </c>
      <c r="AQ5" s="59">
        <f>IF(AN5=0,0,(AN5/$AN$17)*AP5*'2021 Arbavg tjeneste'!K5/'2021 Lønnsgr arbavg tjeneste'!K5)</f>
        <v>8.4558177833977746E-3</v>
      </c>
      <c r="AR5" s="5">
        <f>IF(AN5=0,0,'2021 Nto driftsutg landet'!$C$23*'2021 Lønnsand og arbavg landet'!$D$13*('2021 Arbavg tjeneste'!K5/'2021 Lønnsgr arbavg tjeneste'!K5-$AQ$17))</f>
        <v>-14.145589220100403</v>
      </c>
      <c r="AS5" s="5">
        <f>+AR5*$C5/1000</f>
        <v>-9846.8578208256513</v>
      </c>
      <c r="AT5" s="59">
        <f>IF('2021 Lønnsgr arbavg tjeneste'!L5&lt;100,0,(C5/$C$17)*'2021 Arbavg tjeneste'!L5/'2021 Lønnsgr arbavg tjeneste'!L5)</f>
        <v>0</v>
      </c>
      <c r="AU5" s="5">
        <f>IF('2021 Lønnsgr arbavg tjeneste'!L5&lt;100,0,C5)</f>
        <v>0</v>
      </c>
      <c r="AV5" s="59">
        <f t="shared" ref="AV5:AV15" si="5">AU5/$AU$17</f>
        <v>0</v>
      </c>
      <c r="AW5" s="59">
        <f t="shared" ref="AW5:AW15" si="6">1/$AV$17</f>
        <v>1</v>
      </c>
      <c r="AX5" s="59">
        <f>IF(AU5=0,0,(AU5/$AU$17)*AW5*'2021 Arbavg tjeneste'!L5/'2021 Lønnsgr arbavg tjeneste'!L5)</f>
        <v>0</v>
      </c>
      <c r="AY5" s="5">
        <f>IF(AU5=0,0,'2021 Nto driftsutg landet'!$C$24*'2021 Lønnsand og arbavg landet'!$D$14*('2021 Arbavg tjeneste'!L5/'2021 Lønnsgr arbavg tjeneste'!L5-$AX$17))</f>
        <v>0</v>
      </c>
      <c r="AZ5" s="5">
        <f>+AY5*$C5/1000</f>
        <v>0</v>
      </c>
      <c r="BA5" s="59">
        <f>IF('2021 Lønnsgr arbavg tjeneste'!M5&lt;100,0,(C5/$C$17)*'2021 Arbavg tjeneste'!M5/'2021 Lønnsgr arbavg tjeneste'!M5)</f>
        <v>0</v>
      </c>
      <c r="BB5" s="5">
        <f>IF('2021 Lønnsgr arbavg tjeneste'!M5&lt;100,0,C5)</f>
        <v>0</v>
      </c>
      <c r="BC5" s="59">
        <f t="shared" ref="BC5:BC15" si="7">BB5/$BB$17</f>
        <v>0</v>
      </c>
      <c r="BD5" s="59">
        <f t="shared" ref="BD5:BD15" si="8">1/$BC$17</f>
        <v>1</v>
      </c>
      <c r="BE5" s="59">
        <f>IF(BB5=0,0,(BB5/$BB$17)*BD5*'2021 Arbavg tjeneste'!M5/'2021 Lønnsgr arbavg tjeneste'!M5)</f>
        <v>0</v>
      </c>
      <c r="BF5" s="5">
        <f>IF(BB5=0,0,'2021 Nto driftsutg landet'!$C$25*'2021 Lønnsand og arbavg landet'!$D$15*('2021 Arbavg tjeneste'!M5/'2021 Lønnsgr arbavg tjeneste'!M5-$BE$17))</f>
        <v>0</v>
      </c>
      <c r="BG5" s="5">
        <f>+BF5*$C5/1000</f>
        <v>0</v>
      </c>
      <c r="BH5" s="59">
        <f>IF('2021 Lønnsgr arbavg tjeneste'!N5&lt;100,0,(C5/$C$17)*'2021 Arbavg tjeneste'!N5/'2021 Lønnsgr arbavg tjeneste'!N5)</f>
        <v>1.6461321594736952E-2</v>
      </c>
      <c r="BI5" s="5">
        <f>IF('2021 Lønnsgr arbavg tjeneste'!N5&lt;100,0,C5)</f>
        <v>696108</v>
      </c>
      <c r="BJ5" s="59">
        <f t="shared" ref="BJ5:BJ15" si="9">BI5/$BI$17</f>
        <v>0.12886533717771309</v>
      </c>
      <c r="BK5" s="59">
        <f t="shared" ref="BK5:BK15" si="10">1/$BJ$17</f>
        <v>1</v>
      </c>
      <c r="BL5" s="59">
        <f>IF(BI5=0,0,(BI5/$BI$17)*BK5*'2021 Arbavg tjeneste'!N5/'2021 Lønnsgr arbavg tjeneste'!N5)</f>
        <v>1.6461321594736952E-2</v>
      </c>
      <c r="BM5" s="5">
        <f>IF(BI5=0,0,'2021 Nto driftsutg landet'!$C$26*'2021 Lønnsand og arbavg landet'!$D$16*('2021 Arbavg tjeneste'!N5/'2021 Lønnsgr arbavg tjeneste'!N5-$BL$17))</f>
        <v>-5.1586985761077071E-2</v>
      </c>
      <c r="BN5" s="5">
        <f>+BM5*$C5/1000</f>
        <v>-35.910113484171838</v>
      </c>
      <c r="BO5" s="59">
        <f>IF('2021 Lønnsgr arbavg tjeneste'!O5&lt;100,0,(C5/$C$17)*'2021 Arbavg tjeneste'!O5/'2021 Lønnsgr arbavg tjeneste'!O5)</f>
        <v>0</v>
      </c>
      <c r="BP5" s="5">
        <f>IF('2021 Lønnsgr arbavg tjeneste'!O5&lt;100,0,C5)</f>
        <v>0</v>
      </c>
      <c r="BQ5" s="59">
        <f t="shared" ref="BQ5:BQ15" si="11">BP5/$BP$17</f>
        <v>0</v>
      </c>
      <c r="BR5" s="59">
        <f t="shared" ref="BR5:BR15" si="12">1/$BQ$17</f>
        <v>1</v>
      </c>
      <c r="BS5" s="59">
        <f>IF(BP5=0,0,(BP5/$BP$17)*BR5*'2021 Arbavg tjeneste'!O5/'2021 Lønnsgr arbavg tjeneste'!O5)</f>
        <v>0</v>
      </c>
      <c r="BT5" s="5">
        <f>IF(BP5=0,0,'2021 Nto driftsutg landet'!$C$27*'2021 Lønnsand og arbavg landet'!$D$17*('2021 Arbavg tjeneste'!O5/'2021 Lønnsgr arbavg tjeneste'!O5-$BS$17))</f>
        <v>0</v>
      </c>
      <c r="BU5" s="5">
        <f>+BT5*$C5/1000</f>
        <v>0</v>
      </c>
      <c r="BV5" s="59">
        <f>IF('2021 Lønnsgr arbavg tjeneste'!P5&lt;100,0,(C5/$C$17)*'2021 Arbavg tjeneste'!P5/'2021 Lønnsgr arbavg tjeneste'!P5)</f>
        <v>0</v>
      </c>
      <c r="BW5" s="5">
        <f>IF('2021 Lønnsgr arbavg tjeneste'!P5&lt;100,0,C5)</f>
        <v>0</v>
      </c>
      <c r="BX5" s="59">
        <f t="shared" ref="BX5:BX15" si="13">BW5/$BW$17</f>
        <v>0</v>
      </c>
      <c r="BY5" s="59">
        <f t="shared" ref="BY5:BY15" si="14">1/$BX$17</f>
        <v>1</v>
      </c>
      <c r="BZ5" s="59">
        <f>IF(BW5=0,0,(BW5/$BW$17)*BY5*'2021 Arbavg tjeneste'!P5/'2021 Lønnsgr arbavg tjeneste'!P5)</f>
        <v>0</v>
      </c>
      <c r="CA5" s="5">
        <f>IF(BW5=0,0,'2021 Nto driftsutg landet'!$C$28*'2021 Lønnsand og arbavg landet'!$D$18*('2021 Arbavg tjeneste'!P5/'2021 Lønnsgr arbavg tjeneste'!P5-$BZ$17))</f>
        <v>0</v>
      </c>
      <c r="CB5" s="5">
        <f>+CA5*$C5/1000</f>
        <v>0</v>
      </c>
      <c r="CC5" s="5"/>
      <c r="CD5" s="5"/>
      <c r="CE5" s="5"/>
    </row>
    <row r="6" spans="1:83" x14ac:dyDescent="0.3">
      <c r="A6" s="43">
        <v>1100</v>
      </c>
      <c r="B6" s="44" t="s">
        <v>141</v>
      </c>
      <c r="C6" s="44">
        <f>+'2021 Nto driftsutg'!W6</f>
        <v>484091</v>
      </c>
      <c r="D6" s="59">
        <f>IF('2021 Lønnsgr arbavg tjeneste'!D6&lt;100,0,(C6/$C$17)*'2021 Revekting utgiftsbehov'!D6*'2021 Arbavg tjeneste'!D6/'2021 Lønnsgr arbavg tjeneste'!D6)</f>
        <v>1.3399981675355839E-2</v>
      </c>
      <c r="E6" s="5">
        <f>IF('2021 Lønnsgr arbavg tjeneste'!D6&lt;100,0,C6)</f>
        <v>484091</v>
      </c>
      <c r="F6" s="59">
        <f>'2021 Revekting utgiftsbehov'!D6*E6/$E$17</f>
        <v>9.5649108947929912E-2</v>
      </c>
      <c r="G6" s="59">
        <f>'2021 Revekting utgiftsbehov'!D6/$F$17</f>
        <v>1.0673194667771111</v>
      </c>
      <c r="H6" s="59">
        <f>IF(E6=0,0,(E6/$E$17)*G6*'2021 Arbavg tjeneste'!D6/'2021 Lønnsgr arbavg tjeneste'!D6)</f>
        <v>1.3399981676625268E-2</v>
      </c>
      <c r="I6" s="5">
        <f>IF(E6=0,0,'2021 Nto driftsutg landet'!$C$5*'2021 Lønnsand og arbavg landet'!$D$6*('2021 Arbavg tjeneste'!D6/'2021 Lønnsgr arbavg tjeneste'!D6-$H$17)*'2021 Revekting utgiftsbehov'!D6)</f>
        <v>49.78143616281389</v>
      </c>
      <c r="J6" s="5">
        <f t="shared" ref="J6:J15" si="15">I6*C6/1000</f>
        <v>24098.745213492741</v>
      </c>
      <c r="K6" s="59">
        <f>IF('2021 Lønnsgr arbavg tjeneste'!E6&lt;100,0,(C6/$C$17)*'2021 Revekting utgiftsbehov'!E6*'2021 Arbavg tjeneste'!E6/'2021 Lønnsgr arbavg tjeneste'!E6)</f>
        <v>1.032786409403412E-2</v>
      </c>
      <c r="L6" s="5">
        <f>IF('2021 Lønnsgr arbavg tjeneste'!E6&lt;100,0,C6)</f>
        <v>484091</v>
      </c>
      <c r="M6" s="59">
        <f>'2021 Revekting utgiftsbehov'!E6*L6/$L$17</f>
        <v>8.4167334080264347E-2</v>
      </c>
      <c r="N6" s="59">
        <f>'2021 Revekting utgiftsbehov'!E6/$M$17</f>
        <v>0.73875233655710504</v>
      </c>
      <c r="O6" s="59">
        <f>IF(L6=0,0,(L6/$L$17)*N6*'2021 Arbavg tjeneste'!E6/'2021 Lønnsgr arbavg tjeneste'!E6)</f>
        <v>1.0704877913872647E-2</v>
      </c>
      <c r="P6" s="5">
        <f>IF(L6=0,0,'2021 Nto driftsutg landet'!$C$6*'2021 Lønnsand og arbavg landet'!$D$7*('2021 Arbavg tjeneste'!E6/'2021 Lønnsgr arbavg tjeneste'!E6-$O$17)*'2021 Revekting utgiftsbehov'!E6)</f>
        <v>-8.6752688691422701</v>
      </c>
      <c r="Q6" s="5">
        <f t="shared" ref="Q6:Q15" si="16">P6*C6/1000</f>
        <v>-4199.6195821319507</v>
      </c>
      <c r="R6" s="59">
        <f>IF('2021 Lønnsgr arbavg tjeneste'!F6&lt;100,0,(C6/$C$17)*'2021 Revekting utgiftsbehov'!F6*'2021 Arbavg tjeneste'!F6/'2021 Lønnsgr arbavg tjeneste'!F6)</f>
        <v>1.2829043785520489E-2</v>
      </c>
      <c r="S6" s="5">
        <f>IF('2021 Lønnsgr arbavg tjeneste'!F6&lt;100,0,C6)</f>
        <v>484091</v>
      </c>
      <c r="T6" s="59">
        <f>'2021 Revekting utgiftsbehov'!F6*S6/$S$17</f>
        <v>9.1853220285943643E-2</v>
      </c>
      <c r="U6" s="59">
        <f>'2021 Revekting utgiftsbehov'!F6/$T$17</f>
        <v>1.0249622923142516</v>
      </c>
      <c r="V6" s="59">
        <f>IF(S6=0,0,(S6/$S$17)*U6*'2021 Arbavg tjeneste'!F6/'2021 Lønnsgr arbavg tjeneste'!F6)</f>
        <v>1.2829043769427294E-2</v>
      </c>
      <c r="W6" s="5">
        <f>IF(S6=0,0,'2021 Nto driftsutg landet'!$C$7*'2021 Lønnsand og arbavg landet'!$D$8*('2021 Arbavg tjeneste'!F6/'2021 Lønnsgr arbavg tjeneste'!F6-$V$17)*'2021 Revekting utgiftsbehov'!F6)</f>
        <v>0.26265256949878507</v>
      </c>
      <c r="X6" s="5">
        <f t="shared" ref="X6:X15" si="17">W6*C6/1000</f>
        <v>127.14774502123636</v>
      </c>
      <c r="Y6" s="59">
        <f>IF('2021 Lønnsgr arbavg tjeneste'!G6&lt;100,0,(C6/$C$17)*'2021 Revekting utgiftsbehov'!G6*'2021 Arbavg tjeneste'!G6/'2021 Lønnsgr arbavg tjeneste'!G6)</f>
        <v>1.0765930795974861E-2</v>
      </c>
      <c r="Z6" s="5">
        <f>IF('2021 Lønnsgr arbavg tjeneste'!G6&lt;100,0,C6)</f>
        <v>484091</v>
      </c>
      <c r="AA6" s="59">
        <f>'2021 Revekting utgiftsbehov'!G6*Z6/$Z$17</f>
        <v>0.17084940818291894</v>
      </c>
      <c r="AB6" s="59">
        <f>'2021 Revekting utgiftsbehov'!G6/$AA$17</f>
        <v>0.49973065485040241</v>
      </c>
      <c r="AC6" s="59">
        <f>IF(Z6=0,0,(Z6/$Z$17)*AB6*'2021 Arbavg tjeneste'!G6/'2021 Lønnsgr arbavg tjeneste'!G6)</f>
        <v>1.4504017130169839E-2</v>
      </c>
      <c r="AD6" s="5">
        <f>IF(Z6=0,0,'2021 Nto driftsutg landet'!$C$8*'2021 Lønnsand og arbavg landet'!$D$9*('2021 Arbavg tjeneste'!G6/'2021 Lønnsgr arbavg tjeneste'!G6-$AC$17)*'2021 Revekting utgiftsbehov'!G6)</f>
        <v>0.23317364471168894</v>
      </c>
      <c r="AE6" s="5">
        <f t="shared" ref="AE6:AE15" si="18">+AD6*$C6/1000</f>
        <v>112.8772628421262</v>
      </c>
      <c r="AF6" s="59">
        <f>IF('2021 Lønnsgr arbavg tjeneste'!H6&lt;100,0,(C6/$C$17)*'2021 Revekting utgiftsbehov'!H6*'2021 Arbavg tjeneste'!H6/'2021 Lønnsgr arbavg tjeneste'!H6)</f>
        <v>1.3438954911256698E-2</v>
      </c>
      <c r="AG6" s="5">
        <f>IF('2021 Lønnsgr arbavg tjeneste'!H6&lt;100,0,C6)</f>
        <v>484091</v>
      </c>
      <c r="AH6" s="59">
        <f>'2021 Revekting utgiftsbehov'!H6*AG6/$AG$17</f>
        <v>9.6840658909156732E-2</v>
      </c>
      <c r="AI6" s="59">
        <f>'2021 Revekting utgiftsbehov'!H6/$AH$17</f>
        <v>1.0806156114272043</v>
      </c>
      <c r="AJ6" s="59">
        <f>IF(AG6=0,0,(AG6/$AG$17)*AI6*'2021 Arbavg tjeneste'!H6/'2021 Lønnsgr arbavg tjeneste'!H6)</f>
        <v>1.343895490199413E-2</v>
      </c>
      <c r="AK6" s="5">
        <f>IF(AG6=0,0,'2021 Nto driftsutg landet'!$C$9*'2021 Lønnsand og arbavg landet'!$D$10*('2021 Arbavg tjeneste'!H6/'2021 Lønnsgr arbavg tjeneste'!H6-$AJ$17)*'2021 Revekting utgiftsbehov'!H6)</f>
        <v>4.4060574157342547</v>
      </c>
      <c r="AL6" s="5">
        <f t="shared" ref="AL6:AL15" si="19">+AK6*$C6/1000</f>
        <v>2132.9327404402111</v>
      </c>
      <c r="AM6" s="59">
        <f>IF('2021 Lønnsgr arbavg tjeneste'!K6&lt;100,0,(C6/$C$17)*'2021 Arbavg tjeneste'!K6/'2021 Lønnsgr arbavg tjeneste'!K6)</f>
        <v>1.2745552349142443E-2</v>
      </c>
      <c r="AN6" s="5">
        <f>IF('2021 Lønnsgr arbavg tjeneste'!K6&lt;100,0,C6)</f>
        <v>484091</v>
      </c>
      <c r="AO6" s="59">
        <f t="shared" si="3"/>
        <v>8.9616194526849727E-2</v>
      </c>
      <c r="AP6" s="59">
        <f t="shared" si="4"/>
        <v>0.99999999931076733</v>
      </c>
      <c r="AQ6" s="59">
        <f>IF(AN6=0,0,(AN6/$AN$17)*AP6*'2021 Arbavg tjeneste'!K6/'2021 Lønnsgr arbavg tjeneste'!K6)</f>
        <v>1.2745552340357789E-2</v>
      </c>
      <c r="AR6" s="5">
        <f>IF(AN6=0,0,'2021 Nto driftsutg landet'!$C$23*'2021 Lønnsand og arbavg landet'!$D$13*('2021 Arbavg tjeneste'!K6/'2021 Lønnsgr arbavg tjeneste'!K6-$AQ$17))</f>
        <v>18.765823030598199</v>
      </c>
      <c r="AS6" s="5">
        <f t="shared" ref="AS6:AS15" si="20">+AR6*$C6/1000</f>
        <v>9084.3660367053126</v>
      </c>
      <c r="AT6" s="59">
        <f>IF('2021 Lønnsgr arbavg tjeneste'!L6&lt;100,0,(C6/$C$17)*'2021 Arbavg tjeneste'!L6/'2021 Lønnsgr arbavg tjeneste'!L6)</f>
        <v>1.2613040151280439E-2</v>
      </c>
      <c r="AU6" s="5">
        <f>IF('2021 Lønnsgr arbavg tjeneste'!L6&lt;100,0,C6)</f>
        <v>484091</v>
      </c>
      <c r="AV6" s="59">
        <f t="shared" si="5"/>
        <v>0.10287295219835788</v>
      </c>
      <c r="AW6" s="59">
        <f t="shared" si="6"/>
        <v>1</v>
      </c>
      <c r="AX6" s="59">
        <f>IF(AU6=0,0,(AU6/$AU$17)*AW6*'2021 Arbavg tjeneste'!L6/'2021 Lønnsgr arbavg tjeneste'!L6)</f>
        <v>1.4478863819305424E-2</v>
      </c>
      <c r="AY6" s="5">
        <f>IF(AU6=0,0,'2021 Nto driftsutg landet'!$C$24*'2021 Lønnsand og arbavg landet'!$D$14*('2021 Arbavg tjeneste'!L6/'2021 Lønnsgr arbavg tjeneste'!L6-$AX$17))</f>
        <v>0.48847166568010258</v>
      </c>
      <c r="AZ6" s="5">
        <f t="shared" ref="AZ6:AZ15" si="21">+AY6*$C6/1000</f>
        <v>236.46473711074654</v>
      </c>
      <c r="BA6" s="59">
        <f>IF('2021 Lønnsgr arbavg tjeneste'!M6&lt;100,0,(C6/$C$17)*'2021 Arbavg tjeneste'!M6/'2021 Lønnsgr arbavg tjeneste'!M6)</f>
        <v>1.2590193708121448E-2</v>
      </c>
      <c r="BB6" s="5">
        <f>IF('2021 Lønnsgr arbavg tjeneste'!M6&lt;100,0,C6)</f>
        <v>484091</v>
      </c>
      <c r="BC6" s="59">
        <f t="shared" si="7"/>
        <v>0.10287295219835788</v>
      </c>
      <c r="BD6" s="59">
        <f t="shared" si="8"/>
        <v>1</v>
      </c>
      <c r="BE6" s="59">
        <f>IF(BB6=0,0,(BB6/$BB$17)*BD6*'2021 Arbavg tjeneste'!M6/'2021 Lønnsgr arbavg tjeneste'!M6)</f>
        <v>1.4452637744125529E-2</v>
      </c>
      <c r="BF6" s="5">
        <f>IF(BB6=0,0,'2021 Nto driftsutg landet'!$C$25*'2021 Lønnsand og arbavg landet'!$D$15*('2021 Arbavg tjeneste'!M6/'2021 Lønnsgr arbavg tjeneste'!M6-$BE$17))</f>
        <v>4.8748764661449263E-2</v>
      </c>
      <c r="BG6" s="5">
        <f t="shared" ref="BG6:BG15" si="22">+BF6*$C6/1000</f>
        <v>23.598838233725637</v>
      </c>
      <c r="BH6" s="59">
        <f>IF('2021 Lønnsgr arbavg tjeneste'!N6&lt;100,0,(C6/$C$17)*'2021 Arbavg tjeneste'!N6/'2021 Lønnsgr arbavg tjeneste'!N6)</f>
        <v>1.2581843480842724E-2</v>
      </c>
      <c r="BI6" s="5">
        <f>IF('2021 Lønnsgr arbavg tjeneste'!N6&lt;100,0,C6)</f>
        <v>484091</v>
      </c>
      <c r="BJ6" s="59">
        <f t="shared" si="9"/>
        <v>8.9616194526849727E-2</v>
      </c>
      <c r="BK6" s="59">
        <f t="shared" si="10"/>
        <v>1</v>
      </c>
      <c r="BL6" s="59">
        <f>IF(BI6=0,0,(BI6/$BI$17)*BK6*'2021 Arbavg tjeneste'!N6/'2021 Lønnsgr arbavg tjeneste'!N6)</f>
        <v>1.2581843480842724E-2</v>
      </c>
      <c r="BM6" s="5">
        <f>IF(BI6=0,0,'2021 Nto driftsutg landet'!$C$26*'2021 Lønnsand og arbavg landet'!$D$16*('2021 Arbavg tjeneste'!N6/'2021 Lønnsgr arbavg tjeneste'!N6-$BL$17))</f>
        <v>0.31784729798966693</v>
      </c>
      <c r="BN6" s="5">
        <f t="shared" ref="BN6:BN15" si="23">+BM6*$C6/1000</f>
        <v>153.86701633111585</v>
      </c>
      <c r="BO6" s="59">
        <f>IF('2021 Lønnsgr arbavg tjeneste'!O6&lt;100,0,(C6/$C$17)*'2021 Arbavg tjeneste'!O6/'2021 Lønnsgr arbavg tjeneste'!O6)</f>
        <v>0</v>
      </c>
      <c r="BP6" s="5">
        <f>IF('2021 Lønnsgr arbavg tjeneste'!O6&lt;100,0,C6)</f>
        <v>0</v>
      </c>
      <c r="BQ6" s="59">
        <f t="shared" si="11"/>
        <v>0</v>
      </c>
      <c r="BR6" s="59">
        <f t="shared" si="12"/>
        <v>1</v>
      </c>
      <c r="BS6" s="59">
        <f>IF(BP6=0,0,(BP6/$BP$17)*BR6*'2021 Arbavg tjeneste'!O6/'2021 Lønnsgr arbavg tjeneste'!O6)</f>
        <v>0</v>
      </c>
      <c r="BT6" s="5">
        <f>IF(BP6=0,0,'2021 Nto driftsutg landet'!$C$27*'2021 Lønnsand og arbavg landet'!$D$17*('2021 Arbavg tjeneste'!O6/'2021 Lønnsgr arbavg tjeneste'!O6-$BS$17))</f>
        <v>0</v>
      </c>
      <c r="BU6" s="5">
        <f t="shared" ref="BU6:BU15" si="24">+BT6*$C6/1000</f>
        <v>0</v>
      </c>
      <c r="BV6" s="59">
        <f>IF('2021 Lønnsgr arbavg tjeneste'!P6&lt;100,0,(C6/$C$17)*'2021 Arbavg tjeneste'!P6/'2021 Lønnsgr arbavg tjeneste'!P6)</f>
        <v>1.2648791618951636E-2</v>
      </c>
      <c r="BW6" s="5">
        <f>IF('2021 Lønnsgr arbavg tjeneste'!P6&lt;100,0,C6)</f>
        <v>484091</v>
      </c>
      <c r="BX6" s="59">
        <f t="shared" si="13"/>
        <v>0.15878442538879292</v>
      </c>
      <c r="BY6" s="59">
        <f t="shared" si="14"/>
        <v>1</v>
      </c>
      <c r="BZ6" s="59">
        <f>IF(BW6=0,0,(BW6/$BW$17)*BY6*'2021 Arbavg tjeneste'!P6/'2021 Lønnsgr arbavg tjeneste'!P6)</f>
        <v>2.2411475065213501E-2</v>
      </c>
      <c r="CA6" s="5">
        <f>IF(BW6=0,0,'2021 Nto driftsutg landet'!$C$28*'2021 Lønnsand og arbavg landet'!$D$18*('2021 Arbavg tjeneste'!P6/'2021 Lønnsgr arbavg tjeneste'!P6-$BZ$17))</f>
        <v>2.8641865450515134E-4</v>
      </c>
      <c r="CB6" s="5">
        <f t="shared" ref="CB6:CB15" si="25">+CA6*$C6/1000</f>
        <v>0.13865269287805321</v>
      </c>
      <c r="CC6" s="5"/>
      <c r="CD6" s="5"/>
      <c r="CE6" s="5"/>
    </row>
    <row r="7" spans="1:83" x14ac:dyDescent="0.3">
      <c r="A7" s="43">
        <v>1500</v>
      </c>
      <c r="B7" s="44" t="s">
        <v>142</v>
      </c>
      <c r="C7" s="44">
        <f>+'2021 Nto driftsutg'!W7</f>
        <v>265297</v>
      </c>
      <c r="D7" s="59">
        <f>IF('2021 Lønnsgr arbavg tjeneste'!D7&lt;100,0,(C7/$C$17)*'2021 Revekting utgiftsbehov'!D7*'2021 Arbavg tjeneste'!D7/'2021 Lønnsgr arbavg tjeneste'!D7)</f>
        <v>7.3910363762190517E-3</v>
      </c>
      <c r="E7" s="5">
        <f>IF('2021 Lønnsgr arbavg tjeneste'!D7&lt;100,0,C7)</f>
        <v>265297</v>
      </c>
      <c r="F7" s="59">
        <f>'2021 Revekting utgiftsbehov'!D7*E7/$E$17</f>
        <v>5.4771655641091953E-2</v>
      </c>
      <c r="G7" s="59">
        <f>'2021 Revekting utgiftsbehov'!D7/$F$17</f>
        <v>1.1152289651276499</v>
      </c>
      <c r="H7" s="59">
        <f>IF(E7=0,0,(E7/$E$17)*G7*'2021 Arbavg tjeneste'!D7/'2021 Lønnsgr arbavg tjeneste'!D7)</f>
        <v>7.3910363769192329E-3</v>
      </c>
      <c r="I7" s="5">
        <f>IF(E7=0,0,'2021 Nto driftsutg landet'!$C$5*'2021 Lønnsand og arbavg landet'!$D$6*('2021 Arbavg tjeneste'!D7/'2021 Lønnsgr arbavg tjeneste'!D7-$H$17)*'2021 Revekting utgiftsbehov'!D7)</f>
        <v>30.158126593743564</v>
      </c>
      <c r="J7" s="5">
        <f t="shared" si="15"/>
        <v>8000.8605109403861</v>
      </c>
      <c r="K7" s="59">
        <f>IF('2021 Lønnsgr arbavg tjeneste'!E7&lt;100,0,(C7/$C$17)*'2021 Revekting utgiftsbehov'!E7*'2021 Arbavg tjeneste'!E7/'2021 Lønnsgr arbavg tjeneste'!E7)</f>
        <v>2.1937181754888735E-2</v>
      </c>
      <c r="L7" s="5">
        <f>IF('2021 Lønnsgr arbavg tjeneste'!E7&lt;100,0,C7)</f>
        <v>265297</v>
      </c>
      <c r="M7" s="59">
        <f>'2021 Revekting utgiftsbehov'!E7*L7/$L$17</f>
        <v>8.2249549104657108E-2</v>
      </c>
      <c r="N7" s="59">
        <f>'2021 Revekting utgiftsbehov'!E7/$M$17</f>
        <v>1.3172963586134345</v>
      </c>
      <c r="O7" s="59">
        <f>IF(L7=0,0,(L7/$L$17)*N7*'2021 Arbavg tjeneste'!E7/'2021 Lønnsgr arbavg tjeneste'!E7)</f>
        <v>2.273798825414158E-2</v>
      </c>
      <c r="P7" s="5">
        <f>IF(L7=0,0,'2021 Nto driftsutg landet'!$C$6*'2021 Lønnsand og arbavg landet'!$D$7*('2021 Arbavg tjeneste'!E7/'2021 Lønnsgr arbavg tjeneste'!E7-$O$17)*'2021 Revekting utgiftsbehov'!E7)</f>
        <v>18.368605594555419</v>
      </c>
      <c r="Q7" s="5">
        <f t="shared" si="16"/>
        <v>4873.1359584187685</v>
      </c>
      <c r="R7" s="59">
        <f>IF('2021 Lønnsgr arbavg tjeneste'!F7&lt;100,0,(C7/$C$17)*'2021 Revekting utgiftsbehov'!F7*'2021 Arbavg tjeneste'!F7/'2021 Lønnsgr arbavg tjeneste'!F7)</f>
        <v>6.805779864781941E-3</v>
      </c>
      <c r="S7" s="5">
        <f>IF('2021 Lønnsgr arbavg tjeneste'!F7&lt;100,0,C7)</f>
        <v>265297</v>
      </c>
      <c r="T7" s="59">
        <f>'2021 Revekting utgiftsbehov'!F7*S7/$S$17</f>
        <v>4.8941919920543704E-2</v>
      </c>
      <c r="U7" s="59">
        <f>'2021 Revekting utgiftsbehov'!F7/$T$17</f>
        <v>0.9965272364299218</v>
      </c>
      <c r="V7" s="59">
        <f>IF(S7=0,0,(S7/$S$17)*U7*'2021 Arbavg tjeneste'!F7/'2021 Lønnsgr arbavg tjeneste'!F7)</f>
        <v>6.805779856244535E-3</v>
      </c>
      <c r="W7" s="5">
        <f>IF(S7=0,0,'2021 Nto driftsutg landet'!$C$7*'2021 Lønnsand og arbavg landet'!$D$8*('2021 Arbavg tjeneste'!F7/'2021 Lønnsgr arbavg tjeneste'!F7-$V$17)*'2021 Revekting utgiftsbehov'!F7)</f>
        <v>0.22994029712929365</v>
      </c>
      <c r="X7" s="5">
        <f t="shared" si="17"/>
        <v>61.002471007510216</v>
      </c>
      <c r="Y7" s="59">
        <f>IF('2021 Lønnsgr arbavg tjeneste'!G7&lt;100,0,(C7/$C$17)*'2021 Revekting utgiftsbehov'!G7*'2021 Arbavg tjeneste'!G7/'2021 Lønnsgr arbavg tjeneste'!G7)</f>
        <v>2.1647270237515958E-2</v>
      </c>
      <c r="Z7" s="5">
        <f>IF('2021 Lønnsgr arbavg tjeneste'!G7&lt;100,0,C7)</f>
        <v>265297</v>
      </c>
      <c r="AA7" s="59">
        <f>'2021 Revekting utgiftsbehov'!G7*Z7/$Z$17</f>
        <v>0.34542645361586488</v>
      </c>
      <c r="AB7" s="59">
        <f>'2021 Revekting utgiftsbehov'!G7/$AA$17</f>
        <v>1.8436257941873588</v>
      </c>
      <c r="AC7" s="59">
        <f>IF(Z7=0,0,(Z7/$Z$17)*AB7*'2021 Arbavg tjeneste'!G7/'2021 Lønnsgr arbavg tjeneste'!G7)</f>
        <v>2.9163514450950619E-2</v>
      </c>
      <c r="AD7" s="5">
        <f>IF(Z7=0,0,'2021 Nto driftsutg landet'!$C$8*'2021 Lønnsand og arbavg landet'!$D$9*('2021 Arbavg tjeneste'!G7/'2021 Lønnsgr arbavg tjeneste'!G7-$AC$17)*'2021 Revekting utgiftsbehov'!G7)</f>
        <v>0.8471265646091507</v>
      </c>
      <c r="AE7" s="5">
        <f t="shared" si="18"/>
        <v>224.74013621111385</v>
      </c>
      <c r="AF7" s="59">
        <f>IF('2021 Lønnsgr arbavg tjeneste'!H7&lt;100,0,(C7/$C$17)*'2021 Revekting utgiftsbehov'!H7*'2021 Arbavg tjeneste'!H7/'2021 Lønnsgr arbavg tjeneste'!H7)</f>
        <v>6.4158731804193677E-3</v>
      </c>
      <c r="AG7" s="5">
        <f>IF('2021 Lønnsgr arbavg tjeneste'!H7&lt;100,0,C7)</f>
        <v>265297</v>
      </c>
      <c r="AH7" s="59">
        <f>'2021 Revekting utgiftsbehov'!H7*AG7/$AG$17</f>
        <v>5.0603622928165962E-2</v>
      </c>
      <c r="AI7" s="59">
        <f>'2021 Revekting utgiftsbehov'!H7/$AH$17</f>
        <v>1.0303618783308408</v>
      </c>
      <c r="AJ7" s="59">
        <f>IF(AG7=0,0,(AG7/$AG$17)*AI7*'2021 Arbavg tjeneste'!H7/'2021 Lønnsgr arbavg tjeneste'!H7)</f>
        <v>6.415873175997339E-3</v>
      </c>
      <c r="AK7" s="5">
        <f>IF(AG7=0,0,'2021 Nto driftsutg landet'!$C$9*'2021 Lønnsand og arbavg landet'!$D$10*('2021 Arbavg tjeneste'!H7/'2021 Lønnsgr arbavg tjeneste'!H7-$AJ$17)*'2021 Revekting utgiftsbehov'!H7)</f>
        <v>0.23038385289289326</v>
      </c>
      <c r="AL7" s="5">
        <f t="shared" si="19"/>
        <v>61.120145020925904</v>
      </c>
      <c r="AM7" s="59">
        <f>IF('2021 Lønnsgr arbavg tjeneste'!K7&lt;100,0,(C7/$C$17)*'2021 Arbavg tjeneste'!K7/'2021 Lønnsgr arbavg tjeneste'!K7)</f>
        <v>6.9419498839652267E-3</v>
      </c>
      <c r="AN7" s="5">
        <f>IF('2021 Lønnsgr arbavg tjeneste'!K7&lt;100,0,C7)</f>
        <v>265297</v>
      </c>
      <c r="AO7" s="59">
        <f t="shared" si="3"/>
        <v>4.9112475876208504E-2</v>
      </c>
      <c r="AP7" s="59">
        <f t="shared" si="4"/>
        <v>0.99999999931076733</v>
      </c>
      <c r="AQ7" s="59">
        <f>IF(AN7=0,0,(AN7/$AN$17)*AP7*'2021 Arbavg tjeneste'!K7/'2021 Lønnsgr arbavg tjeneste'!K7)</f>
        <v>6.9419498791806079E-3</v>
      </c>
      <c r="AR7" s="5">
        <f>IF(AN7=0,0,'2021 Nto driftsutg landet'!$C$23*'2021 Lønnsand og arbavg landet'!$D$13*('2021 Arbavg tjeneste'!K7/'2021 Lønnsgr arbavg tjeneste'!K7-$AQ$17))</f>
        <v>18.389576990627223</v>
      </c>
      <c r="AS7" s="5">
        <f t="shared" si="20"/>
        <v>4878.699606882431</v>
      </c>
      <c r="AT7" s="59">
        <f>IF('2021 Lønnsgr arbavg tjeneste'!L7&lt;100,0,(C7/$C$17)*'2021 Arbavg tjeneste'!L7/'2021 Lønnsgr arbavg tjeneste'!L7)</f>
        <v>6.7441660742044614E-3</v>
      </c>
      <c r="AU7" s="5">
        <f>IF('2021 Lønnsgr arbavg tjeneste'!L7&lt;100,0,C7)</f>
        <v>265297</v>
      </c>
      <c r="AV7" s="59">
        <f t="shared" si="5"/>
        <v>5.6377593467690473E-2</v>
      </c>
      <c r="AW7" s="59">
        <f t="shared" si="6"/>
        <v>1</v>
      </c>
      <c r="AX7" s="59">
        <f>IF(AU7=0,0,(AU7/$AU$17)*AW7*'2021 Arbavg tjeneste'!L7/'2021 Lønnsgr arbavg tjeneste'!L7)</f>
        <v>7.7418180701877125E-3</v>
      </c>
      <c r="AY7" s="5">
        <f>IF(AU7=0,0,'2021 Nto driftsutg landet'!$C$24*'2021 Lønnsand og arbavg landet'!$D$14*('2021 Arbavg tjeneste'!L7/'2021 Lønnsgr arbavg tjeneste'!L7-$AX$17))</f>
        <v>0.31022991016595386</v>
      </c>
      <c r="AZ7" s="5">
        <f t="shared" si="21"/>
        <v>82.303064477297056</v>
      </c>
      <c r="BA7" s="59">
        <f>IF('2021 Lønnsgr arbavg tjeneste'!M7&lt;100,0,(C7/$C$17)*'2021 Arbavg tjeneste'!M7/'2021 Lønnsgr arbavg tjeneste'!M7)</f>
        <v>6.7580261668593825E-3</v>
      </c>
      <c r="BB7" s="5">
        <f>IF('2021 Lønnsgr arbavg tjeneste'!M7&lt;100,0,C7)</f>
        <v>265297</v>
      </c>
      <c r="BC7" s="59">
        <f t="shared" si="7"/>
        <v>5.6377593467690473E-2</v>
      </c>
      <c r="BD7" s="59">
        <f t="shared" si="8"/>
        <v>1</v>
      </c>
      <c r="BE7" s="59">
        <f>IF(BB7=0,0,(BB7/$BB$17)*BD7*'2021 Arbavg tjeneste'!M7/'2021 Lønnsgr arbavg tjeneste'!M7)</f>
        <v>7.7577284606777635E-3</v>
      </c>
      <c r="BF7" s="5">
        <f>IF(BB7=0,0,'2021 Nto driftsutg landet'!$C$25*'2021 Lønnsand og arbavg landet'!$D$15*('2021 Arbavg tjeneste'!M7/'2021 Lønnsgr arbavg tjeneste'!M7-$BE$17))</f>
        <v>3.2404820420445145E-2</v>
      </c>
      <c r="BG7" s="5">
        <f t="shared" si="22"/>
        <v>8.5969016430828358</v>
      </c>
      <c r="BH7" s="59">
        <f>IF('2021 Lønnsgr arbavg tjeneste'!N7&lt;100,0,(C7/$C$17)*'2021 Arbavg tjeneste'!N7/'2021 Lønnsgr arbavg tjeneste'!N7)</f>
        <v>6.6130527173021919E-3</v>
      </c>
      <c r="BI7" s="5">
        <f>IF('2021 Lønnsgr arbavg tjeneste'!N7&lt;100,0,C7)</f>
        <v>265297</v>
      </c>
      <c r="BJ7" s="59">
        <f t="shared" si="9"/>
        <v>4.9112475876208504E-2</v>
      </c>
      <c r="BK7" s="59">
        <f t="shared" si="10"/>
        <v>1</v>
      </c>
      <c r="BL7" s="59">
        <f>IF(BI7=0,0,(BI7/$BI$17)*BK7*'2021 Arbavg tjeneste'!N7/'2021 Lønnsgr arbavg tjeneste'!N7)</f>
        <v>6.6130527173021919E-3</v>
      </c>
      <c r="BM7" s="5">
        <f>IF(BI7=0,0,'2021 Nto driftsutg landet'!$C$26*'2021 Lønnsand og arbavg landet'!$D$16*('2021 Arbavg tjeneste'!N7/'2021 Lønnsgr arbavg tjeneste'!N7-$BL$17))</f>
        <v>0.15013115880536512</v>
      </c>
      <c r="BN7" s="5">
        <f t="shared" si="23"/>
        <v>39.829346037586951</v>
      </c>
      <c r="BO7" s="59">
        <f>IF('2021 Lønnsgr arbavg tjeneste'!O7&lt;100,0,(C7/$C$17)*'2021 Arbavg tjeneste'!O7/'2021 Lønnsgr arbavg tjeneste'!O7)</f>
        <v>0</v>
      </c>
      <c r="BP7" s="5">
        <f>IF('2021 Lønnsgr arbavg tjeneste'!O7&lt;100,0,C7)</f>
        <v>0</v>
      </c>
      <c r="BQ7" s="59">
        <f t="shared" si="11"/>
        <v>0</v>
      </c>
      <c r="BR7" s="59">
        <f t="shared" si="12"/>
        <v>1</v>
      </c>
      <c r="BS7" s="59">
        <f>IF(BP7=0,0,(BP7/$BP$17)*BR7*'2021 Arbavg tjeneste'!O7/'2021 Lønnsgr arbavg tjeneste'!O7)</f>
        <v>0</v>
      </c>
      <c r="BT7" s="5">
        <f>IF(BP7=0,0,'2021 Nto driftsutg landet'!$C$27*'2021 Lønnsand og arbavg landet'!$D$17*('2021 Arbavg tjeneste'!O7/'2021 Lønnsgr arbavg tjeneste'!O7-$BS$17))</f>
        <v>0</v>
      </c>
      <c r="BU7" s="5">
        <f t="shared" si="24"/>
        <v>0</v>
      </c>
      <c r="BV7" s="59">
        <f>IF('2021 Lønnsgr arbavg tjeneste'!P7&lt;100,0,(C7/$C$17)*'2021 Arbavg tjeneste'!P7/'2021 Lønnsgr arbavg tjeneste'!P7)</f>
        <v>0</v>
      </c>
      <c r="BW7" s="5">
        <f>IF('2021 Lønnsgr arbavg tjeneste'!P7&lt;100,0,C7)</f>
        <v>0</v>
      </c>
      <c r="BX7" s="59">
        <f t="shared" si="13"/>
        <v>0</v>
      </c>
      <c r="BY7" s="59">
        <f t="shared" si="14"/>
        <v>1</v>
      </c>
      <c r="BZ7" s="59">
        <f>IF(BW7=0,0,(BW7/$BW$17)*BY7*'2021 Arbavg tjeneste'!P7/'2021 Lønnsgr arbavg tjeneste'!P7)</f>
        <v>0</v>
      </c>
      <c r="CA7" s="5">
        <f>IF(BW7=0,0,'2021 Nto driftsutg landet'!$C$28*'2021 Lønnsand og arbavg landet'!$D$18*('2021 Arbavg tjeneste'!P7/'2021 Lønnsgr arbavg tjeneste'!P7-$BZ$17))</f>
        <v>0</v>
      </c>
      <c r="CB7" s="5">
        <f t="shared" si="25"/>
        <v>0</v>
      </c>
      <c r="CC7" s="5"/>
      <c r="CD7" s="5"/>
      <c r="CE7" s="5"/>
    </row>
    <row r="8" spans="1:83" x14ac:dyDescent="0.3">
      <c r="A8" s="43">
        <v>1800</v>
      </c>
      <c r="B8" s="44" t="s">
        <v>143</v>
      </c>
      <c r="C8" s="44">
        <f>+'2021 Nto driftsutg'!W8</f>
        <v>240496</v>
      </c>
      <c r="D8" s="59">
        <f>IF('2021 Lønnsgr arbavg tjeneste'!D8&lt;100,0,(C8/$C$17)*'2021 Revekting utgiftsbehov'!D8*'2021 Arbavg tjeneste'!D8/'2021 Lønnsgr arbavg tjeneste'!D8)</f>
        <v>2.8211786181170672E-3</v>
      </c>
      <c r="E8" s="5">
        <f>IF('2021 Lønnsgr arbavg tjeneste'!D8&lt;100,0,C8)</f>
        <v>240496</v>
      </c>
      <c r="F8" s="59">
        <f>'2021 Revekting utgiftsbehov'!D8*E8/$E$17</f>
        <v>4.8909291560517279E-2</v>
      </c>
      <c r="G8" s="59">
        <f>'2021 Revekting utgiftsbehov'!D8/$F$17</f>
        <v>1.0985606160140704</v>
      </c>
      <c r="H8" s="59">
        <f>IF(E8=0,0,(E8/$E$17)*G8*'2021 Arbavg tjeneste'!D8/'2021 Lønnsgr arbavg tjeneste'!D8)</f>
        <v>2.8211786183843283E-3</v>
      </c>
      <c r="I8" s="5">
        <f>IF(E8=0,0,'2021 Nto driftsutg landet'!$C$5*'2021 Lønnsand og arbavg landet'!$D$6*('2021 Arbavg tjeneste'!D8/'2021 Lønnsgr arbavg tjeneste'!D8-$H$17)*'2021 Revekting utgiftsbehov'!D8)</f>
        <v>-293.15027517086031</v>
      </c>
      <c r="J8" s="5">
        <f t="shared" si="15"/>
        <v>-70501.468577491221</v>
      </c>
      <c r="K8" s="59">
        <f>IF('2021 Lønnsgr arbavg tjeneste'!E8&lt;100,0,(C8/$C$17)*'2021 Revekting utgiftsbehov'!E8*'2021 Arbavg tjeneste'!E8/'2021 Lønnsgr arbavg tjeneste'!E8)</f>
        <v>7.8917079961046896E-3</v>
      </c>
      <c r="L8" s="5">
        <f>IF('2021 Lønnsgr arbavg tjeneste'!E8&lt;100,0,C8)</f>
        <v>240496</v>
      </c>
      <c r="M8" s="59">
        <f>'2021 Revekting utgiftsbehov'!E8*L8/$L$17</f>
        <v>8.8967349640121027E-2</v>
      </c>
      <c r="N8" s="59">
        <f>'2021 Revekting utgiftsbehov'!E8/$M$17</f>
        <v>1.5718282864962618</v>
      </c>
      <c r="O8" s="59">
        <f>IF(L8=0,0,(L8/$L$17)*N8*'2021 Arbavg tjeneste'!E8/'2021 Lønnsgr arbavg tjeneste'!E8)</f>
        <v>8.1797910837181648E-3</v>
      </c>
      <c r="P8" s="5">
        <f>IF(L8=0,0,'2021 Nto driftsutg landet'!$C$6*'2021 Lønnsand og arbavg landet'!$D$7*('2021 Arbavg tjeneste'!E8/'2021 Lønnsgr arbavg tjeneste'!E8-$O$17)*'2021 Revekting utgiftsbehov'!E8)</f>
        <v>-27.991668780742632</v>
      </c>
      <c r="Q8" s="5">
        <f t="shared" si="16"/>
        <v>-6731.8843750934793</v>
      </c>
      <c r="R8" s="59">
        <f>IF('2021 Lønnsgr arbavg tjeneste'!F8&lt;100,0,(C8/$C$17)*'2021 Revekting utgiftsbehov'!F8*'2021 Arbavg tjeneste'!F8/'2021 Lønnsgr arbavg tjeneste'!F8)</f>
        <v>3.5574685555996633E-3</v>
      </c>
      <c r="S8" s="5">
        <f>IF('2021 Lønnsgr arbavg tjeneste'!F8&lt;100,0,C8)</f>
        <v>240496</v>
      </c>
      <c r="T8" s="59">
        <f>'2021 Revekting utgiftsbehov'!F8*S8/$S$17</f>
        <v>4.5255104798638028E-2</v>
      </c>
      <c r="U8" s="59">
        <f>'2021 Revekting utgiftsbehov'!F8/$T$17</f>
        <v>1.016483251996888</v>
      </c>
      <c r="V8" s="59">
        <f>IF(S8=0,0,(S8/$S$17)*U8*'2021 Arbavg tjeneste'!F8/'2021 Lønnsgr arbavg tjeneste'!F8)</f>
        <v>3.5574685511370516E-3</v>
      </c>
      <c r="W8" s="5">
        <f>IF(S8=0,0,'2021 Nto driftsutg landet'!$C$7*'2021 Lønnsand og arbavg landet'!$D$8*('2021 Arbavg tjeneste'!F8/'2021 Lønnsgr arbavg tjeneste'!F8-$V$17)*'2021 Revekting utgiftsbehov'!F8)</f>
        <v>-2.3327036494844156</v>
      </c>
      <c r="X8" s="5">
        <f t="shared" si="17"/>
        <v>-561.005896886404</v>
      </c>
      <c r="Y8" s="59">
        <f>IF('2021 Lønnsgr arbavg tjeneste'!G8&lt;100,0,(C8/$C$17)*'2021 Revekting utgiftsbehov'!G8*'2021 Arbavg tjeneste'!G8/'2021 Lønnsgr arbavg tjeneste'!G8)</f>
        <v>1.8244536286872958E-2</v>
      </c>
      <c r="Z8" s="5">
        <f>IF('2021 Lønnsgr arbavg tjeneste'!G8&lt;100,0,C8)</f>
        <v>240496</v>
      </c>
      <c r="AA8" s="59">
        <f>'2021 Revekting utgiftsbehov'!G8*Z8/$Z$17</f>
        <v>0.55684997250693613</v>
      </c>
      <c r="AB8" s="59">
        <f>'2021 Revekting utgiftsbehov'!G8/$AA$17</f>
        <v>3.2785353139754663</v>
      </c>
      <c r="AC8" s="59">
        <f>IF(Z8=0,0,(Z8/$Z$17)*AB8*'2021 Arbavg tjeneste'!G8/'2021 Lønnsgr arbavg tjeneste'!G8)</f>
        <v>2.4579302231419294E-2</v>
      </c>
      <c r="AD8" s="5">
        <f>IF(Z8=0,0,'2021 Nto driftsutg landet'!$C$8*'2021 Lønnsand og arbavg landet'!$D$9*('2021 Arbavg tjeneste'!G8/'2021 Lønnsgr arbavg tjeneste'!G8-$AC$17)*'2021 Revekting utgiftsbehov'!G8)</f>
        <v>-0.50856121881473548</v>
      </c>
      <c r="AE8" s="5">
        <f t="shared" si="18"/>
        <v>-122.30693888006863</v>
      </c>
      <c r="AF8" s="59">
        <f>IF('2021 Lønnsgr arbavg tjeneste'!H8&lt;100,0,(C8/$C$17)*'2021 Revekting utgiftsbehov'!H8*'2021 Arbavg tjeneste'!H8/'2021 Lønnsgr arbavg tjeneste'!H8)</f>
        <v>2.4706572026357877E-3</v>
      </c>
      <c r="AG8" s="5">
        <f>IF('2021 Lønnsgr arbavg tjeneste'!H8&lt;100,0,C8)</f>
        <v>240496</v>
      </c>
      <c r="AH8" s="59">
        <f>'2021 Revekting utgiftsbehov'!H8*AG8/$AG$17</f>
        <v>4.3873639457928361E-2</v>
      </c>
      <c r="AI8" s="59">
        <f>'2021 Revekting utgiftsbehov'!H8/$AH$17</f>
        <v>0.98545390485279294</v>
      </c>
      <c r="AJ8" s="59">
        <f>IF(AG8=0,0,(AG8/$AG$17)*AI8*'2021 Arbavg tjeneste'!H8/'2021 Lønnsgr arbavg tjeneste'!H8)</f>
        <v>2.4706572009329303E-3</v>
      </c>
      <c r="AK8" s="5">
        <f>IF(AG8=0,0,'2021 Nto driftsutg landet'!$C$9*'2021 Lønnsand og arbavg landet'!$D$10*('2021 Arbavg tjeneste'!H8/'2021 Lønnsgr arbavg tjeneste'!H8-$AJ$17)*'2021 Revekting utgiftsbehov'!H8)</f>
        <v>-22.106980655674302</v>
      </c>
      <c r="AL8" s="5">
        <f t="shared" si="19"/>
        <v>-5316.6404197670472</v>
      </c>
      <c r="AM8" s="59">
        <f>IF('2021 Lønnsgr arbavg tjeneste'!K8&lt;100,0,(C8/$C$17)*'2021 Arbavg tjeneste'!K8/'2021 Lønnsgr arbavg tjeneste'!K8)</f>
        <v>3.4700203102464946E-3</v>
      </c>
      <c r="AN8" s="5">
        <f>IF('2021 Lønnsgr arbavg tjeneste'!K8&lt;100,0,C8)</f>
        <v>240496</v>
      </c>
      <c r="AO8" s="59">
        <f t="shared" si="3"/>
        <v>4.4521249762811639E-2</v>
      </c>
      <c r="AP8" s="59">
        <f t="shared" si="4"/>
        <v>0.99999999931076733</v>
      </c>
      <c r="AQ8" s="59">
        <f>IF(AN8=0,0,(AN8/$AN$17)*AP8*'2021 Arbavg tjeneste'!K8/'2021 Lønnsgr arbavg tjeneste'!K8)</f>
        <v>3.4700203078548431E-3</v>
      </c>
      <c r="AR8" s="5">
        <f>IF(AN8=0,0,'2021 Nto driftsutg landet'!$C$23*'2021 Lønnsand og arbavg landet'!$D$13*('2021 Arbavg tjeneste'!K8/'2021 Lønnsgr arbavg tjeneste'!K8-$AQ$17))</f>
        <v>-8.8512853337734487</v>
      </c>
      <c r="AS8" s="5">
        <f t="shared" si="20"/>
        <v>-2128.6987176311795</v>
      </c>
      <c r="AT8" s="59">
        <f>IF('2021 Lønnsgr arbavg tjeneste'!L8&lt;100,0,(C8/$C$17)*'2021 Arbavg tjeneste'!L8/'2021 Lønnsgr arbavg tjeneste'!L8)</f>
        <v>3.2382518580883943E-3</v>
      </c>
      <c r="AU8" s="5">
        <f>IF('2021 Lønnsgr arbavg tjeneste'!L8&lt;100,0,C8)</f>
        <v>240496</v>
      </c>
      <c r="AV8" s="59">
        <f t="shared" si="5"/>
        <v>5.1107195779091688E-2</v>
      </c>
      <c r="AW8" s="59">
        <f t="shared" si="6"/>
        <v>1</v>
      </c>
      <c r="AX8" s="59">
        <f>IF(AU8=0,0,(AU8/$AU$17)*AW8*'2021 Arbavg tjeneste'!L8/'2021 Lønnsgr arbavg tjeneste'!L8)</f>
        <v>3.717280457647229E-3</v>
      </c>
      <c r="AY8" s="5">
        <f>IF(AU8=0,0,'2021 Nto driftsutg landet'!$C$24*'2021 Lønnsand og arbavg landet'!$D$14*('2021 Arbavg tjeneste'!L8/'2021 Lønnsgr arbavg tjeneste'!L8-$AX$17))</f>
        <v>-3.0516281478913214</v>
      </c>
      <c r="AZ8" s="5">
        <f t="shared" si="21"/>
        <v>-733.90436305527123</v>
      </c>
      <c r="BA8" s="59">
        <f>IF('2021 Lønnsgr arbavg tjeneste'!M8&lt;100,0,(C8/$C$17)*'2021 Arbavg tjeneste'!M8/'2021 Lønnsgr arbavg tjeneste'!M8)</f>
        <v>3.2708375234575845E-3</v>
      </c>
      <c r="BB8" s="5">
        <f>IF('2021 Lønnsgr arbavg tjeneste'!M8&lt;100,0,C8)</f>
        <v>240496</v>
      </c>
      <c r="BC8" s="59">
        <f t="shared" si="7"/>
        <v>5.1107195779091688E-2</v>
      </c>
      <c r="BD8" s="59">
        <f t="shared" si="8"/>
        <v>1</v>
      </c>
      <c r="BE8" s="59">
        <f>IF(BB8=0,0,(BB8/$BB$17)*BD8*'2021 Arbavg tjeneste'!M8/'2021 Lønnsgr arbavg tjeneste'!M8)</f>
        <v>3.7546864601401375E-3</v>
      </c>
      <c r="BF8" s="5">
        <f>IF(BB8=0,0,'2021 Nto driftsutg landet'!$C$25*'2021 Lønnsand og arbavg landet'!$D$15*('2021 Arbavg tjeneste'!M8/'2021 Lønnsgr arbavg tjeneste'!M8-$BE$17))</f>
        <v>-0.33066923195525127</v>
      </c>
      <c r="BG8" s="5">
        <f t="shared" si="22"/>
        <v>-79.524627608310112</v>
      </c>
      <c r="BH8" s="59">
        <f>IF('2021 Lønnsgr arbavg tjeneste'!N8&lt;100,0,(C8/$C$17)*'2021 Arbavg tjeneste'!N8/'2021 Lønnsgr arbavg tjeneste'!N8)</f>
        <v>2.7523916732879899E-3</v>
      </c>
      <c r="BI8" s="5">
        <f>IF('2021 Lønnsgr arbavg tjeneste'!N8&lt;100,0,C8)</f>
        <v>240496</v>
      </c>
      <c r="BJ8" s="59">
        <f t="shared" si="9"/>
        <v>4.4521249762811639E-2</v>
      </c>
      <c r="BK8" s="59">
        <f t="shared" si="10"/>
        <v>1</v>
      </c>
      <c r="BL8" s="59">
        <f>IF(BI8=0,0,(BI8/$BI$17)*BK8*'2021 Arbavg tjeneste'!N8/'2021 Lønnsgr arbavg tjeneste'!N8)</f>
        <v>2.7523916732879899E-3</v>
      </c>
      <c r="BM8" s="5">
        <f>IF(BI8=0,0,'2021 Nto driftsutg landet'!$C$26*'2021 Lønnsand og arbavg landet'!$D$16*('2021 Arbavg tjeneste'!N8/'2021 Lønnsgr arbavg tjeneste'!N8-$BL$17))</f>
        <v>-1.9757029809877571</v>
      </c>
      <c r="BN8" s="5">
        <f t="shared" si="23"/>
        <v>-475.14866411563162</v>
      </c>
      <c r="BO8" s="59">
        <f>IF('2021 Lønnsgr arbavg tjeneste'!O8&lt;100,0,(C8/$C$17)*'2021 Arbavg tjeneste'!O8/'2021 Lønnsgr arbavg tjeneste'!O8)</f>
        <v>0</v>
      </c>
      <c r="BP8" s="5">
        <f>IF('2021 Lønnsgr arbavg tjeneste'!O8&lt;100,0,C8)</f>
        <v>0</v>
      </c>
      <c r="BQ8" s="59">
        <f t="shared" si="11"/>
        <v>0</v>
      </c>
      <c r="BR8" s="59">
        <f t="shared" si="12"/>
        <v>1</v>
      </c>
      <c r="BS8" s="59">
        <f>IF(BP8=0,0,(BP8/$BP$17)*BR8*'2021 Arbavg tjeneste'!O8/'2021 Lønnsgr arbavg tjeneste'!O8)</f>
        <v>0</v>
      </c>
      <c r="BT8" s="5">
        <f>IF(BP8=0,0,'2021 Nto driftsutg landet'!$C$27*'2021 Lønnsand og arbavg landet'!$D$17*('2021 Arbavg tjeneste'!O8/'2021 Lønnsgr arbavg tjeneste'!O8-$BS$17))</f>
        <v>0</v>
      </c>
      <c r="BU8" s="5">
        <f t="shared" si="24"/>
        <v>0</v>
      </c>
      <c r="BV8" s="59">
        <f>IF('2021 Lønnsgr arbavg tjeneste'!P8&lt;100,0,(C8/$C$17)*'2021 Arbavg tjeneste'!P8/'2021 Lønnsgr arbavg tjeneste'!P8)</f>
        <v>0</v>
      </c>
      <c r="BW8" s="5">
        <f>IF('2021 Lønnsgr arbavg tjeneste'!P8&lt;100,0,C8)</f>
        <v>0</v>
      </c>
      <c r="BX8" s="59">
        <f t="shared" si="13"/>
        <v>0</v>
      </c>
      <c r="BY8" s="59">
        <f t="shared" si="14"/>
        <v>1</v>
      </c>
      <c r="BZ8" s="59">
        <f>IF(BW8=0,0,(BW8/$BW$17)*BY8*'2021 Arbavg tjeneste'!P8/'2021 Lønnsgr arbavg tjeneste'!P8)</f>
        <v>0</v>
      </c>
      <c r="CA8" s="5">
        <f>IF(BW8=0,0,'2021 Nto driftsutg landet'!$C$28*'2021 Lønnsand og arbavg landet'!$D$18*('2021 Arbavg tjeneste'!P8/'2021 Lønnsgr arbavg tjeneste'!P8-$BZ$17))</f>
        <v>0</v>
      </c>
      <c r="CB8" s="5">
        <f t="shared" si="25"/>
        <v>0</v>
      </c>
      <c r="CC8" s="5"/>
      <c r="CD8" s="5"/>
      <c r="CE8" s="5"/>
    </row>
    <row r="9" spans="1:83" x14ac:dyDescent="0.3">
      <c r="A9" s="43">
        <v>3000</v>
      </c>
      <c r="B9" s="44" t="s">
        <v>392</v>
      </c>
      <c r="C9" s="44">
        <f>+'2021 Nto driftsutg'!W9</f>
        <v>1260731</v>
      </c>
      <c r="D9" s="59">
        <f>IF('2021 Lønnsgr arbavg tjeneste'!D9&lt;100,0,(C9/$C$17)*'2021 Revekting utgiftsbehov'!D9*'2021 Arbavg tjeneste'!D9/'2021 Lønnsgr arbavg tjeneste'!D9)</f>
        <v>3.3560464769577969E-2</v>
      </c>
      <c r="E9" s="5">
        <f>IF('2021 Lønnsgr arbavg tjeneste'!D9&lt;100,0,C9)</f>
        <v>1260731</v>
      </c>
      <c r="F9" s="59">
        <f>'2021 Revekting utgiftsbehov'!D9*E9/$E$17</f>
        <v>0.23836733779887084</v>
      </c>
      <c r="G9" s="59">
        <f>'2021 Revekting utgiftsbehov'!D9/$F$17</f>
        <v>1.0213270274367541</v>
      </c>
      <c r="H9" s="59">
        <f>IF(E9=0,0,(E9/$E$17)*G9*'2021 Arbavg tjeneste'!D9/'2021 Lønnsgr arbavg tjeneste'!D9)</f>
        <v>3.3560464772757273E-2</v>
      </c>
      <c r="I9" s="5">
        <f>IF(E9=0,0,'2021 Nto driftsutg landet'!$C$5*'2021 Lønnsand og arbavg landet'!$D$6*('2021 Arbavg tjeneste'!D9/'2021 Lønnsgr arbavg tjeneste'!D9-$H$17)*'2021 Revekting utgiftsbehov'!D9)</f>
        <v>50.347411382744554</v>
      </c>
      <c r="J9" s="5">
        <f t="shared" si="15"/>
        <v>63474.54229997893</v>
      </c>
      <c r="K9" s="59">
        <f>IF('2021 Lønnsgr arbavg tjeneste'!E9&lt;100,0,(C9/$C$17)*'2021 Revekting utgiftsbehov'!E9*'2021 Arbavg tjeneste'!E9/'2021 Lønnsgr arbavg tjeneste'!E9)</f>
        <v>3.9007910035573717E-2</v>
      </c>
      <c r="L9" s="5">
        <f>IF('2021 Lønnsgr arbavg tjeneste'!E9&lt;100,0,C9)</f>
        <v>1260731</v>
      </c>
      <c r="M9" s="59">
        <f>'2021 Revekting utgiftsbehov'!E9*L9/$L$17</f>
        <v>0.17345081515173275</v>
      </c>
      <c r="N9" s="59">
        <f>'2021 Revekting utgiftsbehov'!E9/$M$17</f>
        <v>0.58456958836272432</v>
      </c>
      <c r="O9" s="59">
        <f>IF(L9=0,0,(L9/$L$17)*N9*'2021 Arbavg tjeneste'!E9/'2021 Lønnsgr arbavg tjeneste'!E9)</f>
        <v>4.0431875439506985E-2</v>
      </c>
      <c r="P9" s="5">
        <f>IF(L9=0,0,'2021 Nto driftsutg landet'!$C$6*'2021 Lønnsand og arbavg landet'!$D$7*('2021 Arbavg tjeneste'!E9/'2021 Lønnsgr arbavg tjeneste'!E9-$O$17)*'2021 Revekting utgiftsbehov'!E9)</f>
        <v>3.7905181362820448</v>
      </c>
      <c r="Q9" s="5">
        <f t="shared" si="16"/>
        <v>4778.8237204729985</v>
      </c>
      <c r="R9" s="59">
        <f>IF('2021 Lønnsgr arbavg tjeneste'!F9&lt;100,0,(C9/$C$17)*'2021 Revekting utgiftsbehov'!F9*'2021 Arbavg tjeneste'!F9/'2021 Lønnsgr arbavg tjeneste'!F9)</f>
        <v>2.1249910305262659E-2</v>
      </c>
      <c r="S9" s="5">
        <f>IF('2021 Lønnsgr arbavg tjeneste'!F9&lt;100,0,C9)</f>
        <v>1260731</v>
      </c>
      <c r="T9" s="59">
        <f>'2021 Revekting utgiftsbehov'!F9*S9/$S$17</f>
        <v>0.15667098049119729</v>
      </c>
      <c r="U9" s="59">
        <f>'2021 Revekting utgiftsbehov'!F9/$T$17</f>
        <v>0.67128453106191743</v>
      </c>
      <c r="V9" s="59">
        <f>IF(S9=0,0,(S9/$S$17)*U9*'2021 Arbavg tjeneste'!F9/'2021 Lønnsgr arbavg tjeneste'!F9)</f>
        <v>2.1249910278606034E-2</v>
      </c>
      <c r="W9" s="5">
        <f>IF(S9=0,0,'2021 Nto driftsutg landet'!$C$7*'2021 Lønnsand og arbavg landet'!$D$8*('2021 Arbavg tjeneste'!F9/'2021 Lønnsgr arbavg tjeneste'!F9-$V$17)*'2021 Revekting utgiftsbehov'!F9)</f>
        <v>5.8852228743677293E-2</v>
      </c>
      <c r="X9" s="5">
        <f t="shared" si="17"/>
        <v>74.196829196245019</v>
      </c>
      <c r="Y9" s="59">
        <f>IF('2021 Lønnsgr arbavg tjeneste'!G9&lt;100,0,(C9/$C$17)*'2021 Revekting utgiftsbehov'!G9*'2021 Arbavg tjeneste'!G9/'2021 Lønnsgr arbavg tjeneste'!G9)</f>
        <v>0</v>
      </c>
      <c r="Z9" s="5">
        <f>IF('2021 Lønnsgr arbavg tjeneste'!G9&lt;100,0,C9)</f>
        <v>0</v>
      </c>
      <c r="AA9" s="59">
        <f>'2021 Revekting utgiftsbehov'!G9*Z9/$Z$17</f>
        <v>0</v>
      </c>
      <c r="AB9" s="59">
        <f>'2021 Revekting utgiftsbehov'!G9/$AA$17</f>
        <v>3.792928663945698E-2</v>
      </c>
      <c r="AC9" s="59">
        <f>IF(Z9=0,0,(Z9/$Z$17)*AB9*'2021 Arbavg tjeneste'!G9/'2021 Lønnsgr arbavg tjeneste'!G9)</f>
        <v>0</v>
      </c>
      <c r="AD9" s="5">
        <f>IF(Z9=0,0,'2021 Nto driftsutg landet'!$C$8*'2021 Lønnsand og arbavg landet'!$D$9*('2021 Arbavg tjeneste'!G9/'2021 Lønnsgr arbavg tjeneste'!G9-$AC$17)*'2021 Revekting utgiftsbehov'!G9)</f>
        <v>0</v>
      </c>
      <c r="AE9" s="5">
        <f t="shared" si="18"/>
        <v>0</v>
      </c>
      <c r="AF9" s="59">
        <f>IF('2021 Lønnsgr arbavg tjeneste'!H9&lt;100,0,(C9/$C$17)*'2021 Revekting utgiftsbehov'!H9*'2021 Arbavg tjeneste'!H9/'2021 Lønnsgr arbavg tjeneste'!H9)</f>
        <v>3.3853318746798713E-2</v>
      </c>
      <c r="AG9" s="5">
        <f>IF('2021 Lønnsgr arbavg tjeneste'!H9&lt;100,0,C9)</f>
        <v>1260731</v>
      </c>
      <c r="AH9" s="59">
        <f>'2021 Revekting utgiftsbehov'!H9*AG9/$AG$17</f>
        <v>0.24206864814899379</v>
      </c>
      <c r="AI9" s="59">
        <f>'2021 Revekting utgiftsbehov'!H9/$AH$17</f>
        <v>1.0371859456031376</v>
      </c>
      <c r="AJ9" s="59">
        <f>IF(AG9=0,0,(AG9/$AG$17)*AI9*'2021 Arbavg tjeneste'!H9/'2021 Lønnsgr arbavg tjeneste'!H9)</f>
        <v>3.3853318723465899E-2</v>
      </c>
      <c r="AK9" s="5">
        <f>IF(AG9=0,0,'2021 Nto driftsutg landet'!$C$9*'2021 Lønnsand og arbavg landet'!$D$10*('2021 Arbavg tjeneste'!H9/'2021 Lønnsgr arbavg tjeneste'!H9-$AJ$17)*'2021 Revekting utgiftsbehov'!H9)</f>
        <v>4.5878320481391572</v>
      </c>
      <c r="AL9" s="5">
        <f t="shared" si="19"/>
        <v>5784.0220858825278</v>
      </c>
      <c r="AM9" s="59">
        <f>IF('2021 Lønnsgr arbavg tjeneste'!K9&lt;100,0,(C9/$C$17)*'2021 Arbavg tjeneste'!K9/'2021 Lønnsgr arbavg tjeneste'!K9)</f>
        <v>8.9602675865139061E-3</v>
      </c>
      <c r="AN9" s="5">
        <f>IF('2021 Lønnsgr arbavg tjeneste'!K9&lt;100,0,C9)</f>
        <v>1260731</v>
      </c>
      <c r="AO9" s="59">
        <f t="shared" si="3"/>
        <v>0.23338982658638516</v>
      </c>
      <c r="AP9" s="59">
        <f t="shared" si="4"/>
        <v>0.99999999931076733</v>
      </c>
      <c r="AQ9" s="59">
        <f>IF(AN9=0,0,(AN9/$AN$17)*AP9*'2021 Arbavg tjeneste'!K9/'2021 Lønnsgr arbavg tjeneste'!K9)</f>
        <v>8.9602675803381968E-3</v>
      </c>
      <c r="AR9" s="5">
        <f>IF(AN9=0,0,'2021 Nto driftsutg landet'!$C$23*'2021 Lønnsand og arbavg landet'!$D$13*('2021 Arbavg tjeneste'!K9/'2021 Lønnsgr arbavg tjeneste'!K9-$AQ$17))</f>
        <v>-25.842196118724043</v>
      </c>
      <c r="AS9" s="5">
        <f t="shared" si="20"/>
        <v>-32580.057754955084</v>
      </c>
      <c r="AT9" s="59">
        <f>IF('2021 Lønnsgr arbavg tjeneste'!L9&lt;100,0,(C9/$C$17)*'2021 Arbavg tjeneste'!L9/'2021 Lønnsgr arbavg tjeneste'!L9)</f>
        <v>3.2796322068896017E-2</v>
      </c>
      <c r="AU9" s="5">
        <f>IF('2021 Lønnsgr arbavg tjeneste'!L9&lt;100,0,C9)</f>
        <v>1260731</v>
      </c>
      <c r="AV9" s="59">
        <f t="shared" si="5"/>
        <v>0.26791475135457571</v>
      </c>
      <c r="AW9" s="59">
        <f t="shared" si="6"/>
        <v>1</v>
      </c>
      <c r="AX9" s="59">
        <f>IF(AU9=0,0,(AU9/$AU$17)*AW9*'2021 Arbavg tjeneste'!L9/'2021 Lønnsgr arbavg tjeneste'!L9)</f>
        <v>3.7647821248029623E-2</v>
      </c>
      <c r="AY9" s="5">
        <f>IF(AU9=0,0,'2021 Nto driftsutg landet'!$C$24*'2021 Lønnsand og arbavg landet'!$D$14*('2021 Arbavg tjeneste'!L9/'2021 Lønnsgr arbavg tjeneste'!L9-$AX$17))</f>
        <v>0.4768402642487567</v>
      </c>
      <c r="AZ9" s="5">
        <f t="shared" si="21"/>
        <v>601.16730318659927</v>
      </c>
      <c r="BA9" s="59">
        <f>IF('2021 Lønnsgr arbavg tjeneste'!M9&lt;100,0,(C9/$C$17)*'2021 Arbavg tjeneste'!M9/'2021 Lønnsgr arbavg tjeneste'!M9)</f>
        <v>3.395355479904142E-2</v>
      </c>
      <c r="BB9" s="5">
        <f>IF('2021 Lønnsgr arbavg tjeneste'!M9&lt;100,0,C9)</f>
        <v>1260731</v>
      </c>
      <c r="BC9" s="59">
        <f t="shared" si="7"/>
        <v>0.26791475135457571</v>
      </c>
      <c r="BD9" s="59">
        <f t="shared" si="8"/>
        <v>1</v>
      </c>
      <c r="BE9" s="59">
        <f>IF(BB9=0,0,(BB9/$BB$17)*BD9*'2021 Arbavg tjeneste'!M9/'2021 Lønnsgr arbavg tjeneste'!M9)</f>
        <v>3.8976241272548243E-2</v>
      </c>
      <c r="BF9" s="5">
        <f>IF(BB9=0,0,'2021 Nto driftsutg landet'!$C$25*'2021 Lønnsand og arbavg landet'!$D$15*('2021 Arbavg tjeneste'!M9/'2021 Lønnsgr arbavg tjeneste'!M9-$BE$17))</f>
        <v>7.699624693375122E-2</v>
      </c>
      <c r="BG9" s="5">
        <f t="shared" si="22"/>
        <v>97.071555393035098</v>
      </c>
      <c r="BH9" s="59">
        <f>IF('2021 Lønnsgr arbavg tjeneste'!N9&lt;100,0,(C9/$C$17)*'2021 Arbavg tjeneste'!N9/'2021 Lønnsgr arbavg tjeneste'!N9)</f>
        <v>3.2805710849688266E-2</v>
      </c>
      <c r="BI9" s="5">
        <f>IF('2021 Lønnsgr arbavg tjeneste'!N9&lt;100,0,C9)</f>
        <v>1260731</v>
      </c>
      <c r="BJ9" s="59">
        <f t="shared" si="9"/>
        <v>0.23338982658638516</v>
      </c>
      <c r="BK9" s="59">
        <f t="shared" si="10"/>
        <v>1</v>
      </c>
      <c r="BL9" s="59">
        <f>IF(BI9=0,0,(BI9/$BI$17)*BK9*'2021 Arbavg tjeneste'!N9/'2021 Lønnsgr arbavg tjeneste'!N9)</f>
        <v>3.2805710849688266E-2</v>
      </c>
      <c r="BM9" s="5">
        <f>IF(BI9=0,0,'2021 Nto driftsutg landet'!$C$26*'2021 Lønnsand og arbavg landet'!$D$16*('2021 Arbavg tjeneste'!N9/'2021 Lønnsgr arbavg tjeneste'!N9-$BL$17))</f>
        <v>0.3226602379996768</v>
      </c>
      <c r="BN9" s="5">
        <f t="shared" si="23"/>
        <v>406.78776451357055</v>
      </c>
      <c r="BO9" s="59">
        <f>IF('2021 Lønnsgr arbavg tjeneste'!O9&lt;100,0,(C9/$C$17)*'2021 Arbavg tjeneste'!O9/'2021 Lønnsgr arbavg tjeneste'!O9)</f>
        <v>0</v>
      </c>
      <c r="BP9" s="5">
        <f>IF('2021 Lønnsgr arbavg tjeneste'!O9&lt;100,0,C9)</f>
        <v>0</v>
      </c>
      <c r="BQ9" s="59">
        <f t="shared" si="11"/>
        <v>0</v>
      </c>
      <c r="BR9" s="59">
        <f t="shared" si="12"/>
        <v>1</v>
      </c>
      <c r="BS9" s="59">
        <f>IF(BP9=0,0,(BP9/$BP$17)*BR9*'2021 Arbavg tjeneste'!O9/'2021 Lønnsgr arbavg tjeneste'!O9)</f>
        <v>0</v>
      </c>
      <c r="BT9" s="5">
        <f>IF(BP9=0,0,'2021 Nto driftsutg landet'!$C$27*'2021 Lønnsand og arbavg landet'!$D$17*('2021 Arbavg tjeneste'!O9/'2021 Lønnsgr arbavg tjeneste'!O9-$BS$17))</f>
        <v>0</v>
      </c>
      <c r="BU9" s="5">
        <f t="shared" si="24"/>
        <v>0</v>
      </c>
      <c r="BV9" s="59">
        <f>IF('2021 Lønnsgr arbavg tjeneste'!P9&lt;100,0,(C9/$C$17)*'2021 Arbavg tjeneste'!P9/'2021 Lønnsgr arbavg tjeneste'!P9)</f>
        <v>3.2777406802257866E-2</v>
      </c>
      <c r="BW9" s="5">
        <f>IF('2021 Lønnsgr arbavg tjeneste'!P9&lt;100,0,C9)</f>
        <v>1260731</v>
      </c>
      <c r="BX9" s="59">
        <f t="shared" si="13"/>
        <v>0.41352648036182921</v>
      </c>
      <c r="BY9" s="59">
        <f t="shared" si="14"/>
        <v>1</v>
      </c>
      <c r="BZ9" s="59">
        <f>IF(BW9=0,0,(BW9/$BW$17)*BY9*'2021 Arbavg tjeneste'!P9/'2021 Lønnsgr arbavg tjeneste'!P9)</f>
        <v>5.8075906171979948E-2</v>
      </c>
      <c r="CA9" s="5">
        <f>IF(BW9=0,0,'2021 Nto driftsutg landet'!$C$28*'2021 Lønnsand og arbavg landet'!$D$18*('2021 Arbavg tjeneste'!P9/'2021 Lønnsgr arbavg tjeneste'!P9-$BZ$17))</f>
        <v>2.3114068035029291E-4</v>
      </c>
      <c r="CB9" s="5">
        <f t="shared" si="25"/>
        <v>0.29140622107870512</v>
      </c>
      <c r="CC9" s="5"/>
      <c r="CD9" s="5"/>
      <c r="CE9" s="5"/>
    </row>
    <row r="10" spans="1:83" x14ac:dyDescent="0.3">
      <c r="A10" s="43">
        <v>3400</v>
      </c>
      <c r="B10" s="44" t="s">
        <v>393</v>
      </c>
      <c r="C10" s="44">
        <f>+'2021 Nto driftsutg'!W10</f>
        <v>370701</v>
      </c>
      <c r="D10" s="59">
        <f>IF('2021 Lønnsgr arbavg tjeneste'!D10&lt;100,0,(C10/$C$17)*'2021 Revekting utgiftsbehov'!D10*'2021 Arbavg tjeneste'!D10/'2021 Lønnsgr arbavg tjeneste'!D10)</f>
        <v>8.7558014642111354E-3</v>
      </c>
      <c r="E10" s="5">
        <f>IF('2021 Lønnsgr arbavg tjeneste'!D10&lt;100,0,C10)</f>
        <v>370701</v>
      </c>
      <c r="F10" s="59">
        <f>'2021 Revekting utgiftsbehov'!D10*E10/$E$17</f>
        <v>7.0418712583136728E-2</v>
      </c>
      <c r="G10" s="59">
        <f>'2021 Revekting utgiftsbehov'!D10/$F$17</f>
        <v>1.0261357863492095</v>
      </c>
      <c r="H10" s="59">
        <f>IF(E10=0,0,(E10/$E$17)*G10*'2021 Arbavg tjeneste'!D10/'2021 Lønnsgr arbavg tjeneste'!D10)</f>
        <v>8.7558014650406073E-3</v>
      </c>
      <c r="I10" s="5">
        <f>IF(E10=0,0,'2021 Nto driftsutg landet'!$C$5*'2021 Lønnsand og arbavg landet'!$D$6*('2021 Arbavg tjeneste'!D10/'2021 Lønnsgr arbavg tjeneste'!D10-$H$17)*'2021 Revekting utgiftsbehov'!D10)</f>
        <v>-13.640180904265378</v>
      </c>
      <c r="J10" s="5">
        <f t="shared" si="15"/>
        <v>-5056.4287013920793</v>
      </c>
      <c r="K10" s="59">
        <f>IF('2021 Lønnsgr arbavg tjeneste'!E10&lt;100,0,(C10/$C$17)*'2021 Revekting utgiftsbehov'!E10*'2021 Arbavg tjeneste'!E10/'2021 Lønnsgr arbavg tjeneste'!E10)</f>
        <v>1.262568973616479E-2</v>
      </c>
      <c r="L10" s="5">
        <f>IF('2021 Lønnsgr arbavg tjeneste'!E10&lt;100,0,C10)</f>
        <v>370701</v>
      </c>
      <c r="M10" s="59">
        <f>'2021 Revekting utgiftsbehov'!E10*L10/$L$17</f>
        <v>0.11975629469149665</v>
      </c>
      <c r="N10" s="59">
        <f>'2021 Revekting utgiftsbehov'!E10/$M$17</f>
        <v>1.3726407797475817</v>
      </c>
      <c r="O10" s="59">
        <f>IF(L10=0,0,(L10/$L$17)*N10*'2021 Arbavg tjeneste'!E10/'2021 Lønnsgr arbavg tjeneste'!E10)</f>
        <v>1.3086584600019283E-2</v>
      </c>
      <c r="P10" s="5">
        <f>IF(L10=0,0,'2021 Nto driftsutg landet'!$C$6*'2021 Lønnsand og arbavg landet'!$D$7*('2021 Arbavg tjeneste'!E10/'2021 Lønnsgr arbavg tjeneste'!E10-$O$17)*'2021 Revekting utgiftsbehov'!E10)</f>
        <v>-20.349529833681981</v>
      </c>
      <c r="Q10" s="5">
        <f t="shared" si="16"/>
        <v>-7543.5910588757442</v>
      </c>
      <c r="R10" s="59">
        <f>IF('2021 Lønnsgr arbavg tjeneste'!F10&lt;100,0,(C10/$C$17)*'2021 Revekting utgiftsbehov'!F10*'2021 Arbavg tjeneste'!F10/'2021 Lønnsgr arbavg tjeneste'!F10)</f>
        <v>9.7830235920348969E-3</v>
      </c>
      <c r="S10" s="5">
        <f>IF('2021 Lønnsgr arbavg tjeneste'!F10&lt;100,0,C10)</f>
        <v>370701</v>
      </c>
      <c r="T10" s="59">
        <f>'2021 Revekting utgiftsbehov'!F10*S10/$S$17</f>
        <v>6.9292817763818931E-2</v>
      </c>
      <c r="U10" s="59">
        <f>'2021 Revekting utgiftsbehov'!F10/$T$17</f>
        <v>1.0097293367093605</v>
      </c>
      <c r="V10" s="59">
        <f>IF(S10=0,0,(S10/$S$17)*U10*'2021 Arbavg tjeneste'!F10/'2021 Lønnsgr arbavg tjeneste'!F10)</f>
        <v>9.7830235797627344E-3</v>
      </c>
      <c r="W10" s="5">
        <f>IF(S10=0,0,'2021 Nto driftsutg landet'!$C$7*'2021 Lønnsand og arbavg landet'!$D$8*('2021 Arbavg tjeneste'!F10/'2021 Lønnsgr arbavg tjeneste'!F10-$V$17)*'2021 Revekting utgiftsbehov'!F10)</f>
        <v>0.32265638424980048</v>
      </c>
      <c r="X10" s="5">
        <f t="shared" si="17"/>
        <v>119.60904429778527</v>
      </c>
      <c r="Y10" s="59">
        <f>IF('2021 Lønnsgr arbavg tjeneste'!G10&lt;100,0,(C10/$C$17)*'2021 Revekting utgiftsbehov'!G10*'2021 Arbavg tjeneste'!G10/'2021 Lønnsgr arbavg tjeneste'!G10)</f>
        <v>3.7247786154813065E-4</v>
      </c>
      <c r="Z10" s="5">
        <f>IF('2021 Lønnsgr arbavg tjeneste'!G10&lt;100,0,C10)</f>
        <v>370701</v>
      </c>
      <c r="AA10" s="59">
        <f>'2021 Revekting utgiftsbehov'!G10*Z10/$Z$17</f>
        <v>5.9970554629092919E-3</v>
      </c>
      <c r="AB10" s="59">
        <f>'2021 Revekting utgiftsbehov'!G10/$AA$17</f>
        <v>2.2906768596468924E-2</v>
      </c>
      <c r="AC10" s="59">
        <f>IF(Z10=0,0,(Z10/$Z$17)*AB10*'2021 Arbavg tjeneste'!G10/'2021 Lønnsgr arbavg tjeneste'!G10)</f>
        <v>5.0180754334060564E-4</v>
      </c>
      <c r="AD10" s="5">
        <f>IF(Z10=0,0,'2021 Nto driftsutg landet'!$C$8*'2021 Lønnsand og arbavg landet'!$D$9*('2021 Arbavg tjeneste'!G10/'2021 Lønnsgr arbavg tjeneste'!G10-$AC$17)*'2021 Revekting utgiftsbehov'!G10)</f>
        <v>1.0262660068823445E-2</v>
      </c>
      <c r="AE10" s="5">
        <f t="shared" si="18"/>
        <v>3.8043783501729198</v>
      </c>
      <c r="AF10" s="59">
        <f>IF('2021 Lønnsgr arbavg tjeneste'!H10&lt;100,0,(C10/$C$17)*'2021 Revekting utgiftsbehov'!H10*'2021 Arbavg tjeneste'!H10/'2021 Lønnsgr arbavg tjeneste'!H10)</f>
        <v>7.9499267050784569E-3</v>
      </c>
      <c r="AG10" s="5">
        <f>IF('2021 Lønnsgr arbavg tjeneste'!H10&lt;100,0,C10)</f>
        <v>370701</v>
      </c>
      <c r="AH10" s="59">
        <f>'2021 Revekting utgiftsbehov'!H10*AG10/$AG$17</f>
        <v>6.6137160338762754E-2</v>
      </c>
      <c r="AI10" s="59">
        <f>'2021 Revekting utgiftsbehov'!H10/$AH$17</f>
        <v>0.96374535245575521</v>
      </c>
      <c r="AJ10" s="59">
        <f>IF(AG10=0,0,(AG10/$AG$17)*AI10*'2021 Arbavg tjeneste'!H10/'2021 Lønnsgr arbavg tjeneste'!H10)</f>
        <v>7.9499266995991073E-3</v>
      </c>
      <c r="AK10" s="5">
        <f>IF(AG10=0,0,'2021 Nto driftsutg landet'!$C$9*'2021 Lønnsand og arbavg landet'!$D$10*('2021 Arbavg tjeneste'!H10/'2021 Lønnsgr arbavg tjeneste'!H10-$AJ$17)*'2021 Revekting utgiftsbehov'!H10)</f>
        <v>-1.8242393939540269</v>
      </c>
      <c r="AL10" s="5">
        <f t="shared" si="19"/>
        <v>-676.24736757815174</v>
      </c>
      <c r="AM10" s="59">
        <f>IF('2021 Lønnsgr arbavg tjeneste'!K10&lt;100,0,(C10/$C$17)*'2021 Arbavg tjeneste'!K10/'2021 Lønnsgr arbavg tjeneste'!K10)</f>
        <v>9.6719413305197503E-3</v>
      </c>
      <c r="AN10" s="5">
        <f>IF('2021 Lønnsgr arbavg tjeneste'!K10&lt;100,0,C10)</f>
        <v>370701</v>
      </c>
      <c r="AO10" s="59">
        <f t="shared" si="3"/>
        <v>6.8625140577490015E-2</v>
      </c>
      <c r="AP10" s="59">
        <f t="shared" si="4"/>
        <v>0.99999999931076733</v>
      </c>
      <c r="AQ10" s="59">
        <f>IF(AN10=0,0,(AN10/$AN$17)*AP10*'2021 Arbavg tjeneste'!K10/'2021 Lønnsgr arbavg tjeneste'!K10)</f>
        <v>9.6719413238535307E-3</v>
      </c>
      <c r="AR10" s="5">
        <f>IF(AN10=0,0,'2021 Nto driftsutg landet'!$C$23*'2021 Lønnsand og arbavg landet'!$D$13*('2021 Arbavg tjeneste'!K10/'2021 Lønnsgr arbavg tjeneste'!K10-$AQ$17))</f>
        <v>18.213757833682241</v>
      </c>
      <c r="AS10" s="5">
        <f t="shared" si="20"/>
        <v>6751.85824270384</v>
      </c>
      <c r="AT10" s="59">
        <f>IF('2021 Lønnsgr arbavg tjeneste'!L10&lt;100,0,(C10/$C$17)*'2021 Arbavg tjeneste'!L10/'2021 Lønnsgr arbavg tjeneste'!L10)</f>
        <v>9.6951889425632709E-3</v>
      </c>
      <c r="AU10" s="5">
        <f>IF('2021 Lønnsgr arbavg tjeneste'!L10&lt;100,0,C10)</f>
        <v>370701</v>
      </c>
      <c r="AV10" s="59">
        <f t="shared" si="5"/>
        <v>7.8776730517368554E-2</v>
      </c>
      <c r="AW10" s="59">
        <f t="shared" si="6"/>
        <v>1</v>
      </c>
      <c r="AX10" s="59">
        <f>IF(AU10=0,0,(AU10/$AU$17)*AW10*'2021 Arbavg tjeneste'!L10/'2021 Lønnsgr arbavg tjeneste'!L10)</f>
        <v>1.1129380285652928E-2</v>
      </c>
      <c r="AY10" s="5">
        <f>IF(AU10=0,0,'2021 Nto driftsutg landet'!$C$24*'2021 Lønnsand og arbavg landet'!$D$14*('2021 Arbavg tjeneste'!L10/'2021 Lønnsgr arbavg tjeneste'!L10-$AX$17))</f>
        <v>0.51618499003707485</v>
      </c>
      <c r="AZ10" s="5">
        <f t="shared" si="21"/>
        <v>191.35029199173368</v>
      </c>
      <c r="BA10" s="59">
        <f>IF('2021 Lønnsgr arbavg tjeneste'!M10&lt;100,0,(C10/$C$17)*'2021 Arbavg tjeneste'!M10/'2021 Lønnsgr arbavg tjeneste'!M10)</f>
        <v>9.6390218934371795E-3</v>
      </c>
      <c r="BB10" s="5">
        <f>IF('2021 Lønnsgr arbavg tjeneste'!M10&lt;100,0,C10)</f>
        <v>370701</v>
      </c>
      <c r="BC10" s="59">
        <f t="shared" si="7"/>
        <v>7.8776730517368554E-2</v>
      </c>
      <c r="BD10" s="59">
        <f t="shared" si="8"/>
        <v>1</v>
      </c>
      <c r="BE10" s="59">
        <f>IF(BB10=0,0,(BB10/$BB$17)*BD10*'2021 Arbavg tjeneste'!M10/'2021 Lønnsgr arbavg tjeneste'!M10)</f>
        <v>1.10649045489808E-2</v>
      </c>
      <c r="BF10" s="5">
        <f>IF(BB10=0,0,'2021 Nto driftsutg landet'!$C$25*'2021 Lønnsand og arbavg landet'!$D$15*('2021 Arbavg tjeneste'!M10/'2021 Lønnsgr arbavg tjeneste'!M10-$BE$17))</f>
        <v>4.8572625600227085E-2</v>
      </c>
      <c r="BG10" s="5">
        <f t="shared" si="22"/>
        <v>18.005920882629781</v>
      </c>
      <c r="BH10" s="59">
        <f>IF('2021 Lønnsgr arbavg tjeneste'!N10&lt;100,0,(C10/$C$17)*'2021 Arbavg tjeneste'!N10/'2021 Lønnsgr arbavg tjeneste'!N10)</f>
        <v>9.7088862766691424E-3</v>
      </c>
      <c r="BI10" s="5">
        <f>IF('2021 Lønnsgr arbavg tjeneste'!N10&lt;100,0,C10)</f>
        <v>370701</v>
      </c>
      <c r="BJ10" s="59">
        <f t="shared" si="9"/>
        <v>6.8625140577490015E-2</v>
      </c>
      <c r="BK10" s="59">
        <f t="shared" si="10"/>
        <v>1</v>
      </c>
      <c r="BL10" s="59">
        <f>IF(BI10=0,0,(BI10/$BI$17)*BK10*'2021 Arbavg tjeneste'!N10/'2021 Lønnsgr arbavg tjeneste'!N10)</f>
        <v>9.7088862766691424E-3</v>
      </c>
      <c r="BM10" s="5">
        <f>IF(BI10=0,0,'2021 Nto driftsutg landet'!$C$26*'2021 Lønnsand og arbavg landet'!$D$16*('2021 Arbavg tjeneste'!N10/'2021 Lønnsgr arbavg tjeneste'!N10-$BL$17))</f>
        <v>0.34937529261671874</v>
      </c>
      <c r="BN10" s="5">
        <f t="shared" si="23"/>
        <v>129.51377034831026</v>
      </c>
      <c r="BO10" s="59">
        <f>IF('2021 Lønnsgr arbavg tjeneste'!O10&lt;100,0,(C10/$C$17)*'2021 Arbavg tjeneste'!O10/'2021 Lønnsgr arbavg tjeneste'!O10)</f>
        <v>0</v>
      </c>
      <c r="BP10" s="5">
        <f>IF('2021 Lønnsgr arbavg tjeneste'!O10&lt;100,0,C10)</f>
        <v>0</v>
      </c>
      <c r="BQ10" s="59">
        <f t="shared" si="11"/>
        <v>0</v>
      </c>
      <c r="BR10" s="59">
        <f t="shared" si="12"/>
        <v>1</v>
      </c>
      <c r="BS10" s="59">
        <f>IF(BP10=0,0,(BP10/$BP$17)*BR10*'2021 Arbavg tjeneste'!O10/'2021 Lønnsgr arbavg tjeneste'!O10)</f>
        <v>0</v>
      </c>
      <c r="BT10" s="5">
        <f>IF(BP10=0,0,'2021 Nto driftsutg landet'!$C$27*'2021 Lønnsand og arbavg landet'!$D$17*('2021 Arbavg tjeneste'!O10/'2021 Lønnsgr arbavg tjeneste'!O10-$BS$17))</f>
        <v>0</v>
      </c>
      <c r="BU10" s="5">
        <f t="shared" si="24"/>
        <v>0</v>
      </c>
      <c r="BV10" s="59">
        <f>IF('2021 Lønnsgr arbavg tjeneste'!P10&lt;100,0,(C10/$C$17)*'2021 Arbavg tjeneste'!P10/'2021 Lønnsgr arbavg tjeneste'!P10)</f>
        <v>0</v>
      </c>
      <c r="BW10" s="5">
        <f>IF('2021 Lønnsgr arbavg tjeneste'!P10&lt;100,0,C10)</f>
        <v>0</v>
      </c>
      <c r="BX10" s="59">
        <f t="shared" si="13"/>
        <v>0</v>
      </c>
      <c r="BY10" s="59">
        <f t="shared" si="14"/>
        <v>1</v>
      </c>
      <c r="BZ10" s="59">
        <f>IF(BW10=0,0,(BW10/$BW$17)*BY10*'2021 Arbavg tjeneste'!P10/'2021 Lønnsgr arbavg tjeneste'!P10)</f>
        <v>0</v>
      </c>
      <c r="CA10" s="5">
        <f>IF(BW10=0,0,'2021 Nto driftsutg landet'!$C$28*'2021 Lønnsand og arbavg landet'!$D$18*('2021 Arbavg tjeneste'!P10/'2021 Lønnsgr arbavg tjeneste'!P10-$BZ$17))</f>
        <v>0</v>
      </c>
      <c r="CB10" s="5">
        <f t="shared" si="25"/>
        <v>0</v>
      </c>
      <c r="CC10" s="5"/>
      <c r="CD10" s="5"/>
      <c r="CE10" s="5"/>
    </row>
    <row r="11" spans="1:83" x14ac:dyDescent="0.3">
      <c r="A11" s="43">
        <v>3800</v>
      </c>
      <c r="B11" s="44" t="s">
        <v>394</v>
      </c>
      <c r="C11" s="44">
        <f>+'2021 Nto driftsutg'!W11</f>
        <v>423144</v>
      </c>
      <c r="D11" s="59">
        <f>IF('2021 Lønnsgr arbavg tjeneste'!D11&lt;100,0,(C11/$C$17)*'2021 Revekting utgiftsbehov'!D11*'2021 Arbavg tjeneste'!D11/'2021 Lønnsgr arbavg tjeneste'!D11)</f>
        <v>1.1092948490317302E-2</v>
      </c>
      <c r="E11" s="5">
        <f>IF('2021 Lønnsgr arbavg tjeneste'!D11&lt;100,0,C11)</f>
        <v>423144</v>
      </c>
      <c r="F11" s="59">
        <f>'2021 Revekting utgiftsbehov'!D11*E11/$E$17</f>
        <v>7.9813111221490041E-2</v>
      </c>
      <c r="G11" s="59">
        <f>'2021 Revekting utgiftsbehov'!D11/$F$17</f>
        <v>1.0188882734125231</v>
      </c>
      <c r="H11" s="59">
        <f>IF(E11=0,0,(E11/$E$17)*G11*'2021 Arbavg tjeneste'!D11/'2021 Lønnsgr arbavg tjeneste'!D11)</f>
        <v>1.1092948491368181E-2</v>
      </c>
      <c r="I11" s="5">
        <f>IF(E11=0,0,'2021 Nto driftsutg landet'!$C$5*'2021 Lønnsand og arbavg landet'!$D$6*('2021 Arbavg tjeneste'!D11/'2021 Lønnsgr arbavg tjeneste'!D11-$H$17)*'2021 Revekting utgiftsbehov'!D11)</f>
        <v>43.225648042624258</v>
      </c>
      <c r="J11" s="5">
        <f t="shared" si="15"/>
        <v>18290.673615348198</v>
      </c>
      <c r="K11" s="59">
        <f>IF('2021 Lønnsgr arbavg tjeneste'!E11&lt;100,0,(C11/$C$17)*'2021 Revekting utgiftsbehov'!E11*'2021 Arbavg tjeneste'!E11/'2021 Lønnsgr arbavg tjeneste'!E11)</f>
        <v>1.0720459664575677E-2</v>
      </c>
      <c r="L11" s="5">
        <f>IF('2021 Lønnsgr arbavg tjeneste'!E11&lt;100,0,C11)</f>
        <v>423144</v>
      </c>
      <c r="M11" s="59">
        <f>'2021 Revekting utgiftsbehov'!E11*L11/$L$17</f>
        <v>8.681166708292902E-2</v>
      </c>
      <c r="N11" s="59">
        <f>'2021 Revekting utgiftsbehov'!E11/$M$17</f>
        <v>0.87171037226762682</v>
      </c>
      <c r="O11" s="59">
        <f>IF(L11=0,0,(L11/$L$17)*N11*'2021 Arbavg tjeneste'!E11/'2021 Lønnsgr arbavg tjeneste'!E11)</f>
        <v>1.1111805001013756E-2</v>
      </c>
      <c r="P11" s="5">
        <f>IF(L11=0,0,'2021 Nto driftsutg landet'!$C$6*'2021 Lønnsand og arbavg landet'!$D$7*('2021 Arbavg tjeneste'!E11/'2021 Lønnsgr arbavg tjeneste'!E11-$O$17)*'2021 Revekting utgiftsbehov'!E11)</f>
        <v>-10.114603583417226</v>
      </c>
      <c r="Q11" s="5">
        <f t="shared" si="16"/>
        <v>-4279.9338187014991</v>
      </c>
      <c r="R11" s="59">
        <f>IF('2021 Lønnsgr arbavg tjeneste'!F11&lt;100,0,(C11/$C$17)*'2021 Revekting utgiftsbehov'!F11*'2021 Arbavg tjeneste'!F11/'2021 Lønnsgr arbavg tjeneste'!F11)</f>
        <v>9.1096817938828584E-3</v>
      </c>
      <c r="S11" s="5">
        <f>IF('2021 Lønnsgr arbavg tjeneste'!F11&lt;100,0,C11)</f>
        <v>423144</v>
      </c>
      <c r="T11" s="59">
        <f>'2021 Revekting utgiftsbehov'!F11*S11/$S$17</f>
        <v>5.6996427666748083E-2</v>
      </c>
      <c r="U11" s="59">
        <f>'2021 Revekting utgiftsbehov'!F11/$T$17</f>
        <v>0.72761217811125811</v>
      </c>
      <c r="V11" s="59">
        <f>IF(S11=0,0,(S11/$S$17)*U11*'2021 Arbavg tjeneste'!F11/'2021 Lønnsgr arbavg tjeneste'!F11)</f>
        <v>9.1096817824553589E-3</v>
      </c>
      <c r="W11" s="5">
        <f>IF(S11=0,0,'2021 Nto driftsutg landet'!$C$7*'2021 Lønnsand og arbavg landet'!$D$8*('2021 Arbavg tjeneste'!F11/'2021 Lønnsgr arbavg tjeneste'!F11-$V$17)*'2021 Revekting utgiftsbehov'!F11)</f>
        <v>0.79932620815392674</v>
      </c>
      <c r="X11" s="5">
        <f t="shared" si="17"/>
        <v>338.23008902308521</v>
      </c>
      <c r="Y11" s="59">
        <f>IF('2021 Lønnsgr arbavg tjeneste'!G11&lt;100,0,(C11/$C$17)*'2021 Revekting utgiftsbehov'!G11*'2021 Arbavg tjeneste'!G11/'2021 Lønnsgr arbavg tjeneste'!G11)</f>
        <v>0</v>
      </c>
      <c r="Z11" s="5">
        <f>IF('2021 Lønnsgr arbavg tjeneste'!G11&lt;100,0,C11)</f>
        <v>0</v>
      </c>
      <c r="AA11" s="59">
        <f>'2021 Revekting utgiftsbehov'!G11*Z11/$Z$17</f>
        <v>0</v>
      </c>
      <c r="AB11" s="59">
        <f>'2021 Revekting utgiftsbehov'!G11/$AA$17</f>
        <v>9.508947147603436E-2</v>
      </c>
      <c r="AC11" s="59">
        <f>IF(Z11=0,0,(Z11/$Z$17)*AB11*'2021 Arbavg tjeneste'!G11/'2021 Lønnsgr arbavg tjeneste'!G11)</f>
        <v>0</v>
      </c>
      <c r="AD11" s="5">
        <f>IF(Z11=0,0,'2021 Nto driftsutg landet'!$C$8*'2021 Lønnsand og arbavg landet'!$D$9*('2021 Arbavg tjeneste'!G11/'2021 Lønnsgr arbavg tjeneste'!G11-$AC$17)*'2021 Revekting utgiftsbehov'!G11)</f>
        <v>0</v>
      </c>
      <c r="AE11" s="5">
        <f t="shared" si="18"/>
        <v>0</v>
      </c>
      <c r="AF11" s="59">
        <f>IF('2021 Lønnsgr arbavg tjeneste'!H11&lt;100,0,(C11/$C$17)*'2021 Revekting utgiftsbehov'!H11*'2021 Arbavg tjeneste'!H11/'2021 Lønnsgr arbavg tjeneste'!H11)</f>
        <v>1.0822977518206796E-2</v>
      </c>
      <c r="AG11" s="5">
        <f>IF('2021 Lønnsgr arbavg tjeneste'!H11&lt;100,0,C11)</f>
        <v>423144</v>
      </c>
      <c r="AH11" s="59">
        <f>'2021 Revekting utgiftsbehov'!H11*AG11/$AG$17</f>
        <v>7.8225472319578632E-2</v>
      </c>
      <c r="AI11" s="59">
        <f>'2021 Revekting utgiftsbehov'!H11/$AH$17</f>
        <v>0.9986205918587181</v>
      </c>
      <c r="AJ11" s="59">
        <f>IF(AG11=0,0,(AG11/$AG$17)*AI11*'2021 Arbavg tjeneste'!H11/'2021 Lønnsgr arbavg tjeneste'!H11)</f>
        <v>1.0822977510747244E-2</v>
      </c>
      <c r="AK11" s="5">
        <f>IF(AG11=0,0,'2021 Nto driftsutg landet'!$C$9*'2021 Lønnsand og arbavg landet'!$D$10*('2021 Arbavg tjeneste'!H11/'2021 Lønnsgr arbavg tjeneste'!H11-$AJ$17)*'2021 Revekting utgiftsbehov'!H11)</f>
        <v>3.9376284633904128</v>
      </c>
      <c r="AL11" s="5">
        <f t="shared" si="19"/>
        <v>1666.1838585128728</v>
      </c>
      <c r="AM11" s="59">
        <f>IF('2021 Lønnsgr arbavg tjeneste'!K11&lt;100,0,(C11/$C$17)*'2021 Arbavg tjeneste'!K11/'2021 Lønnsgr arbavg tjeneste'!K11)</f>
        <v>1.0753593527831434E-2</v>
      </c>
      <c r="AN11" s="5">
        <f>IF('2021 Lønnsgr arbavg tjeneste'!K11&lt;100,0,C11)</f>
        <v>423144</v>
      </c>
      <c r="AO11" s="59">
        <f t="shared" si="3"/>
        <v>7.8333526169396456E-2</v>
      </c>
      <c r="AP11" s="59">
        <f t="shared" si="4"/>
        <v>0.99999999931076733</v>
      </c>
      <c r="AQ11" s="59">
        <f>IF(AN11=0,0,(AN11/$AN$17)*AP11*'2021 Arbavg tjeneste'!K11/'2021 Lønnsgr arbavg tjeneste'!K11)</f>
        <v>1.0753593520419708E-2</v>
      </c>
      <c r="AR11" s="5">
        <f>IF(AN11=0,0,'2021 Nto driftsutg landet'!$C$23*'2021 Lønnsand og arbavg landet'!$D$13*('2021 Arbavg tjeneste'!K11/'2021 Lønnsgr arbavg tjeneste'!K11-$AQ$17))</f>
        <v>16.641714913139374</v>
      </c>
      <c r="AS11" s="5">
        <f t="shared" si="20"/>
        <v>7041.8418152054473</v>
      </c>
      <c r="AT11" s="59">
        <f>IF('2021 Lønnsgr arbavg tjeneste'!L11&lt;100,0,(C11/$C$17)*'2021 Arbavg tjeneste'!L11/'2021 Lønnsgr arbavg tjeneste'!L11)</f>
        <v>1.0939425697009961E-2</v>
      </c>
      <c r="AU11" s="5">
        <f>IF('2021 Lønnsgr arbavg tjeneste'!L11&lt;100,0,C11)</f>
        <v>423144</v>
      </c>
      <c r="AV11" s="59">
        <f t="shared" si="5"/>
        <v>8.9921259608259488E-2</v>
      </c>
      <c r="AW11" s="59">
        <f t="shared" si="6"/>
        <v>1</v>
      </c>
      <c r="AX11" s="59">
        <f>IF(AU11=0,0,(AU11/$AU$17)*AW11*'2021 Arbavg tjeneste'!L11/'2021 Lønnsgr arbavg tjeneste'!L11)</f>
        <v>1.2557674678641073E-2</v>
      </c>
      <c r="AY11" s="5">
        <f>IF(AU11=0,0,'2021 Nto driftsutg landet'!$C$24*'2021 Lønnsand og arbavg landet'!$D$14*('2021 Arbavg tjeneste'!L11/'2021 Lønnsgr arbavg tjeneste'!L11-$AX$17))</f>
        <v>0.43156784869716086</v>
      </c>
      <c r="AZ11" s="5">
        <f t="shared" si="21"/>
        <v>182.61534576911146</v>
      </c>
      <c r="BA11" s="59">
        <f>IF('2021 Lønnsgr arbavg tjeneste'!M11&lt;100,0,(C11/$C$17)*'2021 Arbavg tjeneste'!M11/'2021 Lønnsgr arbavg tjeneste'!M11)</f>
        <v>1.1094405662647846E-2</v>
      </c>
      <c r="BB11" s="5">
        <f>IF('2021 Lønnsgr arbavg tjeneste'!M11&lt;100,0,C11)</f>
        <v>423144</v>
      </c>
      <c r="BC11" s="59">
        <f t="shared" si="7"/>
        <v>8.9921259608259488E-2</v>
      </c>
      <c r="BD11" s="59">
        <f t="shared" si="8"/>
        <v>1</v>
      </c>
      <c r="BE11" s="59">
        <f>IF(BB11=0,0,(BB11/$BB$17)*BD11*'2021 Arbavg tjeneste'!M11/'2021 Lønnsgr arbavg tjeneste'!M11)</f>
        <v>1.27355805435458E-2</v>
      </c>
      <c r="BF11" s="5">
        <f>IF(BB11=0,0,'2021 Nto driftsutg landet'!$C$25*'2021 Lønnsand og arbavg landet'!$D$15*('2021 Arbavg tjeneste'!M11/'2021 Lønnsgr arbavg tjeneste'!M11-$BE$17))</f>
        <v>5.5203421900128204E-2</v>
      </c>
      <c r="BG11" s="5">
        <f t="shared" si="22"/>
        <v>23.358996756507846</v>
      </c>
      <c r="BH11" s="59">
        <f>IF('2021 Lønnsgr arbavg tjeneste'!N11&lt;100,0,(C11/$C$17)*'2021 Arbavg tjeneste'!N11/'2021 Lønnsgr arbavg tjeneste'!N11)</f>
        <v>1.1163086159263546E-2</v>
      </c>
      <c r="BI11" s="5">
        <f>IF('2021 Lønnsgr arbavg tjeneste'!N11&lt;100,0,C11)</f>
        <v>423144</v>
      </c>
      <c r="BJ11" s="59">
        <f t="shared" si="9"/>
        <v>7.8333526169396456E-2</v>
      </c>
      <c r="BK11" s="59">
        <f t="shared" si="10"/>
        <v>1</v>
      </c>
      <c r="BL11" s="59">
        <f>IF(BI11=0,0,(BI11/$BI$17)*BK11*'2021 Arbavg tjeneste'!N11/'2021 Lønnsgr arbavg tjeneste'!N11)</f>
        <v>1.1163086159263546E-2</v>
      </c>
      <c r="BM11" s="5">
        <f>IF(BI11=0,0,'2021 Nto driftsutg landet'!$C$26*'2021 Lønnsand og arbavg landet'!$D$16*('2021 Arbavg tjeneste'!N11/'2021 Lønnsgr arbavg tjeneste'!N11-$BL$17))</f>
        <v>0.37944104784271254</v>
      </c>
      <c r="BN11" s="5">
        <f t="shared" si="23"/>
        <v>160.55820274835676</v>
      </c>
      <c r="BO11" s="59">
        <f>IF('2021 Lønnsgr arbavg tjeneste'!O11&lt;100,0,(C11/$C$17)*'2021 Arbavg tjeneste'!O11/'2021 Lønnsgr arbavg tjeneste'!O11)</f>
        <v>8.3497843667933377E-3</v>
      </c>
      <c r="BP11" s="5">
        <f>IF('2021 Lønnsgr arbavg tjeneste'!O11&lt;100,0,C11)</f>
        <v>423144</v>
      </c>
      <c r="BQ11" s="59">
        <f t="shared" si="11"/>
        <v>1</v>
      </c>
      <c r="BR11" s="59">
        <f t="shared" si="12"/>
        <v>1</v>
      </c>
      <c r="BS11" s="59">
        <f>IF(BP11=0,0,(BP11/$BP$17)*BR11*'2021 Arbavg tjeneste'!O11/'2021 Lønnsgr arbavg tjeneste'!O11)</f>
        <v>0.10659272951324707</v>
      </c>
      <c r="BT11" s="5">
        <f>IF(BP11=0,0,'2021 Nto driftsutg landet'!$C$27*'2021 Lønnsand og arbavg landet'!$D$17*('2021 Arbavg tjeneste'!O11/'2021 Lønnsgr arbavg tjeneste'!O11-$BS$17))</f>
        <v>0</v>
      </c>
      <c r="BU11" s="5">
        <f t="shared" si="24"/>
        <v>0</v>
      </c>
      <c r="BV11" s="59">
        <f>IF('2021 Lønnsgr arbavg tjeneste'!P11&lt;100,0,(C11/$C$17)*'2021 Arbavg tjeneste'!P11/'2021 Lønnsgr arbavg tjeneste'!P11)</f>
        <v>1.1959316972426939E-2</v>
      </c>
      <c r="BW11" s="5">
        <f>IF('2021 Lønnsgr arbavg tjeneste'!P11&lt;100,0,C11)</f>
        <v>423144</v>
      </c>
      <c r="BX11" s="59">
        <f t="shared" si="13"/>
        <v>0.13879348489584684</v>
      </c>
      <c r="BY11" s="59">
        <f t="shared" si="14"/>
        <v>1</v>
      </c>
      <c r="BZ11" s="59">
        <f>IF(BW11=0,0,(BW11/$BW$17)*BY11*'2021 Arbavg tjeneste'!P11/'2021 Lønnsgr arbavg tjeneste'!P11)</f>
        <v>2.1189845022266694E-2</v>
      </c>
      <c r="CA11" s="5">
        <f>IF(BW11=0,0,'2021 Nto driftsutg landet'!$C$28*'2021 Lønnsand og arbavg landet'!$D$18*('2021 Arbavg tjeneste'!P11/'2021 Lønnsgr arbavg tjeneste'!P11-$BZ$17))</f>
        <v>1.1922930292134635E-3</v>
      </c>
      <c r="CB11" s="5">
        <f t="shared" si="25"/>
        <v>0.50451164155350181</v>
      </c>
      <c r="CC11" s="5"/>
      <c r="CD11" s="5"/>
      <c r="CE11" s="5"/>
    </row>
    <row r="12" spans="1:83" x14ac:dyDescent="0.3">
      <c r="A12" s="43">
        <v>4200</v>
      </c>
      <c r="B12" s="44" t="s">
        <v>395</v>
      </c>
      <c r="C12" s="44">
        <f>+'2021 Nto driftsutg'!W12</f>
        <v>309508</v>
      </c>
      <c r="D12" s="59">
        <f>IF('2021 Lønnsgr arbavg tjeneste'!D12&lt;100,0,(C12/$C$17)*'2021 Revekting utgiftsbehov'!D12*'2021 Arbavg tjeneste'!D12/'2021 Lønnsgr arbavg tjeneste'!D12)</f>
        <v>8.3845715371986176E-3</v>
      </c>
      <c r="E12" s="5">
        <f>IF('2021 Lønnsgr arbavg tjeneste'!D12&lt;100,0,C12)</f>
        <v>309508</v>
      </c>
      <c r="F12" s="59">
        <f>'2021 Revekting utgiftsbehov'!D12*E12/$E$17</f>
        <v>6.0179007367751322E-2</v>
      </c>
      <c r="G12" s="59">
        <f>'2021 Revekting utgiftsbehov'!D12/$F$17</f>
        <v>1.0503006917594988</v>
      </c>
      <c r="H12" s="59">
        <f>IF(E12=0,0,(E12/$E$17)*G12*'2021 Arbavg tjeneste'!D12/'2021 Lønnsgr arbavg tjeneste'!D12)</f>
        <v>8.384571537992918E-3</v>
      </c>
      <c r="I12" s="5">
        <f>IF(E12=0,0,'2021 Nto driftsutg landet'!$C$5*'2021 Lønnsand og arbavg landet'!$D$6*('2021 Arbavg tjeneste'!D12/'2021 Lønnsgr arbavg tjeneste'!D12-$H$17)*'2021 Revekting utgiftsbehov'!D12)</f>
        <v>45.919225670762984</v>
      </c>
      <c r="J12" s="5">
        <f t="shared" si="15"/>
        <v>14212.36769890651</v>
      </c>
      <c r="K12" s="59">
        <f>IF('2021 Lønnsgr arbavg tjeneste'!E12&lt;100,0,(C12/$C$17)*'2021 Revekting utgiftsbehov'!E12*'2021 Arbavg tjeneste'!E12/'2021 Lønnsgr arbavg tjeneste'!E12)</f>
        <v>1.383195344901776E-2</v>
      </c>
      <c r="L12" s="5">
        <f>IF('2021 Lønnsgr arbavg tjeneste'!E12&lt;100,0,C12)</f>
        <v>309508</v>
      </c>
      <c r="M12" s="59">
        <f>'2021 Revekting utgiftsbehov'!E12*L12/$L$17</f>
        <v>7.6648688833172426E-2</v>
      </c>
      <c r="N12" s="59">
        <f>'2021 Revekting utgiftsbehov'!E12/$M$17</f>
        <v>1.0522408445717317</v>
      </c>
      <c r="O12" s="59">
        <f>IF(L12=0,0,(L12/$L$17)*N12*'2021 Arbavg tjeneste'!E12/'2021 Lønnsgr arbavg tjeneste'!E12)</f>
        <v>1.4336882402203269E-2</v>
      </c>
      <c r="P12" s="5">
        <f>IF(L12=0,0,'2021 Nto driftsutg landet'!$C$6*'2021 Lønnsand og arbavg landet'!$D$7*('2021 Arbavg tjeneste'!E12/'2021 Lønnsgr arbavg tjeneste'!E12-$O$17)*'2021 Revekting utgiftsbehov'!E12)</f>
        <v>-1.5168838847022128</v>
      </c>
      <c r="Q12" s="5">
        <f t="shared" si="16"/>
        <v>-469.48769738641249</v>
      </c>
      <c r="R12" s="59">
        <f>IF('2021 Lønnsgr arbavg tjeneste'!F12&lt;100,0,(C12/$C$17)*'2021 Revekting utgiftsbehov'!F12*'2021 Arbavg tjeneste'!F12/'2021 Lønnsgr arbavg tjeneste'!F12)</f>
        <v>6.5903943731185823E-3</v>
      </c>
      <c r="S12" s="5">
        <f>IF('2021 Lønnsgr arbavg tjeneste'!F12&lt;100,0,C12)</f>
        <v>309508</v>
      </c>
      <c r="T12" s="59">
        <f>'2021 Revekting utgiftsbehov'!F12*S12/$S$17</f>
        <v>4.6625742868086975E-2</v>
      </c>
      <c r="U12" s="59">
        <f>'2021 Revekting utgiftsbehov'!F12/$T$17</f>
        <v>0.8137563589711958</v>
      </c>
      <c r="V12" s="59">
        <f>IF(S12=0,0,(S12/$S$17)*U12*'2021 Arbavg tjeneste'!F12/'2021 Lønnsgr arbavg tjeneste'!F12)</f>
        <v>6.5903943648513621E-3</v>
      </c>
      <c r="W12" s="5">
        <f>IF(S12=0,0,'2021 Nto driftsutg landet'!$C$7*'2021 Lønnsand og arbavg landet'!$D$8*('2021 Arbavg tjeneste'!F12/'2021 Lønnsgr arbavg tjeneste'!F12-$V$17)*'2021 Revekting utgiftsbehov'!F12)</f>
        <v>0.26557173867080158</v>
      </c>
      <c r="X12" s="5">
        <f t="shared" si="17"/>
        <v>82.196577692522453</v>
      </c>
      <c r="Y12" s="59">
        <f>IF('2021 Lønnsgr arbavg tjeneste'!G12&lt;100,0,(C12/$C$17)*'2021 Revekting utgiftsbehov'!G12*'2021 Arbavg tjeneste'!G12/'2021 Lønnsgr arbavg tjeneste'!G12)</f>
        <v>1.923254159112531E-3</v>
      </c>
      <c r="Z12" s="5">
        <f>IF('2021 Lønnsgr arbavg tjeneste'!G12&lt;100,0,C12)</f>
        <v>309508</v>
      </c>
      <c r="AA12" s="59">
        <f>'2021 Revekting utgiftsbehov'!G12*Z12/$Z$17</f>
        <v>3.086391953240062E-2</v>
      </c>
      <c r="AB12" s="59">
        <f>'2021 Revekting utgiftsbehov'!G12/$AA$17</f>
        <v>0.14119805681232675</v>
      </c>
      <c r="AC12" s="59">
        <f>IF(Z12=0,0,(Z12/$Z$17)*AB12*'2021 Arbavg tjeneste'!G12/'2021 Lønnsgr arbavg tjeneste'!G12)</f>
        <v>2.5910357216737652E-3</v>
      </c>
      <c r="AD12" s="5">
        <f>IF(Z12=0,0,'2021 Nto driftsutg landet'!$C$8*'2021 Lønnsand og arbavg landet'!$D$9*('2021 Arbavg tjeneste'!G12/'2021 Lønnsgr arbavg tjeneste'!G12-$AC$17)*'2021 Revekting utgiftsbehov'!G12)</f>
        <v>6.3850993033519085E-2</v>
      </c>
      <c r="AE12" s="5">
        <f t="shared" si="18"/>
        <v>19.762393151818426</v>
      </c>
      <c r="AF12" s="59">
        <f>IF('2021 Lønnsgr arbavg tjeneste'!H12&lt;100,0,(C12/$C$17)*'2021 Revekting utgiftsbehov'!H12*'2021 Arbavg tjeneste'!H12/'2021 Lønnsgr arbavg tjeneste'!H12)</f>
        <v>8.2705238977788861E-3</v>
      </c>
      <c r="AG12" s="5">
        <f>IF('2021 Lønnsgr arbavg tjeneste'!H12&lt;100,0,C12)</f>
        <v>309508</v>
      </c>
      <c r="AH12" s="59">
        <f>'2021 Revekting utgiftsbehov'!H12*AG12/$AG$17</f>
        <v>6.0086267547513679E-2</v>
      </c>
      <c r="AI12" s="59">
        <f>'2021 Revekting utgiftsbehov'!H12/$AH$17</f>
        <v>1.048682108285214</v>
      </c>
      <c r="AJ12" s="59">
        <f>IF(AG12=0,0,(AG12/$AG$17)*AI12*'2021 Arbavg tjeneste'!H12/'2021 Lønnsgr arbavg tjeneste'!H12)</f>
        <v>8.2705238920785708E-3</v>
      </c>
      <c r="AK12" s="5">
        <f>IF(AG12=0,0,'2021 Nto driftsutg landet'!$C$9*'2021 Lønnsand og arbavg landet'!$D$10*('2021 Arbavg tjeneste'!H12/'2021 Lønnsgr arbavg tjeneste'!H12-$AJ$17)*'2021 Revekting utgiftsbehov'!H12)</f>
        <v>3.8949710414185073</v>
      </c>
      <c r="AL12" s="5">
        <f t="shared" si="19"/>
        <v>1205.5246970873593</v>
      </c>
      <c r="AM12" s="59">
        <f>IF('2021 Lønnsgr arbavg tjeneste'!K12&lt;100,0,(C12/$C$17)*'2021 Arbavg tjeneste'!K12/'2021 Lønnsgr arbavg tjeneste'!K12)</f>
        <v>7.109815959341158E-3</v>
      </c>
      <c r="AN12" s="5">
        <f>IF('2021 Lønnsgr arbavg tjeneste'!K12&lt;100,0,C12)</f>
        <v>309508</v>
      </c>
      <c r="AO12" s="59">
        <f t="shared" si="3"/>
        <v>5.7296932055370176E-2</v>
      </c>
      <c r="AP12" s="59">
        <f t="shared" si="4"/>
        <v>0.99999999931076733</v>
      </c>
      <c r="AQ12" s="59">
        <f>IF(AN12=0,0,(AN12/$AN$17)*AP12*'2021 Arbavg tjeneste'!K12/'2021 Lønnsgr arbavg tjeneste'!K12)</f>
        <v>7.10981595444084E-3</v>
      </c>
      <c r="AR12" s="5">
        <f>IF(AN12=0,0,'2021 Nto driftsutg landet'!$C$23*'2021 Lønnsand og arbavg landet'!$D$13*('2021 Arbavg tjeneste'!K12/'2021 Lønnsgr arbavg tjeneste'!K12-$AQ$17))</f>
        <v>10.974036849526613</v>
      </c>
      <c r="AS12" s="5">
        <f t="shared" si="20"/>
        <v>3396.5521972232827</v>
      </c>
      <c r="AT12" s="59">
        <f>IF('2021 Lønnsgr arbavg tjeneste'!L12&lt;100,0,(C12/$C$17)*'2021 Arbavg tjeneste'!L12/'2021 Lønnsgr arbavg tjeneste'!L12)</f>
        <v>8.0998328158230146E-3</v>
      </c>
      <c r="AU12" s="5">
        <f>IF('2021 Lønnsgr arbavg tjeneste'!L12&lt;100,0,C12)</f>
        <v>309508</v>
      </c>
      <c r="AV12" s="59">
        <f t="shared" si="5"/>
        <v>6.5772761090392817E-2</v>
      </c>
      <c r="AW12" s="59">
        <f t="shared" si="6"/>
        <v>1</v>
      </c>
      <c r="AX12" s="59">
        <f>IF(AU12=0,0,(AU12/$AU$17)*AW12*'2021 Arbavg tjeneste'!L12/'2021 Lønnsgr arbavg tjeneste'!L12)</f>
        <v>9.2980260819622504E-3</v>
      </c>
      <c r="AY12" s="5">
        <f>IF(AU12=0,0,'2021 Nto driftsutg landet'!$C$24*'2021 Lønnsand og arbavg landet'!$D$14*('2021 Arbavg tjeneste'!L12/'2021 Lønnsgr arbavg tjeneste'!L12-$AX$17))</f>
        <v>0.52078635310281352</v>
      </c>
      <c r="AZ12" s="5">
        <f t="shared" si="21"/>
        <v>161.1875425761456</v>
      </c>
      <c r="BA12" s="59">
        <f>IF('2021 Lønnsgr arbavg tjeneste'!M12&lt;100,0,(C12/$C$17)*'2021 Arbavg tjeneste'!M12/'2021 Lønnsgr arbavg tjeneste'!M12)</f>
        <v>8.1275824325238756E-3</v>
      </c>
      <c r="BB12" s="5">
        <f>IF('2021 Lønnsgr arbavg tjeneste'!M12&lt;100,0,C12)</f>
        <v>309508</v>
      </c>
      <c r="BC12" s="59">
        <f t="shared" si="7"/>
        <v>6.5772761090392817E-2</v>
      </c>
      <c r="BD12" s="59">
        <f t="shared" si="8"/>
        <v>1</v>
      </c>
      <c r="BE12" s="59">
        <f>IF(BB12=0,0,(BB12/$BB$17)*BD12*'2021 Arbavg tjeneste'!M12/'2021 Lønnsgr arbavg tjeneste'!M12)</f>
        <v>9.3298806480645331E-3</v>
      </c>
      <c r="BF12" s="5">
        <f>IF(BB12=0,0,'2021 Nto driftsutg landet'!$C$25*'2021 Lønnsand og arbavg landet'!$D$15*('2021 Arbavg tjeneste'!M12/'2021 Lønnsgr arbavg tjeneste'!M12-$BE$17))</f>
        <v>5.6448037378691279E-2</v>
      </c>
      <c r="BG12" s="5">
        <f t="shared" si="22"/>
        <v>17.471119153003979</v>
      </c>
      <c r="BH12" s="59">
        <f>IF('2021 Lønnsgr arbavg tjeneste'!N12&lt;100,0,(C12/$C$17)*'2021 Arbavg tjeneste'!N12/'2021 Lønnsgr arbavg tjeneste'!N12)</f>
        <v>8.1460552162448616E-3</v>
      </c>
      <c r="BI12" s="5">
        <f>IF('2021 Lønnsgr arbavg tjeneste'!N12&lt;100,0,C12)</f>
        <v>309508</v>
      </c>
      <c r="BJ12" s="59">
        <f t="shared" si="9"/>
        <v>5.7296932055370176E-2</v>
      </c>
      <c r="BK12" s="59">
        <f t="shared" si="10"/>
        <v>1</v>
      </c>
      <c r="BL12" s="59">
        <f>IF(BI12=0,0,(BI12/$BI$17)*BK12*'2021 Arbavg tjeneste'!N12/'2021 Lønnsgr arbavg tjeneste'!N12)</f>
        <v>8.1460552162448616E-3</v>
      </c>
      <c r="BM12" s="5">
        <f>IF(BI12=0,0,'2021 Nto driftsutg landet'!$C$26*'2021 Lønnsand og arbavg landet'!$D$16*('2021 Arbavg tjeneste'!N12/'2021 Lønnsgr arbavg tjeneste'!N12-$BL$17))</f>
        <v>0.36967700778375323</v>
      </c>
      <c r="BN12" s="5">
        <f t="shared" si="23"/>
        <v>114.4179913251339</v>
      </c>
      <c r="BO12" s="59">
        <f>IF('2021 Lønnsgr arbavg tjeneste'!O12&lt;100,0,(C12/$C$17)*'2021 Arbavg tjeneste'!O12/'2021 Lønnsgr arbavg tjeneste'!O12)</f>
        <v>0</v>
      </c>
      <c r="BP12" s="5">
        <f>IF('2021 Lønnsgr arbavg tjeneste'!O12&lt;100,0,C12)</f>
        <v>0</v>
      </c>
      <c r="BQ12" s="59">
        <f t="shared" si="11"/>
        <v>0</v>
      </c>
      <c r="BR12" s="59">
        <f t="shared" si="12"/>
        <v>1</v>
      </c>
      <c r="BS12" s="59">
        <f>IF(BP12=0,0,(BP12/$BP$17)*BR12*'2021 Arbavg tjeneste'!O12/'2021 Lønnsgr arbavg tjeneste'!O12)</f>
        <v>0</v>
      </c>
      <c r="BT12" s="5">
        <f>IF(BP12=0,0,'2021 Nto driftsutg landet'!$C$27*'2021 Lønnsand og arbavg landet'!$D$17*('2021 Arbavg tjeneste'!O12/'2021 Lønnsgr arbavg tjeneste'!O12-$BS$17))</f>
        <v>0</v>
      </c>
      <c r="BU12" s="5">
        <f t="shared" si="24"/>
        <v>0</v>
      </c>
      <c r="BV12" s="59">
        <f>IF('2021 Lønnsgr arbavg tjeneste'!P12&lt;100,0,(C12/$C$17)*'2021 Arbavg tjeneste'!P12/'2021 Lønnsgr arbavg tjeneste'!P12)</f>
        <v>0</v>
      </c>
      <c r="BW12" s="5">
        <f>IF('2021 Lønnsgr arbavg tjeneste'!P12&lt;100,0,C12)</f>
        <v>0</v>
      </c>
      <c r="BX12" s="59">
        <f t="shared" si="13"/>
        <v>0</v>
      </c>
      <c r="BY12" s="59">
        <f t="shared" si="14"/>
        <v>1</v>
      </c>
      <c r="BZ12" s="59">
        <f>IF(BW12=0,0,(BW12/$BW$17)*BY12*'2021 Arbavg tjeneste'!P12/'2021 Lønnsgr arbavg tjeneste'!P12)</f>
        <v>0</v>
      </c>
      <c r="CA12" s="5">
        <f>IF(BW12=0,0,'2021 Nto driftsutg landet'!$C$28*'2021 Lønnsand og arbavg landet'!$D$18*('2021 Arbavg tjeneste'!P12/'2021 Lønnsgr arbavg tjeneste'!P12-$BZ$17))</f>
        <v>0</v>
      </c>
      <c r="CB12" s="5">
        <f t="shared" si="25"/>
        <v>0</v>
      </c>
      <c r="CC12" s="5"/>
      <c r="CD12" s="5"/>
      <c r="CE12" s="5"/>
    </row>
    <row r="13" spans="1:83" x14ac:dyDescent="0.3">
      <c r="A13" s="43">
        <v>4600</v>
      </c>
      <c r="B13" s="44" t="s">
        <v>396</v>
      </c>
      <c r="C13" s="44">
        <f>+'2021 Nto driftsutg'!W13</f>
        <v>639102</v>
      </c>
      <c r="D13" s="59">
        <f>IF('2021 Lønnsgr arbavg tjeneste'!D13&lt;100,0,(C13/$C$17)*'2021 Revekting utgiftsbehov'!D13*'2021 Arbavg tjeneste'!D13/'2021 Lønnsgr arbavg tjeneste'!D13)</f>
        <v>1.7018850487831257E-2</v>
      </c>
      <c r="E13" s="5">
        <f>IF('2021 Lønnsgr arbavg tjeneste'!D13&lt;100,0,C13)</f>
        <v>639102</v>
      </c>
      <c r="F13" s="59">
        <f>'2021 Revekting utgiftsbehov'!D13*E13/$E$17</f>
        <v>0.12573173284162306</v>
      </c>
      <c r="G13" s="59">
        <f>'2021 Revekting utgiftsbehov'!D13/$F$17</f>
        <v>1.0627111444206745</v>
      </c>
      <c r="H13" s="59">
        <f>IF(E13=0,0,(E13/$E$17)*G13*'2021 Arbavg tjeneste'!D13/'2021 Lønnsgr arbavg tjeneste'!D13)</f>
        <v>1.7018850489443522E-2</v>
      </c>
      <c r="I13" s="5">
        <f>IF(E13=0,0,'2021 Nto driftsutg landet'!$C$5*'2021 Lønnsand og arbavg landet'!$D$6*('2021 Arbavg tjeneste'!D13/'2021 Lønnsgr arbavg tjeneste'!D13-$H$17)*'2021 Revekting utgiftsbehov'!D13)</f>
        <v>30.418417442356827</v>
      </c>
      <c r="J13" s="5">
        <f t="shared" si="15"/>
        <v>19440.471424245134</v>
      </c>
      <c r="K13" s="59">
        <f>IF('2021 Lønnsgr arbavg tjeneste'!E13&lt;100,0,(C13/$C$17)*'2021 Revekting utgiftsbehov'!E13*'2021 Arbavg tjeneste'!E13/'2021 Lønnsgr arbavg tjeneste'!E13)</f>
        <v>5.9769532095977788E-2</v>
      </c>
      <c r="L13" s="5">
        <f>IF('2021 Lønnsgr arbavg tjeneste'!E13&lt;100,0,C13)</f>
        <v>639102</v>
      </c>
      <c r="M13" s="59">
        <f>'2021 Revekting utgiftsbehov'!E13*L13/$L$17</f>
        <v>0.16021624310950314</v>
      </c>
      <c r="N13" s="59">
        <f>'2021 Revekting utgiftsbehov'!E13/$M$17</f>
        <v>1.0651693755715832</v>
      </c>
      <c r="O13" s="59">
        <f>IF(L13=0,0,(L13/$L$17)*N13*'2021 Arbavg tjeneste'!E13/'2021 Lønnsgr arbavg tjeneste'!E13)</f>
        <v>6.1951390745578212E-2</v>
      </c>
      <c r="P13" s="5">
        <f>IF(L13=0,0,'2021 Nto driftsutg landet'!$C$6*'2021 Lønnsand og arbavg landet'!$D$7*('2021 Arbavg tjeneste'!E13/'2021 Lønnsgr arbavg tjeneste'!E13-$O$17)*'2021 Revekting utgiftsbehov'!E13)</f>
        <v>35.057370260577471</v>
      </c>
      <c r="Q13" s="5">
        <f t="shared" si="16"/>
        <v>22405.235448275584</v>
      </c>
      <c r="R13" s="59">
        <f>IF('2021 Lønnsgr arbavg tjeneste'!F13&lt;100,0,(C13/$C$17)*'2021 Revekting utgiftsbehov'!F13*'2021 Arbavg tjeneste'!F13/'2021 Lønnsgr arbavg tjeneste'!F13)</f>
        <v>1.6862380722911206E-2</v>
      </c>
      <c r="S13" s="5">
        <f>IF('2021 Lønnsgr arbavg tjeneste'!F13&lt;100,0,C13)</f>
        <v>639102</v>
      </c>
      <c r="T13" s="59">
        <f>'2021 Revekting utgiftsbehov'!F13*S13/$S$17</f>
        <v>0.11835702400825136</v>
      </c>
      <c r="U13" s="59">
        <f>'2021 Revekting utgiftsbehov'!F13/$T$17</f>
        <v>1.0003785474170903</v>
      </c>
      <c r="V13" s="59">
        <f>IF(S13=0,0,(S13/$S$17)*U13*'2021 Arbavg tjeneste'!F13/'2021 Lønnsgr arbavg tjeneste'!F13)</f>
        <v>1.686238070175845E-2</v>
      </c>
      <c r="W13" s="5">
        <f>IF(S13=0,0,'2021 Nto driftsutg landet'!$C$7*'2021 Lønnsand og arbavg landet'!$D$8*('2021 Arbavg tjeneste'!F13/'2021 Lønnsgr arbavg tjeneste'!F13-$V$17)*'2021 Revekting utgiftsbehov'!F13)</f>
        <v>0.37344677638821355</v>
      </c>
      <c r="X13" s="5">
        <f t="shared" si="17"/>
        <v>238.67058168326008</v>
      </c>
      <c r="Y13" s="59">
        <f>IF('2021 Lønnsgr arbavg tjeneste'!G13&lt;100,0,(C13/$C$17)*'2021 Revekting utgiftsbehov'!G13*'2021 Arbavg tjeneste'!G13/'2021 Lønnsgr arbavg tjeneste'!G13)</f>
        <v>0</v>
      </c>
      <c r="Z13" s="5">
        <f>IF('2021 Lønnsgr arbavg tjeneste'!G13&lt;100,0,C13)</f>
        <v>0</v>
      </c>
      <c r="AA13" s="59">
        <f>'2021 Revekting utgiftsbehov'!G13*Z13/$Z$17</f>
        <v>0</v>
      </c>
      <c r="AB13" s="59">
        <f>'2021 Revekting utgiftsbehov'!G13/$AA$17</f>
        <v>1.1558749755762698</v>
      </c>
      <c r="AC13" s="59">
        <f>IF(Z13=0,0,(Z13/$Z$17)*AB13*'2021 Arbavg tjeneste'!G13/'2021 Lønnsgr arbavg tjeneste'!G13)</f>
        <v>0</v>
      </c>
      <c r="AD13" s="5">
        <f>IF(Z13=0,0,'2021 Nto driftsutg landet'!$C$8*'2021 Lønnsand og arbavg landet'!$D$9*('2021 Arbavg tjeneste'!G13/'2021 Lønnsgr arbavg tjeneste'!G13-$AC$17)*'2021 Revekting utgiftsbehov'!G13)</f>
        <v>0</v>
      </c>
      <c r="AE13" s="5">
        <f t="shared" si="18"/>
        <v>0</v>
      </c>
      <c r="AF13" s="59">
        <f>IF('2021 Lønnsgr arbavg tjeneste'!H13&lt;100,0,(C13/$C$17)*'2021 Revekting utgiftsbehov'!H13*'2021 Arbavg tjeneste'!H13/'2021 Lønnsgr arbavg tjeneste'!H13)</f>
        <v>1.6477953939729943E-2</v>
      </c>
      <c r="AG13" s="5">
        <f>IF('2021 Lønnsgr arbavg tjeneste'!H13&lt;100,0,C13)</f>
        <v>639102</v>
      </c>
      <c r="AH13" s="59">
        <f>'2021 Revekting utgiftsbehov'!H13*AG13/$AG$17</f>
        <v>0.12154839856715724</v>
      </c>
      <c r="AI13" s="59">
        <f>'2021 Revekting utgiftsbehov'!H13/$AH$17</f>
        <v>1.0273527193429148</v>
      </c>
      <c r="AJ13" s="59">
        <f>IF(AG13=0,0,(AG13/$AG$17)*AI13*'2021 Arbavg tjeneste'!H13/'2021 Lønnsgr arbavg tjeneste'!H13)</f>
        <v>1.6477953928372799E-2</v>
      </c>
      <c r="AK13" s="5">
        <f>IF(AG13=0,0,'2021 Nto driftsutg landet'!$C$9*'2021 Lønnsand og arbavg landet'!$D$10*('2021 Arbavg tjeneste'!H13/'2021 Lønnsgr arbavg tjeneste'!H13-$AJ$17)*'2021 Revekting utgiftsbehov'!H13)</f>
        <v>3.1296958676674764</v>
      </c>
      <c r="AL13" s="5">
        <f t="shared" si="19"/>
        <v>2000.1948884180194</v>
      </c>
      <c r="AM13" s="59">
        <f>IF('2021 Lønnsgr arbavg tjeneste'!K13&lt;100,0,(C13/$C$17)*'2021 Arbavg tjeneste'!K13/'2021 Lønnsgr arbavg tjeneste'!K13)</f>
        <v>1.661234777151983E-2</v>
      </c>
      <c r="AN13" s="5">
        <f>IF('2021 Lønnsgr arbavg tjeneste'!K13&lt;100,0,C13)</f>
        <v>639102</v>
      </c>
      <c r="AO13" s="59">
        <f t="shared" si="3"/>
        <v>0.11831223706802793</v>
      </c>
      <c r="AP13" s="59">
        <f t="shared" si="4"/>
        <v>0.99999999931076733</v>
      </c>
      <c r="AQ13" s="59">
        <f>IF(AN13=0,0,(AN13/$AN$17)*AP13*'2021 Arbavg tjeneste'!K13/'2021 Lønnsgr arbavg tjeneste'!K13)</f>
        <v>1.6612347760070055E-2</v>
      </c>
      <c r="AR13" s="5">
        <f>IF(AN13=0,0,'2021 Nto driftsutg landet'!$C$23*'2021 Lønnsand og arbavg landet'!$D$13*('2021 Arbavg tjeneste'!K13/'2021 Lønnsgr arbavg tjeneste'!K13-$AQ$17))</f>
        <v>17.987058356183464</v>
      </c>
      <c r="AS13" s="5">
        <f t="shared" si="20"/>
        <v>11495.564969553563</v>
      </c>
      <c r="AT13" s="59">
        <f>IF('2021 Lønnsgr arbavg tjeneste'!L13&lt;100,0,(C13/$C$17)*'2021 Arbavg tjeneste'!L13/'2021 Lønnsgr arbavg tjeneste'!L13)</f>
        <v>1.6201726771838513E-2</v>
      </c>
      <c r="AU13" s="5">
        <f>IF('2021 Lønnsgr arbavg tjeneste'!L13&lt;100,0,C13)</f>
        <v>639102</v>
      </c>
      <c r="AV13" s="59">
        <f t="shared" si="5"/>
        <v>0.13581394716256842</v>
      </c>
      <c r="AW13" s="59">
        <f t="shared" si="6"/>
        <v>1</v>
      </c>
      <c r="AX13" s="59">
        <f>IF(AU13=0,0,(AU13/$AU$17)*AW13*'2021 Arbavg tjeneste'!L13/'2021 Lønnsgr arbavg tjeneste'!L13)</f>
        <v>1.8598418204768066E-2</v>
      </c>
      <c r="AY13" s="5">
        <f>IF(AU13=0,0,'2021 Nto driftsutg landet'!$C$24*'2021 Lønnsand og arbavg landet'!$D$14*('2021 Arbavg tjeneste'!L13/'2021 Lønnsgr arbavg tjeneste'!L13-$AX$17))</f>
        <v>0.29042818078754995</v>
      </c>
      <c r="AZ13" s="5">
        <f t="shared" si="21"/>
        <v>185.61323119768474</v>
      </c>
      <c r="BA13" s="59">
        <f>IF('2021 Lønnsgr arbavg tjeneste'!M13&lt;100,0,(C13/$C$17)*'2021 Arbavg tjeneste'!M13/'2021 Lønnsgr arbavg tjeneste'!M13)</f>
        <v>1.6104121842629125E-2</v>
      </c>
      <c r="BB13" s="5">
        <f>IF('2021 Lønnsgr arbavg tjeneste'!M13&lt;100,0,C13)</f>
        <v>639102</v>
      </c>
      <c r="BC13" s="59">
        <f t="shared" si="7"/>
        <v>0.13581394716256842</v>
      </c>
      <c r="BD13" s="59">
        <f t="shared" si="8"/>
        <v>1</v>
      </c>
      <c r="BE13" s="59">
        <f>IF(BB13=0,0,(BB13/$BB$17)*BD13*'2021 Arbavg tjeneste'!M13/'2021 Lønnsgr arbavg tjeneste'!M13)</f>
        <v>1.8486374759162115E-2</v>
      </c>
      <c r="BF13" s="5">
        <f>IF(BB13=0,0,'2021 Nto driftsutg landet'!$C$25*'2021 Lønnsand og arbavg landet'!$D$15*('2021 Arbavg tjeneste'!M13/'2021 Lønnsgr arbavg tjeneste'!M13-$BE$17))</f>
        <v>2.3983495443643584E-2</v>
      </c>
      <c r="BG13" s="5">
        <f t="shared" si="22"/>
        <v>15.327899905023502</v>
      </c>
      <c r="BH13" s="59">
        <f>IF('2021 Lønnsgr arbavg tjeneste'!N13&lt;100,0,(C13/$C$17)*'2021 Arbavg tjeneste'!N13/'2021 Lønnsgr arbavg tjeneste'!N13)</f>
        <v>1.5643527864068436E-2</v>
      </c>
      <c r="BI13" s="5">
        <f>IF('2021 Lønnsgr arbavg tjeneste'!N13&lt;100,0,C13)</f>
        <v>639102</v>
      </c>
      <c r="BJ13" s="59">
        <f t="shared" si="9"/>
        <v>0.11831223706802793</v>
      </c>
      <c r="BK13" s="59">
        <f t="shared" si="10"/>
        <v>1</v>
      </c>
      <c r="BL13" s="59">
        <f>IF(BI13=0,0,(BI13/$BI$17)*BK13*'2021 Arbavg tjeneste'!N13/'2021 Lønnsgr arbavg tjeneste'!N13)</f>
        <v>1.5643527864068436E-2</v>
      </c>
      <c r="BM13" s="5">
        <f>IF(BI13=0,0,'2021 Nto driftsutg landet'!$C$26*'2021 Lønnsand og arbavg landet'!$D$16*('2021 Arbavg tjeneste'!N13/'2021 Lønnsgr arbavg tjeneste'!N13-$BL$17))</f>
        <v>7.9236795095055101E-2</v>
      </c>
      <c r="BN13" s="5">
        <f t="shared" si="23"/>
        <v>50.640394218839909</v>
      </c>
      <c r="BO13" s="59">
        <f>IF('2021 Lønnsgr arbavg tjeneste'!O13&lt;100,0,(C13/$C$17)*'2021 Arbavg tjeneste'!O13/'2021 Lønnsgr arbavg tjeneste'!O13)</f>
        <v>0</v>
      </c>
      <c r="BP13" s="5">
        <f>IF('2021 Lønnsgr arbavg tjeneste'!O13&lt;100,0,C13)</f>
        <v>0</v>
      </c>
      <c r="BQ13" s="59">
        <f t="shared" si="11"/>
        <v>0</v>
      </c>
      <c r="BR13" s="59">
        <f t="shared" si="12"/>
        <v>1</v>
      </c>
      <c r="BS13" s="59">
        <f>IF(BP13=0,0,(BP13/$BP$17)*BR13*'2021 Arbavg tjeneste'!O13/'2021 Lønnsgr arbavg tjeneste'!O13)</f>
        <v>0</v>
      </c>
      <c r="BT13" s="5">
        <f>IF(BP13=0,0,'2021 Nto driftsutg landet'!$C$27*'2021 Lønnsand og arbavg landet'!$D$17*('2021 Arbavg tjeneste'!O13/'2021 Lønnsgr arbavg tjeneste'!O13-$BS$17))</f>
        <v>0</v>
      </c>
      <c r="BU13" s="5">
        <f t="shared" si="24"/>
        <v>0</v>
      </c>
      <c r="BV13" s="59">
        <f>IF('2021 Lønnsgr arbavg tjeneste'!P13&lt;100,0,(C13/$C$17)*'2021 Arbavg tjeneste'!P13/'2021 Lønnsgr arbavg tjeneste'!P13)</f>
        <v>1.672605430483555E-2</v>
      </c>
      <c r="BW13" s="5">
        <f>IF('2021 Lønnsgr arbavg tjeneste'!P13&lt;100,0,C13)</f>
        <v>639102</v>
      </c>
      <c r="BX13" s="59">
        <f t="shared" si="13"/>
        <v>0.20962885869563436</v>
      </c>
      <c r="BY13" s="59">
        <f t="shared" si="14"/>
        <v>1</v>
      </c>
      <c r="BZ13" s="59">
        <f>IF(BW13=0,0,(BW13/$BW$17)*BY13*'2021 Arbavg tjeneste'!P13/'2021 Lønnsgr arbavg tjeneste'!P13)</f>
        <v>2.9635680647199868E-2</v>
      </c>
      <c r="CA13" s="5">
        <f>IF(BW13=0,0,'2021 Nto driftsutg landet'!$C$28*'2021 Lønnsand og arbavg landet'!$D$18*('2021 Arbavg tjeneste'!P13/'2021 Lønnsgr arbavg tjeneste'!P13-$BZ$17))</f>
        <v>3.0434349245022068E-4</v>
      </c>
      <c r="CB13" s="5">
        <f t="shared" si="25"/>
        <v>0.19450653471192095</v>
      </c>
      <c r="CC13" s="5"/>
      <c r="CD13" s="5"/>
      <c r="CE13" s="5"/>
    </row>
    <row r="14" spans="1:83" x14ac:dyDescent="0.3">
      <c r="A14" s="43">
        <v>5000</v>
      </c>
      <c r="B14" s="44" t="s">
        <v>390</v>
      </c>
      <c r="C14" s="44">
        <f>+'2021 Nto driftsutg'!W14</f>
        <v>470984</v>
      </c>
      <c r="D14" s="59">
        <f>IF('2021 Lønnsgr arbavg tjeneste'!D14&lt;100,0,(C14/$C$17)*'2021 Revekting utgiftsbehov'!D14*'2021 Arbavg tjeneste'!D14/'2021 Lønnsgr arbavg tjeneste'!D14)</f>
        <v>1.1055276779480715E-2</v>
      </c>
      <c r="E14" s="5">
        <f>IF('2021 Lønnsgr arbavg tjeneste'!D14&lt;100,0,C14)</f>
        <v>470984</v>
      </c>
      <c r="F14" s="59">
        <f>'2021 Revekting utgiftsbehov'!D14*E14/$E$17</f>
        <v>8.828599008815638E-2</v>
      </c>
      <c r="G14" s="59">
        <f>'2021 Revekting utgiftsbehov'!D14/$F$17</f>
        <v>1.0125725469509248</v>
      </c>
      <c r="H14" s="59">
        <f>IF(E14=0,0,(E14/$E$17)*G14*'2021 Arbavg tjeneste'!D14/'2021 Lønnsgr arbavg tjeneste'!D14)</f>
        <v>1.1055276780528023E-2</v>
      </c>
      <c r="I14" s="5">
        <f>IF(E14=0,0,'2021 Nto driftsutg landet'!$C$5*'2021 Lønnsand og arbavg landet'!$D$6*('2021 Arbavg tjeneste'!D14/'2021 Lønnsgr arbavg tjeneste'!D14-$H$17)*'2021 Revekting utgiftsbehov'!D14)</f>
        <v>-10.062446896319006</v>
      </c>
      <c r="J14" s="5">
        <f t="shared" si="15"/>
        <v>-4739.2514890159109</v>
      </c>
      <c r="K14" s="59">
        <f>IF('2021 Lønnsgr arbavg tjeneste'!E14&lt;100,0,(C14/$C$17)*'2021 Revekting utgiftsbehov'!E14*'2021 Arbavg tjeneste'!E14/'2021 Lønnsgr arbavg tjeneste'!E14)</f>
        <v>2.8566268054908417E-2</v>
      </c>
      <c r="L14" s="5">
        <f>IF('2021 Lønnsgr arbavg tjeneste'!E14&lt;100,0,C14)</f>
        <v>470984</v>
      </c>
      <c r="M14" s="59">
        <f>'2021 Revekting utgiftsbehov'!E14*L14/$L$17</f>
        <v>0.12953736681829434</v>
      </c>
      <c r="N14" s="59">
        <f>'2021 Revekting utgiftsbehov'!E14/$M$17</f>
        <v>1.1686143511405822</v>
      </c>
      <c r="O14" s="59">
        <f>IF(L14=0,0,(L14/$L$17)*N14*'2021 Arbavg tjeneste'!E14/'2021 Lønnsgr arbavg tjeneste'!E14)</f>
        <v>2.9609066230780377E-2</v>
      </c>
      <c r="P14" s="5">
        <f>IF(L14=0,0,'2021 Nto driftsutg landet'!$C$6*'2021 Lønnsand og arbavg landet'!$D$7*('2021 Arbavg tjeneste'!E14/'2021 Lønnsgr arbavg tjeneste'!E14-$O$17)*'2021 Revekting utgiftsbehov'!E14)</f>
        <v>6.667146309679473</v>
      </c>
      <c r="Q14" s="5">
        <f t="shared" si="16"/>
        <v>3140.1192375180767</v>
      </c>
      <c r="R14" s="59">
        <f>IF('2021 Lønnsgr arbavg tjeneste'!F14&lt;100,0,(C14/$C$17)*'2021 Revekting utgiftsbehov'!F14*'2021 Arbavg tjeneste'!F14/'2021 Lønnsgr arbavg tjeneste'!F14)</f>
        <v>1.2798313600013052E-2</v>
      </c>
      <c r="S14" s="5">
        <f>IF('2021 Lønnsgr arbavg tjeneste'!F14&lt;100,0,C14)</f>
        <v>470984</v>
      </c>
      <c r="T14" s="59">
        <f>'2021 Revekting utgiftsbehov'!F14*S14/$S$17</f>
        <v>9.1997645338258452E-2</v>
      </c>
      <c r="U14" s="59">
        <f>'2021 Revekting utgiftsbehov'!F14/$T$17</f>
        <v>1.055142382556393</v>
      </c>
      <c r="V14" s="59">
        <f>IF(S14=0,0,(S14/$S$17)*U14*'2021 Arbavg tjeneste'!F14/'2021 Lønnsgr arbavg tjeneste'!F14)</f>
        <v>1.2798313583958405E-2</v>
      </c>
      <c r="W14" s="5">
        <f>IF(S14=0,0,'2021 Nto driftsutg landet'!$C$7*'2021 Lønnsand og arbavg landet'!$D$8*('2021 Arbavg tjeneste'!F14/'2021 Lønnsgr arbavg tjeneste'!F14-$V$17)*'2021 Revekting utgiftsbehov'!F14)</f>
        <v>0.24599445817518412</v>
      </c>
      <c r="X14" s="5">
        <f t="shared" si="17"/>
        <v>115.85945388918093</v>
      </c>
      <c r="Y14" s="59">
        <f>IF('2021 Lønnsgr arbavg tjeneste'!G14&lt;100,0,(C14/$C$17)*'2021 Revekting utgiftsbehov'!G14*'2021 Arbavg tjeneste'!G14/'2021 Lønnsgr arbavg tjeneste'!G14)</f>
        <v>1.0289863181652158E-2</v>
      </c>
      <c r="Z14" s="5">
        <f>IF('2021 Lønnsgr arbavg tjeneste'!G14&lt;100,0,C14)</f>
        <v>470984</v>
      </c>
      <c r="AA14" s="59">
        <f>'2021 Revekting utgiftsbehov'!G14*Z14/$Z$17</f>
        <v>0.22496356287256355</v>
      </c>
      <c r="AB14" s="59">
        <f>'2021 Revekting utgiftsbehov'!G14/$AA$17</f>
        <v>0.67632516728819636</v>
      </c>
      <c r="AC14" s="59">
        <f>IF(Z14=0,0,(Z14/$Z$17)*AB14*'2021 Arbavg tjeneste'!G14/'2021 Lønnsgr arbavg tjeneste'!G14)</f>
        <v>1.3862651978924657E-2</v>
      </c>
      <c r="AD14" s="5">
        <f>IF(Z14=0,0,'2021 Nto driftsutg landet'!$C$8*'2021 Lønnsand og arbavg landet'!$D$9*('2021 Arbavg tjeneste'!G14/'2021 Lønnsgr arbavg tjeneste'!G14-$AC$17)*'2021 Revekting utgiftsbehov'!G14)</f>
        <v>7.546159518789379E-2</v>
      </c>
      <c r="AE14" s="5">
        <f t="shared" si="18"/>
        <v>35.541203947974964</v>
      </c>
      <c r="AF14" s="59">
        <f>IF('2021 Lønnsgr arbavg tjeneste'!H14&lt;100,0,(C14/$C$17)*'2021 Revekting utgiftsbehov'!H14*'2021 Arbavg tjeneste'!H14/'2021 Lønnsgr arbavg tjeneste'!H14)</f>
        <v>1.0342954283064856E-2</v>
      </c>
      <c r="AG14" s="5">
        <f>IF('2021 Lønnsgr arbavg tjeneste'!H14&lt;100,0,C14)</f>
        <v>470984</v>
      </c>
      <c r="AH14" s="59">
        <f>'2021 Revekting utgiftsbehov'!H14*AG14/$AG$17</f>
        <v>8.6577545829989833E-2</v>
      </c>
      <c r="AI14" s="59">
        <f>'2021 Revekting utgiftsbehov'!H14/$AH$17</f>
        <v>0.99297800175960704</v>
      </c>
      <c r="AJ14" s="59">
        <f>IF(AG14=0,0,(AG14/$AG$17)*AI14*'2021 Arbavg tjeneste'!H14/'2021 Lønnsgr arbavg tjeneste'!H14)</f>
        <v>1.0342954275936154E-2</v>
      </c>
      <c r="AK14" s="5">
        <f>IF(AG14=0,0,'2021 Nto driftsutg landet'!$C$9*'2021 Lønnsand og arbavg landet'!$D$10*('2021 Arbavg tjeneste'!H14/'2021 Lønnsgr arbavg tjeneste'!H14-$AJ$17)*'2021 Revekting utgiftsbehov'!H14)</f>
        <v>-2.1154889308684552</v>
      </c>
      <c r="AL14" s="5">
        <f t="shared" si="19"/>
        <v>-996.36143861614858</v>
      </c>
      <c r="AM14" s="59">
        <f>IF('2021 Lønnsgr arbavg tjeneste'!K14&lt;100,0,(C14/$C$17)*'2021 Arbavg tjeneste'!K14/'2021 Lønnsgr arbavg tjeneste'!K14)</f>
        <v>1.1521263982135084E-2</v>
      </c>
      <c r="AN14" s="5">
        <f>IF('2021 Lønnsgr arbavg tjeneste'!K14&lt;100,0,C14)</f>
        <v>470984</v>
      </c>
      <c r="AO14" s="59">
        <f t="shared" si="3"/>
        <v>8.7189792338700348E-2</v>
      </c>
      <c r="AP14" s="59">
        <f t="shared" si="4"/>
        <v>0.99999999931076733</v>
      </c>
      <c r="AQ14" s="59">
        <f>IF(AN14=0,0,(AN14/$AN$17)*AP14*'2021 Arbavg tjeneste'!K14/'2021 Lønnsgr arbavg tjeneste'!K14)</f>
        <v>1.1521263974194252E-2</v>
      </c>
      <c r="AR14" s="5">
        <f>IF(AN14=0,0,'2021 Nto driftsutg landet'!$C$23*'2021 Lønnsand og arbavg landet'!$D$13*('2021 Arbavg tjeneste'!K14/'2021 Lønnsgr arbavg tjeneste'!K14-$AQ$17))</f>
        <v>14.433684753650331</v>
      </c>
      <c r="AS14" s="5">
        <f t="shared" si="20"/>
        <v>6798.0345800132473</v>
      </c>
      <c r="AT14" s="59">
        <f>IF('2021 Lønnsgr arbavg tjeneste'!L14&lt;100,0,(C14/$C$17)*'2021 Arbavg tjeneste'!L14/'2021 Lønnsgr arbavg tjeneste'!L14)</f>
        <v>1.2036272591250927E-2</v>
      </c>
      <c r="AU14" s="5">
        <f>IF('2021 Lønnsgr arbavg tjeneste'!L14&lt;100,0,C14)</f>
        <v>470984</v>
      </c>
      <c r="AV14" s="59">
        <f t="shared" si="5"/>
        <v>0.10008761682863632</v>
      </c>
      <c r="AW14" s="59">
        <f t="shared" si="6"/>
        <v>1</v>
      </c>
      <c r="AX14" s="59">
        <f>IF(AU14=0,0,(AU14/$AU$17)*AW14*'2021 Arbavg tjeneste'!L14/'2021 Lønnsgr arbavg tjeneste'!L14)</f>
        <v>1.3816776102395031E-2</v>
      </c>
      <c r="AY14" s="5">
        <f>IF(AU14=0,0,'2021 Nto driftsutg landet'!$C$24*'2021 Lønnsand og arbavg landet'!$D$14*('2021 Arbavg tjeneste'!L14/'2021 Lønnsgr arbavg tjeneste'!L14-$AX$17))</f>
        <v>0.34801881885337282</v>
      </c>
      <c r="AZ14" s="5">
        <f t="shared" si="21"/>
        <v>163.91129537883694</v>
      </c>
      <c r="BA14" s="59">
        <f>IF('2021 Lønnsgr arbavg tjeneste'!M14&lt;100,0,(C14/$C$17)*'2021 Arbavg tjeneste'!M14/'2021 Lønnsgr arbavg tjeneste'!M14)</f>
        <v>1.0901532750535035E-2</v>
      </c>
      <c r="BB14" s="5">
        <f>IF('2021 Lønnsgr arbavg tjeneste'!M14&lt;100,0,C14)</f>
        <v>470984</v>
      </c>
      <c r="BC14" s="59">
        <f t="shared" si="7"/>
        <v>0.10008761682863632</v>
      </c>
      <c r="BD14" s="59">
        <f t="shared" si="8"/>
        <v>1</v>
      </c>
      <c r="BE14" s="59">
        <f>IF(BB14=0,0,(BB14/$BB$17)*BD14*'2021 Arbavg tjeneste'!M14/'2021 Lønnsgr arbavg tjeneste'!M14)</f>
        <v>1.2514176298778469E-2</v>
      </c>
      <c r="BF14" s="5">
        <f>IF(BB14=0,0,'2021 Nto driftsutg landet'!$C$25*'2021 Lønnsand og arbavg landet'!$D$15*('2021 Arbavg tjeneste'!M14/'2021 Lønnsgr arbavg tjeneste'!M14-$BE$17))</f>
        <v>-3.8758502539748219E-2</v>
      </c>
      <c r="BG14" s="5">
        <f t="shared" si="22"/>
        <v>-18.254634560180772</v>
      </c>
      <c r="BH14" s="59">
        <f>IF('2021 Lønnsgr arbavg tjeneste'!N14&lt;100,0,(C14/$C$17)*'2021 Arbavg tjeneste'!N14/'2021 Lønnsgr arbavg tjeneste'!N14)</f>
        <v>1.2023490947263769E-2</v>
      </c>
      <c r="BI14" s="5">
        <f>IF('2021 Lønnsgr arbavg tjeneste'!N14&lt;100,0,C14)</f>
        <v>470984</v>
      </c>
      <c r="BJ14" s="59">
        <f t="shared" si="9"/>
        <v>8.7189792338700348E-2</v>
      </c>
      <c r="BK14" s="59">
        <f t="shared" si="10"/>
        <v>1</v>
      </c>
      <c r="BL14" s="59">
        <f>IF(BI14=0,0,(BI14/$BI$17)*BK14*'2021 Arbavg tjeneste'!N14/'2021 Lønnsgr arbavg tjeneste'!N14)</f>
        <v>1.2023490947263769E-2</v>
      </c>
      <c r="BM14" s="5">
        <f>IF(BI14=0,0,'2021 Nto driftsutg landet'!$C$26*'2021 Lønnsand og arbavg landet'!$D$16*('2021 Arbavg tjeneste'!N14/'2021 Lønnsgr arbavg tjeneste'!N14-$BL$17))</f>
        <v>0.24496826189081369</v>
      </c>
      <c r="BN14" s="5">
        <f t="shared" si="23"/>
        <v>115.376131858383</v>
      </c>
      <c r="BO14" s="59">
        <f>IF('2021 Lønnsgr arbavg tjeneste'!O14&lt;100,0,(C14/$C$17)*'2021 Arbavg tjeneste'!O14/'2021 Lønnsgr arbavg tjeneste'!O14)</f>
        <v>0</v>
      </c>
      <c r="BP14" s="5">
        <f>IF('2021 Lønnsgr arbavg tjeneste'!O14&lt;100,0,C14)</f>
        <v>0</v>
      </c>
      <c r="BQ14" s="59">
        <f t="shared" si="11"/>
        <v>0</v>
      </c>
      <c r="BR14" s="59">
        <f t="shared" si="12"/>
        <v>1</v>
      </c>
      <c r="BS14" s="59">
        <f>IF(BP14=0,0,(BP14/$BP$17)*BR14*'2021 Arbavg tjeneste'!O14/'2021 Lønnsgr arbavg tjeneste'!O14)</f>
        <v>0</v>
      </c>
      <c r="BT14" s="5">
        <f>IF(BP14=0,0,'2021 Nto driftsutg landet'!$C$27*'2021 Lønnsand og arbavg landet'!$D$17*('2021 Arbavg tjeneste'!O14/'2021 Lønnsgr arbavg tjeneste'!O14-$BS$17))</f>
        <v>0</v>
      </c>
      <c r="BU14" s="5">
        <f t="shared" si="24"/>
        <v>0</v>
      </c>
      <c r="BV14" s="59">
        <f>IF('2021 Lønnsgr arbavg tjeneste'!P14&lt;100,0,(C14/$C$17)*'2021 Arbavg tjeneste'!P14/'2021 Lønnsgr arbavg tjeneste'!P14)</f>
        <v>0</v>
      </c>
      <c r="BW14" s="5">
        <f>IF('2021 Lønnsgr arbavg tjeneste'!P14&lt;100,0,C14)</f>
        <v>0</v>
      </c>
      <c r="BX14" s="59">
        <f t="shared" si="13"/>
        <v>0</v>
      </c>
      <c r="BY14" s="59">
        <f t="shared" si="14"/>
        <v>1</v>
      </c>
      <c r="BZ14" s="59">
        <f>IF(BW14=0,0,(BW14/$BW$17)*BY14*'2021 Arbavg tjeneste'!P14/'2021 Lønnsgr arbavg tjeneste'!P14)</f>
        <v>0</v>
      </c>
      <c r="CA14" s="5">
        <f>IF(BW14=0,0,'2021 Nto driftsutg landet'!$C$28*'2021 Lønnsand og arbavg landet'!$D$18*('2021 Arbavg tjeneste'!P14/'2021 Lønnsgr arbavg tjeneste'!P14-$BZ$17))</f>
        <v>0</v>
      </c>
      <c r="CB14" s="5">
        <f t="shared" si="25"/>
        <v>0</v>
      </c>
      <c r="CC14" s="5"/>
      <c r="CD14" s="5"/>
      <c r="CE14" s="5"/>
    </row>
    <row r="15" spans="1:83" x14ac:dyDescent="0.3">
      <c r="A15" s="43">
        <v>5400</v>
      </c>
      <c r="B15" s="44" t="s">
        <v>397</v>
      </c>
      <c r="C15" s="44">
        <f>+'2021 Nto driftsutg'!W15</f>
        <v>241663</v>
      </c>
      <c r="D15" s="59">
        <f>IF('2021 Lønnsgr arbavg tjeneste'!D15&lt;100,0,(C15/$C$17)*'2021 Revekting utgiftsbehov'!D15*'2021 Arbavg tjeneste'!D15/'2021 Lønnsgr arbavg tjeneste'!D15)</f>
        <v>1.9320221513825094E-3</v>
      </c>
      <c r="E15" s="5">
        <f>IF('2021 Lønnsgr arbavg tjeneste'!D15&lt;100,0,C15)</f>
        <v>241663</v>
      </c>
      <c r="F15" s="59">
        <f>'2021 Revekting utgiftsbehov'!D15*E15/$E$17</f>
        <v>4.7677669156109728E-2</v>
      </c>
      <c r="G15" s="59">
        <f>'2021 Revekting utgiftsbehov'!D15/$F$17</f>
        <v>1.0657255153399601</v>
      </c>
      <c r="H15" s="59">
        <f>IF(E15=0,0,(E15/$E$17)*G15*'2021 Arbavg tjeneste'!D15/'2021 Lønnsgr arbavg tjeneste'!D15)</f>
        <v>1.9320221515655369E-3</v>
      </c>
      <c r="I15" s="5">
        <f>IF(E15=0,0,'2021 Nto driftsutg landet'!$C$5*'2021 Lønnsand og arbavg landet'!$D$6*('2021 Arbavg tjeneste'!D15/'2021 Lønnsgr arbavg tjeneste'!D15-$H$17)*'2021 Revekting utgiftsbehov'!D15)</f>
        <v>-353.95019795305058</v>
      </c>
      <c r="J15" s="5">
        <f t="shared" si="15"/>
        <v>-85536.666687928067</v>
      </c>
      <c r="K15" s="59">
        <f>IF('2021 Lønnsgr arbavg tjeneste'!E15&lt;100,0,(C15/$C$17)*'2021 Revekting utgiftsbehov'!E15*'2021 Arbavg tjeneste'!E15/'2021 Lønnsgr arbavg tjeneste'!E15)</f>
        <v>4.1303459047691213E-3</v>
      </c>
      <c r="L15" s="5">
        <f>IF('2021 Lønnsgr arbavg tjeneste'!E15&lt;100,0,C15)</f>
        <v>241663</v>
      </c>
      <c r="M15" s="59">
        <f>'2021 Revekting utgiftsbehov'!E15*L15/$L$17</f>
        <v>0.10569409464234809</v>
      </c>
      <c r="N15" s="59">
        <f>'2021 Revekting utgiftsbehov'!E15/$M$17</f>
        <v>1.8583301154726251</v>
      </c>
      <c r="O15" s="59">
        <f>IF(L15=0,0,(L15/$L$17)*N15*'2021 Arbavg tjeneste'!E15/'2021 Lønnsgr arbavg tjeneste'!E15)</f>
        <v>4.2811222388332909E-3</v>
      </c>
      <c r="P15" s="5">
        <f>IF(L15=0,0,'2021 Nto driftsutg landet'!$C$6*'2021 Lønnsand og arbavg landet'!$D$7*('2021 Arbavg tjeneste'!E15/'2021 Lønnsgr arbavg tjeneste'!E15-$O$17)*'2021 Revekting utgiftsbehov'!E15)</f>
        <v>-49.543363413084947</v>
      </c>
      <c r="Q15" s="5">
        <f t="shared" si="16"/>
        <v>-11972.797832496346</v>
      </c>
      <c r="R15" s="59">
        <f>IF('2021 Lønnsgr arbavg tjeneste'!F15&lt;100,0,(C15/$C$17)*'2021 Revekting utgiftsbehov'!F15*'2021 Arbavg tjeneste'!F15/'2021 Lønnsgr arbavg tjeneste'!F15)</f>
        <v>3.02663807317047E-3</v>
      </c>
      <c r="S15" s="5">
        <f>IF('2021 Lønnsgr arbavg tjeneste'!F15&lt;100,0,C15)</f>
        <v>241663</v>
      </c>
      <c r="T15" s="59">
        <f>'2021 Revekting utgiftsbehov'!F15*S15/$S$17</f>
        <v>5.0211467240084309E-2</v>
      </c>
      <c r="U15" s="59">
        <f>'2021 Revekting utgiftsbehov'!F15/$T$17</f>
        <v>1.1223627890240693</v>
      </c>
      <c r="V15" s="59">
        <f>IF(S15=0,0,(S15/$S$17)*U15*'2021 Arbavg tjeneste'!F15/'2021 Lønnsgr arbavg tjeneste'!F15)</f>
        <v>3.0266380693737506E-3</v>
      </c>
      <c r="W15" s="5">
        <f>IF(S15=0,0,'2021 Nto driftsutg landet'!$C$7*'2021 Lønnsand og arbavg landet'!$D$8*('2021 Arbavg tjeneste'!F15/'2021 Lønnsgr arbavg tjeneste'!F15-$V$17)*'2021 Revekting utgiftsbehov'!F15)</f>
        <v>-3.4353048079359638</v>
      </c>
      <c r="X15" s="5">
        <f t="shared" si="17"/>
        <v>-830.1860658002289</v>
      </c>
      <c r="Y15" s="59">
        <f>IF('2021 Lønnsgr arbavg tjeneste'!G15&lt;100,0,(C15/$C$17)*'2021 Revekting utgiftsbehov'!G15*'2021 Arbavg tjeneste'!G15/'2021 Lønnsgr arbavg tjeneste'!G15)</f>
        <v>4.5916580075348306E-3</v>
      </c>
      <c r="Z15" s="5">
        <f>IF('2021 Lønnsgr arbavg tjeneste'!G15&lt;100,0,C15)</f>
        <v>241663</v>
      </c>
      <c r="AA15" s="59">
        <f>'2021 Revekting utgiftsbehov'!G15*Z15/$Z$17</f>
        <v>0.34782882567197393</v>
      </c>
      <c r="AB15" s="59">
        <f>'2021 Revekting utgiftsbehov'!G15/$AA$17</f>
        <v>2.0380035155941685</v>
      </c>
      <c r="AC15" s="59">
        <f>IF(Z15=0,0,(Z15/$Z$17)*AB15*'2021 Arbavg tjeneste'!G15/'2021 Lønnsgr arbavg tjeneste'!G15)</f>
        <v>6.1859478441070774E-3</v>
      </c>
      <c r="AD15" s="5">
        <f>IF(Z15=0,0,'2021 Nto driftsutg landet'!$C$8*'2021 Lønnsand og arbavg landet'!$D$9*('2021 Arbavg tjeneste'!G15/'2021 Lønnsgr arbavg tjeneste'!G15-$AC$17)*'2021 Revekting utgiftsbehov'!G15)</f>
        <v>-1.1355417901091092</v>
      </c>
      <c r="AE15" s="5">
        <f t="shared" si="18"/>
        <v>-274.41843562313761</v>
      </c>
      <c r="AF15" s="59">
        <f>IF('2021 Lønnsgr arbavg tjeneste'!H15&lt;100,0,(C15/$C$17)*'2021 Revekting utgiftsbehov'!H15*'2021 Arbavg tjeneste'!H15/'2021 Lønnsgr arbavg tjeneste'!H15)</f>
        <v>1.5808024731598844E-3</v>
      </c>
      <c r="AG15" s="5">
        <f>IF('2021 Lønnsgr arbavg tjeneste'!H15&lt;100,0,C15)</f>
        <v>241663</v>
      </c>
      <c r="AH15" s="59">
        <f>'2021 Revekting utgiftsbehov'!H15*AG15/$AG$17</f>
        <v>4.2937921024037769E-2</v>
      </c>
      <c r="AI15" s="59">
        <f>'2021 Revekting utgiftsbehov'!H15/$AH$17</f>
        <v>0.95977925903348893</v>
      </c>
      <c r="AJ15" s="59">
        <f>IF(AG15=0,0,(AG15/$AG$17)*AI15*'2021 Arbavg tjeneste'!H15/'2021 Lønnsgr arbavg tjeneste'!H15)</f>
        <v>1.5808024720703436E-3</v>
      </c>
      <c r="AK15" s="5">
        <f>IF(AG15=0,0,'2021 Nto driftsutg landet'!$C$9*'2021 Lønnsand og arbavg landet'!$D$10*('2021 Arbavg tjeneste'!H15/'2021 Lønnsgr arbavg tjeneste'!H15-$AJ$17)*'2021 Revekting utgiftsbehov'!H15)</f>
        <v>-27.547074539113726</v>
      </c>
      <c r="AL15" s="5">
        <f t="shared" si="19"/>
        <v>-6657.1086743458409</v>
      </c>
      <c r="AM15" s="59">
        <f>IF('2021 Lønnsgr arbavg tjeneste'!K15&lt;100,0,(C15/$C$17)*'2021 Arbavg tjeneste'!K15/'2021 Lønnsgr arbavg tjeneste'!K15)</f>
        <v>2.3009007954933767E-3</v>
      </c>
      <c r="AN15" s="5">
        <f>IF('2021 Lønnsgr arbavg tjeneste'!K15&lt;100,0,C15)</f>
        <v>241663</v>
      </c>
      <c r="AO15" s="59">
        <f t="shared" si="3"/>
        <v>4.4737287861046963E-2</v>
      </c>
      <c r="AP15" s="59">
        <f t="shared" si="4"/>
        <v>0.99999999931076733</v>
      </c>
      <c r="AQ15" s="59">
        <f>IF(AN15=0,0,(AN15/$AN$17)*AP15*'2021 Arbavg tjeneste'!K15/'2021 Lønnsgr arbavg tjeneste'!K15)</f>
        <v>2.3009007939075211E-3</v>
      </c>
      <c r="AR15" s="5">
        <f>IF(AN15=0,0,'2021 Nto driftsutg landet'!$C$23*'2021 Lønnsand og arbavg landet'!$D$13*('2021 Arbavg tjeneste'!K15/'2021 Lønnsgr arbavg tjeneste'!K15-$AQ$17))</f>
        <v>-20.240181563803379</v>
      </c>
      <c r="AS15" s="5">
        <f t="shared" si="20"/>
        <v>-4891.3029972534159</v>
      </c>
      <c r="AT15" s="59">
        <f>IF('2021 Lønnsgr arbavg tjeneste'!L15&lt;100,0,(C15/$C$17)*'2021 Arbavg tjeneste'!L15/'2021 Lønnsgr arbavg tjeneste'!L15)</f>
        <v>2.0688015565952927E-3</v>
      </c>
      <c r="AU15" s="5">
        <f>IF('2021 Lønnsgr arbavg tjeneste'!L15&lt;100,0,C15)</f>
        <v>241663</v>
      </c>
      <c r="AV15" s="59">
        <f t="shared" si="5"/>
        <v>5.1355191993058658E-2</v>
      </c>
      <c r="AW15" s="59">
        <f t="shared" si="6"/>
        <v>1</v>
      </c>
      <c r="AX15" s="59">
        <f>IF(AU15=0,0,(AU15/$AU$17)*AW15*'2021 Arbavg tjeneste'!L15/'2021 Lønnsgr arbavg tjeneste'!L15)</f>
        <v>2.3748355390805203E-3</v>
      </c>
      <c r="AY15" s="5">
        <f>IF(AU15=0,0,'2021 Nto driftsutg landet'!$C$24*'2021 Lønnsand og arbavg landet'!$D$14*('2021 Arbavg tjeneste'!L15/'2021 Lønnsgr arbavg tjeneste'!L15-$AX$17))</f>
        <v>-4.4305849411489975</v>
      </c>
      <c r="AZ15" s="5">
        <f t="shared" si="21"/>
        <v>-1070.7084486328902</v>
      </c>
      <c r="BA15" s="59">
        <f>IF('2021 Lønnsgr arbavg tjeneste'!M15&lt;100,0,(C15/$C$17)*'2021 Arbavg tjeneste'!M15/'2021 Lønnsgr arbavg tjeneste'!M15)</f>
        <v>2.4449259743098413E-3</v>
      </c>
      <c r="BB15" s="5">
        <f>IF('2021 Lønnsgr arbavg tjeneste'!M15&lt;100,0,C15)</f>
        <v>241663</v>
      </c>
      <c r="BC15" s="59">
        <f t="shared" si="7"/>
        <v>5.1355191993058658E-2</v>
      </c>
      <c r="BD15" s="59">
        <f t="shared" si="8"/>
        <v>1</v>
      </c>
      <c r="BE15" s="59">
        <f>IF(BB15=0,0,(BB15/$BB$17)*BD15*'2021 Arbavg tjeneste'!M15/'2021 Lønnsgr arbavg tjeneste'!M15)</f>
        <v>2.806599345259449E-3</v>
      </c>
      <c r="BF15" s="5">
        <f>IF(BB15=0,0,'2021 Nto driftsutg landet'!$C$25*'2021 Lønnsand og arbavg landet'!$D$15*('2021 Arbavg tjeneste'!M15/'2021 Lønnsgr arbavg tjeneste'!M15-$BE$17))</f>
        <v>-0.43718719786859467</v>
      </c>
      <c r="BG15" s="5">
        <f t="shared" si="22"/>
        <v>-105.65196979851819</v>
      </c>
      <c r="BH15" s="59">
        <f>IF('2021 Lønnsgr arbavg tjeneste'!N15&lt;100,0,(C15/$C$17)*'2021 Arbavg tjeneste'!N15/'2021 Lønnsgr arbavg tjeneste'!N15)</f>
        <v>1.6084499793723507E-3</v>
      </c>
      <c r="BI15" s="5">
        <f>IF('2021 Lønnsgr arbavg tjeneste'!N15&lt;100,0,C15)</f>
        <v>241663</v>
      </c>
      <c r="BJ15" s="59">
        <f t="shared" si="9"/>
        <v>4.4737287861046963E-2</v>
      </c>
      <c r="BK15" s="59">
        <f t="shared" si="10"/>
        <v>1</v>
      </c>
      <c r="BL15" s="59">
        <f>IF(BI15=0,0,(BI15/$BI$17)*BK15*'2021 Arbavg tjeneste'!N15/'2021 Lønnsgr arbavg tjeneste'!N15)</f>
        <v>1.6084499793723507E-3</v>
      </c>
      <c r="BM15" s="5">
        <f>IF(BI15=0,0,'2021 Nto driftsutg landet'!$C$26*'2021 Lønnsand og arbavg landet'!$D$16*('2021 Arbavg tjeneste'!N15/'2021 Lønnsgr arbavg tjeneste'!N15-$BL$17))</f>
        <v>-2.7307938732097825</v>
      </c>
      <c r="BN15" s="5">
        <f t="shared" si="23"/>
        <v>-659.93183978149568</v>
      </c>
      <c r="BO15" s="59">
        <f>IF('2021 Lønnsgr arbavg tjeneste'!O15&lt;100,0,(C15/$C$17)*'2021 Arbavg tjeneste'!O15/'2021 Lønnsgr arbavg tjeneste'!O15)</f>
        <v>0</v>
      </c>
      <c r="BP15" s="5">
        <f>IF('2021 Lønnsgr arbavg tjeneste'!O15&lt;100,0,C15)</f>
        <v>0</v>
      </c>
      <c r="BQ15" s="59">
        <f t="shared" si="11"/>
        <v>0</v>
      </c>
      <c r="BR15" s="59">
        <f t="shared" si="12"/>
        <v>1</v>
      </c>
      <c r="BS15" s="59">
        <f>IF(BP15=0,0,(BP15/$BP$17)*BR15*'2021 Arbavg tjeneste'!O15/'2021 Lønnsgr arbavg tjeneste'!O15)</f>
        <v>0</v>
      </c>
      <c r="BT15" s="5">
        <f>IF(BP15=0,0,'2021 Nto driftsutg landet'!$C$27*'2021 Lønnsand og arbavg landet'!$D$17*('2021 Arbavg tjeneste'!O15/'2021 Lønnsgr arbavg tjeneste'!O15-$BS$17))</f>
        <v>0</v>
      </c>
      <c r="BU15" s="5">
        <f t="shared" si="24"/>
        <v>0</v>
      </c>
      <c r="BV15" s="59">
        <f>IF('2021 Lønnsgr arbavg tjeneste'!P15&lt;100,0,(C15/$C$17)*'2021 Arbavg tjeneste'!P15/'2021 Lønnsgr arbavg tjeneste'!P15)</f>
        <v>3.491484102052792E-3</v>
      </c>
      <c r="BW15" s="5">
        <f>IF('2021 Lønnsgr arbavg tjeneste'!P15&lt;100,0,C15)</f>
        <v>241663</v>
      </c>
      <c r="BX15" s="59">
        <f t="shared" si="13"/>
        <v>7.9266750657896679E-2</v>
      </c>
      <c r="BY15" s="59">
        <f t="shared" si="14"/>
        <v>1</v>
      </c>
      <c r="BZ15" s="59">
        <f>IF(BW15=0,0,(BW15/$BW$17)*BY15*'2021 Arbavg tjeneste'!P15/'2021 Lønnsgr arbavg tjeneste'!P15)</f>
        <v>6.1863070600755932E-3</v>
      </c>
      <c r="CA15" s="5">
        <f>IF(BW15=0,0,'2021 Nto driftsutg landet'!$C$28*'2021 Lønnsand og arbavg landet'!$D$18*('2021 Arbavg tjeneste'!P15/'2021 Lønnsgr arbavg tjeneste'!P15-$BZ$17))</f>
        <v>-4.6721140192010546E-3</v>
      </c>
      <c r="CB15" s="5">
        <f t="shared" si="25"/>
        <v>-1.1290770902221845</v>
      </c>
      <c r="CC15" s="5"/>
      <c r="CD15" s="5"/>
      <c r="CE15" s="5"/>
    </row>
    <row r="16" spans="1:83" x14ac:dyDescent="0.3">
      <c r="B16" s="45"/>
      <c r="C16" s="45"/>
      <c r="D16" s="45"/>
      <c r="E16" s="45"/>
      <c r="F16" s="45"/>
      <c r="G16" s="45"/>
    </row>
    <row r="17" spans="2:83" x14ac:dyDescent="0.3">
      <c r="B17" s="44" t="s">
        <v>3</v>
      </c>
      <c r="C17" s="5">
        <f>SUM(C5:C16)</f>
        <v>5401825</v>
      </c>
      <c r="D17" s="59">
        <f>SUM(D5:D16)</f>
        <v>0.12783365243760056</v>
      </c>
      <c r="E17" s="5">
        <f>SUM(E5:E16)</f>
        <v>5401825</v>
      </c>
      <c r="F17" s="59">
        <f>SUM(F5:F16)</f>
        <v>0.99999999990526622</v>
      </c>
      <c r="G17" s="5"/>
      <c r="H17" s="59">
        <f>SUM(H5:H16)</f>
        <v>0.12783365244971076</v>
      </c>
      <c r="I17" s="5"/>
      <c r="J17" s="5">
        <f>SUM(J5:J16)</f>
        <v>-6.2573235481977463E-10</v>
      </c>
      <c r="K17" s="59">
        <f>SUM(K5:K16)</f>
        <v>0.20880891278601482</v>
      </c>
      <c r="L17" s="5">
        <f>SUM(L5:L16)</f>
        <v>4705717</v>
      </c>
      <c r="M17" s="59">
        <f>SUM(M5:M16)</f>
        <v>1.1074994031545189</v>
      </c>
      <c r="N17" s="5"/>
      <c r="O17" s="59">
        <f>SUM(O5:O16)</f>
        <v>0.21643138390966757</v>
      </c>
      <c r="P17" s="5"/>
      <c r="Q17" s="5">
        <f>SUM(Q5:Q16)</f>
        <v>0</v>
      </c>
      <c r="R17" s="59">
        <f>SUM(R5:R16)</f>
        <v>0.13353563947600161</v>
      </c>
      <c r="S17" s="5">
        <f>SUM(S5:S16)</f>
        <v>5401825</v>
      </c>
      <c r="T17" s="59">
        <f>SUM(T5:T16)</f>
        <v>1.0000000012544346</v>
      </c>
      <c r="U17" s="5"/>
      <c r="V17" s="59">
        <f>SUM(V5:V16)</f>
        <v>0.13353563930848991</v>
      </c>
      <c r="W17" s="5"/>
      <c r="X17" s="5">
        <f>SUM(X5:X16)</f>
        <v>0</v>
      </c>
      <c r="Y17" s="59">
        <f>SUM(Y5:Y16)</f>
        <v>6.7834990530211414E-2</v>
      </c>
      <c r="Z17" s="5">
        <f>SUM(Z5:Z16)</f>
        <v>2382740</v>
      </c>
      <c r="AA17" s="59">
        <f>SUM(AA5:AA16)</f>
        <v>1.6827791978455671</v>
      </c>
      <c r="AB17" s="5"/>
      <c r="AC17" s="59">
        <f>SUM(AC5:AC16)</f>
        <v>9.1388276900585846E-2</v>
      </c>
      <c r="AD17" s="5"/>
      <c r="AE17" s="5">
        <f>SUM(AE5:AE16)</f>
        <v>0</v>
      </c>
      <c r="AF17" s="59">
        <f>SUM(AF5:AF16)</f>
        <v>0.12609134682344258</v>
      </c>
      <c r="AG17" s="5">
        <f>SUM(AG5:AG16)</f>
        <v>5401825</v>
      </c>
      <c r="AH17" s="59">
        <f>SUM(AH5:AH16)</f>
        <v>1.0000000006892327</v>
      </c>
      <c r="AI17" s="5"/>
      <c r="AJ17" s="59">
        <f>SUM(AJ5:AJ16)</f>
        <v>0.1260913467365363</v>
      </c>
      <c r="AK17" s="5"/>
      <c r="AL17" s="5">
        <f>SUM(AL5:AL16)</f>
        <v>2.0008883439004421E-11</v>
      </c>
      <c r="AM17" s="59">
        <f>SUM(AM5:AM16)</f>
        <v>9.8543471285934506E-2</v>
      </c>
      <c r="AN17" s="5">
        <f>SUM(AN5:AN16)</f>
        <v>5401825</v>
      </c>
      <c r="AO17" s="59">
        <f>SUM(AO5:AO16)</f>
        <v>1</v>
      </c>
      <c r="AP17" s="5"/>
      <c r="AQ17" s="59">
        <f>SUM(AQ5:AQ16)</f>
        <v>9.8543471218015127E-2</v>
      </c>
      <c r="AR17" s="5"/>
      <c r="AS17" s="5">
        <f>SUM(AS5:AS16)</f>
        <v>1.5762179191369796E-4</v>
      </c>
      <c r="AT17" s="59">
        <f>SUM(AT5:AT16)</f>
        <v>0.11443302852755029</v>
      </c>
      <c r="AU17" s="5">
        <f>SUM(AU5:AU16)</f>
        <v>4705717</v>
      </c>
      <c r="AV17" s="59">
        <f>SUM(AV5:AV16)</f>
        <v>1</v>
      </c>
      <c r="AW17" s="5"/>
      <c r="AX17" s="59">
        <f>SUM(AX5:AX16)</f>
        <v>0.13136089448766988</v>
      </c>
      <c r="AY17" s="5"/>
      <c r="AZ17" s="5">
        <f>SUM(AZ5:AZ16)</f>
        <v>-6.1390892369672656E-12</v>
      </c>
      <c r="BA17" s="59">
        <f>SUM(BA5:BA16)</f>
        <v>0.11488420275356273</v>
      </c>
      <c r="BB17" s="5">
        <f>SUM(BB5:BB16)</f>
        <v>4705717</v>
      </c>
      <c r="BC17" s="59">
        <f>SUM(BC5:BC16)</f>
        <v>1</v>
      </c>
      <c r="BD17" s="5"/>
      <c r="BE17" s="59">
        <f>SUM(BE5:BE16)</f>
        <v>0.13187881008128285</v>
      </c>
      <c r="BF17" s="5"/>
      <c r="BG17" s="5">
        <f>SUM(BG5:BG16)</f>
        <v>-3.979039320256561E-13</v>
      </c>
      <c r="BH17" s="59">
        <f>SUM(BH5:BH16)</f>
        <v>0.12950781675874024</v>
      </c>
      <c r="BI17" s="5">
        <f>SUM(BI5:BI16)</f>
        <v>5401825</v>
      </c>
      <c r="BJ17" s="59">
        <f>SUM(BJ5:BJ16)</f>
        <v>1</v>
      </c>
      <c r="BK17" s="5"/>
      <c r="BL17" s="59">
        <f>SUM(BL5:BL16)</f>
        <v>0.12950781675874024</v>
      </c>
      <c r="BM17" s="5"/>
      <c r="BN17" s="5">
        <f>SUM(BN5:BN16)</f>
        <v>-1.9326762412674725E-12</v>
      </c>
      <c r="BO17" s="59">
        <f>SUM(BO5:BO16)</f>
        <v>8.3497843667933377E-3</v>
      </c>
      <c r="BP17" s="5">
        <f>SUM(BP5:BP16)</f>
        <v>423144</v>
      </c>
      <c r="BQ17" s="59">
        <f>SUM(BQ5:BQ16)</f>
        <v>1</v>
      </c>
      <c r="BR17" s="5"/>
      <c r="BS17" s="59">
        <f>SUM(BS5:BS16)</f>
        <v>0.10659272951324707</v>
      </c>
      <c r="BT17" s="5"/>
      <c r="BU17" s="5">
        <f>SUM(BU5:BU16)</f>
        <v>0</v>
      </c>
      <c r="BV17" s="59">
        <f>SUM(BV5:BV16)</f>
        <v>7.7603053800524777E-2</v>
      </c>
      <c r="BW17" s="5">
        <f>SUM(BW5:BW16)</f>
        <v>3048731</v>
      </c>
      <c r="BX17" s="59">
        <f>SUM(BX5:BX16)</f>
        <v>1</v>
      </c>
      <c r="BY17" s="5"/>
      <c r="BZ17" s="59">
        <f>SUM(BZ5:BZ16)</f>
        <v>0.13749921396673562</v>
      </c>
      <c r="CA17" s="59"/>
      <c r="CB17" s="5">
        <f>SUM(CB5:CB16)</f>
        <v>-3.3306690738754696E-15</v>
      </c>
      <c r="CC17" s="5"/>
      <c r="CD17" s="5"/>
      <c r="CE17" s="5"/>
    </row>
    <row r="18" spans="2:83" x14ac:dyDescent="0.3">
      <c r="CD18" s="5"/>
    </row>
  </sheetData>
  <sheetProtection algorithmName="SHA-512" hashValue="VcStRJYi5k169bWwJUuDSQwDdX+f/FtCB+QU3TWas8ZQhkFzRDCZLGJrmz8z7fvSxxbPyOPmW+MBig6wfV1zrA==" saltValue="HoaXwPOq04wJAWk/fJQojw==" spinCount="100000" sheet="1" objects="1" scenarios="1" selectLockedCells="1" selectUnlockedCell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18"/>
  <sheetViews>
    <sheetView workbookViewId="0">
      <pane xSplit="2" ySplit="3" topLeftCell="C5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3" width="12" customWidth="1"/>
    <col min="4" max="6" width="17" customWidth="1"/>
    <col min="7" max="9" width="16.5546875" customWidth="1"/>
    <col min="10" max="10" width="15.44140625" customWidth="1"/>
    <col min="11" max="11" width="16.88671875" customWidth="1"/>
  </cols>
  <sheetData>
    <row r="1" spans="1:11" x14ac:dyDescent="0.3">
      <c r="G1" s="100"/>
      <c r="H1" s="58"/>
      <c r="I1" s="58"/>
    </row>
    <row r="2" spans="1:11" ht="40.200000000000003" x14ac:dyDescent="0.3">
      <c r="A2" s="24" t="s">
        <v>2</v>
      </c>
      <c r="B2" s="24" t="s">
        <v>1</v>
      </c>
      <c r="C2" s="24" t="s">
        <v>401</v>
      </c>
      <c r="D2" s="24" t="s">
        <v>120</v>
      </c>
      <c r="E2" s="24" t="s">
        <v>117</v>
      </c>
      <c r="F2" s="24" t="s">
        <v>118</v>
      </c>
      <c r="G2" s="24" t="s">
        <v>385</v>
      </c>
      <c r="H2" s="24" t="s">
        <v>386</v>
      </c>
      <c r="I2" s="24" t="s">
        <v>387</v>
      </c>
      <c r="J2" s="24" t="s">
        <v>119</v>
      </c>
      <c r="K2" s="24" t="s">
        <v>388</v>
      </c>
    </row>
    <row r="3" spans="1:11" x14ac:dyDescent="0.3">
      <c r="A3" s="107">
        <v>1</v>
      </c>
      <c r="B3" s="107">
        <f>+A3+1</f>
        <v>2</v>
      </c>
      <c r="C3" s="107">
        <f t="shared" ref="C3:K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</row>
    <row r="5" spans="1:11" x14ac:dyDescent="0.3">
      <c r="A5" s="43">
        <v>300</v>
      </c>
      <c r="B5" s="44" t="s">
        <v>0</v>
      </c>
      <c r="C5" s="44">
        <f>+'2021 Nto driftsutg'!W5</f>
        <v>696108</v>
      </c>
      <c r="D5" s="5">
        <f>+'2021 Nto driftsutg eks avskriv'!R5</f>
        <v>-325414.06606233004</v>
      </c>
      <c r="E5" s="5">
        <f>+'2021 Lønnsgr pensjon tjeneste'!C5</f>
        <v>2085177</v>
      </c>
      <c r="F5" s="59">
        <f>+D5/E5</f>
        <v>-0.15606064428215449</v>
      </c>
      <c r="G5" s="5">
        <f>'2021 Lønnsand og pensjon land'!$C$6*'2021 Lønnsand og arbavg landet'!$D$6*'2021 Revekting utgiftsbehov'!D5+'2021 Lønnsand og pensjon land'!$C$7*'2021 Lønnsand og arbavg landet'!$D$7*'2021 Revekting utgiftsbehov'!E5+'2021 Lønnsand og pensjon land'!$C$8*'2021 Lønnsand og arbavg landet'!$D$8*'2021 Revekting utgiftsbehov'!F5+'2021 Lønnsand og pensjon land'!$C$9*'2021 Lønnsand og arbavg landet'!$D$9*'2021 Revekting utgiftsbehov'!G5+'2021 Lønnsand og pensjon land'!$C$10*'2021 Lønnsand og arbavg landet'!$D$10*'2021 Revekting utgiftsbehov'!H5+'2021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3442.5545889856239</v>
      </c>
      <c r="H5" s="59">
        <f t="shared" ref="H5:H15" si="1">G5/G$17</f>
        <v>0.73169927847944771</v>
      </c>
      <c r="I5" s="59">
        <f t="shared" ref="I5:I15" si="2">F5*(G5*C5)/(G$17*C$17)</f>
        <v>-1.4715063370747955E-2</v>
      </c>
      <c r="J5" s="5">
        <f t="shared" ref="J5:J15" si="3">(F5-$I$17)*$G$17*H5</f>
        <v>-414.7188183147573</v>
      </c>
      <c r="K5" s="5">
        <f>J5*C5</f>
        <v>-288689087.17944908</v>
      </c>
    </row>
    <row r="6" spans="1:11" x14ac:dyDescent="0.3">
      <c r="A6" s="43">
        <v>1100</v>
      </c>
      <c r="B6" s="44" t="s">
        <v>141</v>
      </c>
      <c r="C6" s="44">
        <f>+'2021 Nto driftsutg'!W6</f>
        <v>484091</v>
      </c>
      <c r="D6" s="5">
        <f>+'2021 Nto driftsutg eks avskriv'!R6</f>
        <v>-62600</v>
      </c>
      <c r="E6" s="5">
        <f>+'2021 Lønnsgr pensjon tjeneste'!C6</f>
        <v>2436733</v>
      </c>
      <c r="F6" s="59">
        <f t="shared" ref="F6:F15" si="4">+D6/E6</f>
        <v>-2.5690135111232949E-2</v>
      </c>
      <c r="G6" s="5">
        <f>'2021 Lønnsand og pensjon land'!$C$6*'2021 Lønnsand og arbavg landet'!$D$6*'2021 Revekting utgiftsbehov'!D6+'2021 Lønnsand og pensjon land'!$C$7*'2021 Lønnsand og arbavg landet'!$D$7*'2021 Revekting utgiftsbehov'!E6+'2021 Lønnsand og pensjon land'!$C$8*'2021 Lønnsand og arbavg landet'!$D$8*'2021 Revekting utgiftsbehov'!F6+'2021 Lønnsand og pensjon land'!$C$9*'2021 Lønnsand og arbavg landet'!$D$9*'2021 Revekting utgiftsbehov'!G6+'2021 Lønnsand og pensjon land'!$C$10*'2021 Lønnsand og arbavg landet'!$D$10*'2021 Revekting utgiftsbehov'!H6+'2021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4961.5433980968301</v>
      </c>
      <c r="H6" s="59">
        <f t="shared" si="1"/>
        <v>1.0545534226667503</v>
      </c>
      <c r="I6" s="59">
        <f t="shared" si="2"/>
        <v>-2.4278478799308885E-3</v>
      </c>
      <c r="J6" s="5">
        <f t="shared" si="3"/>
        <v>49.130068566394591</v>
      </c>
      <c r="K6" s="5">
        <f t="shared" ref="K6:K15" si="5">J6*C6</f>
        <v>23783424.022374526</v>
      </c>
    </row>
    <row r="7" spans="1:11" x14ac:dyDescent="0.3">
      <c r="A7" s="43">
        <v>1500</v>
      </c>
      <c r="B7" s="44" t="s">
        <v>142</v>
      </c>
      <c r="C7" s="44">
        <f>+'2021 Nto driftsutg'!W7</f>
        <v>265297</v>
      </c>
      <c r="D7" s="5">
        <f>+'2021 Nto driftsutg eks avskriv'!R7</f>
        <v>-65024</v>
      </c>
      <c r="E7" s="5">
        <f>+'2021 Lønnsgr pensjon tjeneste'!C7</f>
        <v>1442506</v>
      </c>
      <c r="F7" s="59">
        <f t="shared" si="4"/>
        <v>-4.5077108864711828E-2</v>
      </c>
      <c r="G7" s="5">
        <f>'2021 Lønnsand og pensjon land'!$C$6*'2021 Lønnsand og arbavg landet'!$D$6*'2021 Revekting utgiftsbehov'!D7+'2021 Lønnsand og pensjon land'!$C$7*'2021 Lønnsand og arbavg landet'!$D$7*'2021 Revekting utgiftsbehov'!E7+'2021 Lønnsand og pensjon land'!$C$8*'2021 Lønnsand og arbavg landet'!$D$8*'2021 Revekting utgiftsbehov'!F7+'2021 Lønnsand og pensjon land'!$C$9*'2021 Lønnsand og arbavg landet'!$D$9*'2021 Revekting utgiftsbehov'!G7+'2021 Lønnsand og pensjon land'!$C$10*'2021 Lønnsand og arbavg landet'!$D$10*'2021 Revekting utgiftsbehov'!H7+'2021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5228.5230135069132</v>
      </c>
      <c r="H7" s="59">
        <f t="shared" si="1"/>
        <v>1.1112987223896051</v>
      </c>
      <c r="I7" s="59">
        <f t="shared" si="2"/>
        <v>-2.460246922585434E-3</v>
      </c>
      <c r="J7" s="5">
        <f t="shared" si="3"/>
        <v>-49.591491123547719</v>
      </c>
      <c r="K7" s="5">
        <f t="shared" si="5"/>
        <v>-13156473.82060384</v>
      </c>
    </row>
    <row r="8" spans="1:11" x14ac:dyDescent="0.3">
      <c r="A8" s="43">
        <v>1800</v>
      </c>
      <c r="B8" s="44" t="s">
        <v>143</v>
      </c>
      <c r="C8" s="44">
        <f>+'2021 Nto driftsutg'!W8</f>
        <v>240496</v>
      </c>
      <c r="D8" s="5">
        <f>+'2021 Nto driftsutg eks avskriv'!R8</f>
        <v>-56604</v>
      </c>
      <c r="E8" s="5">
        <f>+'2021 Lønnsgr pensjon tjeneste'!C8</f>
        <v>1736893</v>
      </c>
      <c r="F8" s="59">
        <f t="shared" si="4"/>
        <v>-3.2589226855079728E-2</v>
      </c>
      <c r="G8" s="5">
        <f>'2021 Lønnsand og pensjon land'!$C$6*'2021 Lønnsand og arbavg landet'!$D$6*'2021 Revekting utgiftsbehov'!D8+'2021 Lønnsand og pensjon land'!$C$7*'2021 Lønnsand og arbavg landet'!$D$7*'2021 Revekting utgiftsbehov'!E8+'2021 Lønnsand og pensjon land'!$C$8*'2021 Lønnsand og arbavg landet'!$D$8*'2021 Revekting utgiftsbehov'!F8+'2021 Lønnsand og pensjon land'!$C$9*'2021 Lønnsand og arbavg landet'!$D$9*'2021 Revekting utgiftsbehov'!G8+'2021 Lønnsand og pensjon land'!$C$10*'2021 Lønnsand og arbavg landet'!$D$10*'2021 Revekting utgiftsbehov'!H8+'2021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5204.0740712028537</v>
      </c>
      <c r="H8" s="59">
        <f t="shared" si="1"/>
        <v>1.1061022111997165</v>
      </c>
      <c r="I8" s="59">
        <f t="shared" si="2"/>
        <v>-1.6048581974509714E-3</v>
      </c>
      <c r="J8" s="5">
        <f t="shared" si="3"/>
        <v>15.628265156491132</v>
      </c>
      <c r="K8" s="5">
        <f t="shared" si="5"/>
        <v>3758535.2570754914</v>
      </c>
    </row>
    <row r="9" spans="1:11" x14ac:dyDescent="0.3">
      <c r="A9" s="43">
        <v>3000</v>
      </c>
      <c r="B9" s="44" t="s">
        <v>392</v>
      </c>
      <c r="C9" s="44">
        <f>+'2021 Nto driftsutg'!W9</f>
        <v>1260731</v>
      </c>
      <c r="D9" s="5">
        <f>+'2021 Nto driftsutg eks avskriv'!R9</f>
        <v>-157830</v>
      </c>
      <c r="E9" s="5">
        <f>+'2021 Lønnsgr pensjon tjeneste'!C9</f>
        <v>6046364</v>
      </c>
      <c r="F9" s="59">
        <f t="shared" si="4"/>
        <v>-2.6103291168047441E-2</v>
      </c>
      <c r="G9" s="5">
        <f>'2021 Lønnsand og pensjon land'!$C$6*'2021 Lønnsand og arbavg landet'!$D$6*'2021 Revekting utgiftsbehov'!D9+'2021 Lønnsand og pensjon land'!$C$7*'2021 Lønnsand og arbavg landet'!$D$7*'2021 Revekting utgiftsbehov'!E9+'2021 Lønnsand og pensjon land'!$C$8*'2021 Lønnsand og arbavg landet'!$D$8*'2021 Revekting utgiftsbehov'!F9+'2021 Lønnsand og pensjon land'!$C$9*'2021 Lønnsand og arbavg landet'!$D$9*'2021 Revekting utgiftsbehov'!G9+'2021 Lønnsand og pensjon land'!$C$10*'2021 Lønnsand og arbavg landet'!$D$10*'2021 Revekting utgiftsbehov'!H9+'2021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4729.7094926015297</v>
      </c>
      <c r="H9" s="59">
        <f t="shared" si="1"/>
        <v>1.0052781833079558</v>
      </c>
      <c r="I9" s="59">
        <f t="shared" si="2"/>
        <v>-6.1243985722388055E-3</v>
      </c>
      <c r="J9" s="5">
        <f t="shared" si="3"/>
        <v>44.88030065302727</v>
      </c>
      <c r="K9" s="5">
        <f t="shared" si="5"/>
        <v>56581986.322591722</v>
      </c>
    </row>
    <row r="10" spans="1:11" x14ac:dyDescent="0.3">
      <c r="A10" s="43">
        <v>3400</v>
      </c>
      <c r="B10" s="44" t="s">
        <v>393</v>
      </c>
      <c r="C10" s="44">
        <f>+'2021 Nto driftsutg'!W10</f>
        <v>370701</v>
      </c>
      <c r="D10" s="5">
        <f>+'2021 Nto driftsutg eks avskriv'!R10</f>
        <v>-39984</v>
      </c>
      <c r="E10" s="5">
        <f>+'2021 Lønnsgr pensjon tjeneste'!C10</f>
        <v>2188462</v>
      </c>
      <c r="F10" s="59">
        <f t="shared" si="4"/>
        <v>-1.8270365215388707E-2</v>
      </c>
      <c r="G10" s="5">
        <f>'2021 Lønnsand og pensjon land'!$C$6*'2021 Lønnsand og arbavg landet'!$D$6*'2021 Revekting utgiftsbehov'!D10+'2021 Lønnsand og pensjon land'!$C$7*'2021 Lønnsand og arbavg landet'!$D$7*'2021 Revekting utgiftsbehov'!E10+'2021 Lønnsand og pensjon land'!$C$8*'2021 Lønnsand og arbavg landet'!$D$8*'2021 Revekting utgiftsbehov'!F10+'2021 Lønnsand og pensjon land'!$C$9*'2021 Lønnsand og arbavg landet'!$D$9*'2021 Revekting utgiftsbehov'!G10+'2021 Lønnsand og pensjon land'!$C$10*'2021 Lønnsand og arbavg landet'!$D$10*'2021 Revekting utgiftsbehov'!H10+'2021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4860.8513519595426</v>
      </c>
      <c r="H10" s="59">
        <f t="shared" si="1"/>
        <v>1.0331517874557945</v>
      </c>
      <c r="I10" s="59">
        <f t="shared" si="2"/>
        <v>-1.2953723039719799E-3</v>
      </c>
      <c r="J10" s="5">
        <f t="shared" si="3"/>
        <v>84.199396883227521</v>
      </c>
      <c r="K10" s="5">
        <f t="shared" si="5"/>
        <v>31212800.624009326</v>
      </c>
    </row>
    <row r="11" spans="1:11" x14ac:dyDescent="0.3">
      <c r="A11" s="43">
        <v>3800</v>
      </c>
      <c r="B11" s="44" t="s">
        <v>394</v>
      </c>
      <c r="C11" s="44">
        <f>+'2021 Nto driftsutg'!W11</f>
        <v>423144</v>
      </c>
      <c r="D11" s="5">
        <f>+'2021 Nto driftsutg eks avskriv'!R11</f>
        <v>-57383</v>
      </c>
      <c r="E11" s="5">
        <f>+'2021 Lønnsgr pensjon tjeneste'!C11</f>
        <v>2318622</v>
      </c>
      <c r="F11" s="59">
        <f t="shared" si="4"/>
        <v>-2.4748751629200448E-2</v>
      </c>
      <c r="G11" s="5">
        <f>'2021 Lønnsand og pensjon land'!$C$6*'2021 Lønnsand og arbavg landet'!$D$6*'2021 Revekting utgiftsbehov'!D11+'2021 Lønnsand og pensjon land'!$C$7*'2021 Lønnsand og arbavg landet'!$D$7*'2021 Revekting utgiftsbehov'!E11+'2021 Lønnsand og pensjon land'!$C$8*'2021 Lønnsand og arbavg landet'!$D$8*'2021 Revekting utgiftsbehov'!F11+'2021 Lønnsand og pensjon land'!$C$9*'2021 Lønnsand og arbavg landet'!$D$9*'2021 Revekting utgiftsbehov'!G11+'2021 Lønnsand og pensjon land'!$C$10*'2021 Lønnsand og arbavg landet'!$D$10*'2021 Revekting utgiftsbehov'!H11+'2021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4755.5238687190167</v>
      </c>
      <c r="H11" s="59">
        <f t="shared" si="1"/>
        <v>1.0107649112279704</v>
      </c>
      <c r="I11" s="59">
        <f t="shared" si="2"/>
        <v>-1.9595264537337156E-3</v>
      </c>
      <c r="J11" s="5">
        <f t="shared" si="3"/>
        <v>51.5667988524715</v>
      </c>
      <c r="K11" s="5">
        <f t="shared" si="5"/>
        <v>21820181.5336302</v>
      </c>
    </row>
    <row r="12" spans="1:11" x14ac:dyDescent="0.3">
      <c r="A12" s="43">
        <v>4200</v>
      </c>
      <c r="B12" s="44" t="s">
        <v>395</v>
      </c>
      <c r="C12" s="44">
        <f>+'2021 Nto driftsutg'!W12</f>
        <v>309508</v>
      </c>
      <c r="D12" s="5">
        <f>+'2021 Nto driftsutg eks avskriv'!R12</f>
        <v>-79573</v>
      </c>
      <c r="E12" s="5">
        <f>+'2021 Lønnsgr pensjon tjeneste'!C12</f>
        <v>1770617</v>
      </c>
      <c r="F12" s="59">
        <f t="shared" si="4"/>
        <v>-4.4940831359915778E-2</v>
      </c>
      <c r="G12" s="5">
        <f>'2021 Lønnsand og pensjon land'!$C$6*'2021 Lønnsand og arbavg landet'!$D$6*'2021 Revekting utgiftsbehov'!D12+'2021 Lønnsand og pensjon land'!$C$7*'2021 Lønnsand og arbavg landet'!$D$7*'2021 Revekting utgiftsbehov'!E12+'2021 Lønnsand og pensjon land'!$C$8*'2021 Lønnsand og arbavg landet'!$D$8*'2021 Revekting utgiftsbehov'!F12+'2021 Lønnsand og pensjon land'!$C$9*'2021 Lønnsand og arbavg landet'!$D$9*'2021 Revekting utgiftsbehov'!G12+'2021 Lønnsand og pensjon land'!$C$10*'2021 Lønnsand og arbavg landet'!$D$10*'2021 Revekting utgiftsbehov'!H12+'2021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4923.176913488639</v>
      </c>
      <c r="H12" s="59">
        <f t="shared" si="1"/>
        <v>1.0463988013296119</v>
      </c>
      <c r="I12" s="59">
        <f t="shared" si="2"/>
        <v>-2.6944473641062031E-3</v>
      </c>
      <c r="J12" s="5">
        <f t="shared" si="3"/>
        <v>-46.02442639962473</v>
      </c>
      <c r="K12" s="5">
        <f t="shared" si="5"/>
        <v>-14244928.16609505</v>
      </c>
    </row>
    <row r="13" spans="1:11" x14ac:dyDescent="0.3">
      <c r="A13" s="43">
        <v>4600</v>
      </c>
      <c r="B13" s="44" t="s">
        <v>396</v>
      </c>
      <c r="C13" s="44">
        <f>+'2021 Nto driftsutg'!W13</f>
        <v>639102</v>
      </c>
      <c r="D13" s="5">
        <f>+'2021 Nto driftsutg eks avskriv'!R13</f>
        <v>55231</v>
      </c>
      <c r="E13" s="5">
        <f>+'2021 Lønnsgr pensjon tjeneste'!C13</f>
        <v>3205400</v>
      </c>
      <c r="F13" s="59">
        <f t="shared" si="4"/>
        <v>1.7230610844200411E-2</v>
      </c>
      <c r="G13" s="5">
        <f>'2021 Lønnsand og pensjon land'!$C$6*'2021 Lønnsand og arbavg landet'!$D$6*'2021 Revekting utgiftsbehov'!D13+'2021 Lønnsand og pensjon land'!$C$7*'2021 Lønnsand og arbavg landet'!$D$7*'2021 Revekting utgiftsbehov'!E13+'2021 Lønnsand og pensjon land'!$C$8*'2021 Lønnsand og arbavg landet'!$D$8*'2021 Revekting utgiftsbehov'!F13+'2021 Lønnsand og pensjon land'!$C$9*'2021 Lønnsand og arbavg landet'!$D$9*'2021 Revekting utgiftsbehov'!G13+'2021 Lønnsand og pensjon land'!$C$10*'2021 Lønnsand og arbavg landet'!$D$10*'2021 Revekting utgiftsbehov'!H13+'2021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4982.5324737519859</v>
      </c>
      <c r="H13" s="59">
        <f t="shared" si="1"/>
        <v>1.0590145549787737</v>
      </c>
      <c r="I13" s="59">
        <f t="shared" si="2"/>
        <v>2.158898721477467E-3</v>
      </c>
      <c r="J13" s="5">
        <f t="shared" si="3"/>
        <v>263.19191657693932</v>
      </c>
      <c r="K13" s="5">
        <f t="shared" si="5"/>
        <v>168206480.26815507</v>
      </c>
    </row>
    <row r="14" spans="1:11" x14ac:dyDescent="0.3">
      <c r="A14" s="43">
        <v>5000</v>
      </c>
      <c r="B14" s="44" t="s">
        <v>390</v>
      </c>
      <c r="C14" s="44">
        <f>+'2021 Nto driftsutg'!W14</f>
        <v>470984</v>
      </c>
      <c r="D14" s="5">
        <f>+'2021 Nto driftsutg eks avskriv'!R14</f>
        <v>-73902</v>
      </c>
      <c r="E14" s="5">
        <f>+'2021 Lønnsgr pensjon tjeneste'!C14</f>
        <v>2497757</v>
      </c>
      <c r="F14" s="59">
        <f t="shared" si="4"/>
        <v>-2.9587345766621812E-2</v>
      </c>
      <c r="G14" s="5">
        <f>'2021 Lønnsand og pensjon land'!$C$6*'2021 Lønnsand og arbavg landet'!$D$6*'2021 Revekting utgiftsbehov'!D14+'2021 Lønnsand og pensjon land'!$C$7*'2021 Lønnsand og arbavg landet'!$D$7*'2021 Revekting utgiftsbehov'!E14+'2021 Lønnsand og pensjon land'!$C$8*'2021 Lønnsand og arbavg landet'!$D$8*'2021 Revekting utgiftsbehov'!F14+'2021 Lønnsand og pensjon land'!$C$9*'2021 Lønnsand og arbavg landet'!$D$9*'2021 Revekting utgiftsbehov'!G14+'2021 Lønnsand og pensjon land'!$C$10*'2021 Lønnsand og arbavg landet'!$D$10*'2021 Revekting utgiftsbehov'!H14+'2021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4794.7744027554745</v>
      </c>
      <c r="H14" s="59">
        <f t="shared" si="1"/>
        <v>1.0191074332394723</v>
      </c>
      <c r="I14" s="59">
        <f t="shared" si="2"/>
        <v>-2.6290062564659576E-3</v>
      </c>
      <c r="J14" s="5">
        <f t="shared" si="3"/>
        <v>28.792446979079472</v>
      </c>
      <c r="K14" s="5">
        <f t="shared" si="5"/>
        <v>13560781.847994765</v>
      </c>
    </row>
    <row r="15" spans="1:11" x14ac:dyDescent="0.3">
      <c r="A15" s="43">
        <v>5400</v>
      </c>
      <c r="B15" s="44" t="s">
        <v>397</v>
      </c>
      <c r="C15" s="44">
        <f>+'2021 Nto driftsutg'!W15</f>
        <v>241663</v>
      </c>
      <c r="D15" s="5">
        <f>+'2021 Nto driftsutg eks avskriv'!R15</f>
        <v>-71497</v>
      </c>
      <c r="E15" s="5">
        <f>+'2021 Lønnsgr pensjon tjeneste'!C15</f>
        <v>1887081</v>
      </c>
      <c r="F15" s="59">
        <f t="shared" si="4"/>
        <v>-3.7887615846908529E-2</v>
      </c>
      <c r="G15" s="5">
        <f>'2021 Lønnsand og pensjon land'!$C$6*'2021 Lønnsand og arbavg landet'!$D$6*'2021 Revekting utgiftsbehov'!D15+'2021 Lønnsand og pensjon land'!$C$7*'2021 Lønnsand og arbavg landet'!$D$7*'2021 Revekting utgiftsbehov'!E15+'2021 Lønnsand og pensjon land'!$C$8*'2021 Lønnsand og arbavg landet'!$D$8*'2021 Revekting utgiftsbehov'!F15+'2021 Lønnsand og pensjon land'!$C$9*'2021 Lønnsand og arbavg landet'!$D$9*'2021 Revekting utgiftsbehov'!G15+'2021 Lønnsand og pensjon land'!$C$10*'2021 Lønnsand og arbavg landet'!$D$10*'2021 Revekting utgiftsbehov'!H15+'2021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5108.6151170136118</v>
      </c>
      <c r="H15" s="59">
        <f t="shared" si="1"/>
        <v>1.0858128458173504</v>
      </c>
      <c r="I15" s="59">
        <f t="shared" si="2"/>
        <v>-1.8404410213780061E-3</v>
      </c>
      <c r="J15" s="5">
        <f t="shared" si="3"/>
        <v>-11.725836083175116</v>
      </c>
      <c r="K15" s="5">
        <f t="shared" si="5"/>
        <v>-2833700.725368348</v>
      </c>
    </row>
    <row r="16" spans="1:11" x14ac:dyDescent="0.3">
      <c r="B16" s="45"/>
      <c r="C16" s="45"/>
      <c r="F16" s="59"/>
      <c r="H16" s="5"/>
    </row>
    <row r="17" spans="2:11" x14ac:dyDescent="0.3">
      <c r="B17" s="44" t="s">
        <v>3</v>
      </c>
      <c r="C17" s="5">
        <f>SUM(C5:C16)</f>
        <v>5401825</v>
      </c>
      <c r="D17" s="5">
        <f>SUM(D5:D16)</f>
        <v>-934580.06606233004</v>
      </c>
      <c r="E17" s="5">
        <f>SUM(E5:E16)</f>
        <v>27615612</v>
      </c>
      <c r="F17" s="59">
        <f t="shared" ref="F17" si="6">+D17/E17</f>
        <v>-3.3842453539046323E-2</v>
      </c>
      <c r="G17" s="5">
        <f>'2021 Lønnsand og pensjon land'!$C$6*'2021 Lønnsand og arbavg landet'!$D$6*'2021 Revekting utgiftsbehov'!D17+'2021 Lønnsand og pensjon land'!$C$7*'2021 Lønnsand og arbavg landet'!$D$7*'2021 Revekting utgiftsbehov'!E17+'2021 Lønnsand og pensjon land'!$C$8*'2021 Lønnsand og arbavg landet'!$D$8*'2021 Revekting utgiftsbehov'!F17+'2021 Lønnsand og pensjon land'!$C$9*'2021 Lønnsand og arbavg landet'!$D$9*'2021 Revekting utgiftsbehov'!G17+'2021 Lønnsand og pensjon land'!$C$10*'2021 Lønnsand og arbavg landet'!$D$10*'2021 Revekting utgiftsbehov'!H17+'2021 Lønnsand og pensjon land'!$C$13*'2021 Lønnsand og pensjon land'!$D$13+'2021 Lønnsand og pensjon land'!$C$14*'2021 Lønnsand og pensjon land'!$D$14+'2021 Lønnsand og pensjon land'!$C$15*'2021 Lønnsand og pensjon land'!$D$15+'2021 Lønnsand og pensjon land'!$C$16*'2021 Lønnsand og pensjon land'!$D$16+'2021 Lønnsand og pensjon land'!$C$17*'2021 Lønnsand og pensjon land'!$D$17+'2021 Lønnsand og pensjon land'!$C$18*'2021 Lønnsand og pensjon land'!$D$18</f>
        <v>4704.87629308537</v>
      </c>
      <c r="H17" s="59">
        <f>G17/G$17</f>
        <v>1</v>
      </c>
      <c r="I17" s="59">
        <f>SUM(I5:I15)</f>
        <v>-3.5592309621132454E-2</v>
      </c>
      <c r="J17" s="5"/>
      <c r="K17" s="5">
        <f>SUM(K5:K16)</f>
        <v>-1.5685266815125942E-2</v>
      </c>
    </row>
    <row r="18" spans="2:11" x14ac:dyDescent="0.3">
      <c r="C18" s="5"/>
      <c r="I18" s="5"/>
    </row>
  </sheetData>
  <sheetProtection algorithmName="SHA-512" hashValue="GNdBSI4eXQw5TV4OZt/E9luWCET/czgdERClMWaqSDcV0fnAGoGGVZfddbuj/rp2AEZF4AtJXK89oUfJN0oKjw==" saltValue="A7qXjTcQqs/4e9if99JI3w==" spinCount="100000" sheet="1" objects="1" scenarios="1" selectLockedCells="1" selectUnlockedCell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M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5.5546875" customWidth="1"/>
    <col min="2" max="2" width="17.88671875" bestFit="1" customWidth="1"/>
    <col min="3" max="8" width="12" customWidth="1"/>
    <col min="9" max="10" width="14.5546875" customWidth="1"/>
    <col min="11" max="11" width="14.88671875" customWidth="1"/>
    <col min="12" max="12" width="14.5546875" customWidth="1"/>
    <col min="13" max="13" width="16.109375" customWidth="1"/>
  </cols>
  <sheetData>
    <row r="1" spans="1:13" x14ac:dyDescent="0.3">
      <c r="D1" s="117"/>
      <c r="E1" s="117"/>
      <c r="F1" s="117"/>
      <c r="G1" s="117"/>
      <c r="H1" s="117"/>
    </row>
    <row r="2" spans="1:13" ht="40.200000000000003" x14ac:dyDescent="0.3">
      <c r="A2" s="24" t="s">
        <v>2</v>
      </c>
      <c r="B2" s="24" t="s">
        <v>1</v>
      </c>
      <c r="C2" s="24" t="s">
        <v>401</v>
      </c>
      <c r="D2" s="24" t="s">
        <v>174</v>
      </c>
      <c r="E2" s="24" t="s">
        <v>175</v>
      </c>
      <c r="F2" s="24" t="s">
        <v>278</v>
      </c>
      <c r="G2" s="24" t="s">
        <v>279</v>
      </c>
      <c r="H2" s="24" t="s">
        <v>176</v>
      </c>
      <c r="I2" s="24" t="s">
        <v>123</v>
      </c>
      <c r="J2" s="24" t="s">
        <v>124</v>
      </c>
      <c r="K2" s="24" t="s">
        <v>125</v>
      </c>
      <c r="L2" s="24" t="s">
        <v>122</v>
      </c>
      <c r="M2" s="24" t="s">
        <v>126</v>
      </c>
    </row>
    <row r="3" spans="1:13" x14ac:dyDescent="0.3">
      <c r="A3" s="107">
        <v>1</v>
      </c>
      <c r="B3" s="107">
        <f>+A3+1</f>
        <v>2</v>
      </c>
      <c r="C3" s="107">
        <f t="shared" ref="C3:M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</row>
    <row r="5" spans="1:13" x14ac:dyDescent="0.3">
      <c r="A5" s="43">
        <v>300</v>
      </c>
      <c r="B5" s="44" t="s">
        <v>0</v>
      </c>
      <c r="C5" s="44">
        <f>+'2021 Nto driftsutg'!W5</f>
        <v>696108</v>
      </c>
      <c r="D5" s="3">
        <f>+'2021 Revekting utgiftsbehov'!D5</f>
        <v>0.69992741783000001</v>
      </c>
      <c r="E5" s="3">
        <f>+'2021 Revekting utgiftsbehov'!E5</f>
        <v>0.27329987798200006</v>
      </c>
      <c r="F5" s="3">
        <f>+'2021 Revekting utgiftsbehov'!F5</f>
        <v>1.7366784255119998</v>
      </c>
      <c r="G5" s="3">
        <f>+'2021 Revekting utgiftsbehov'!G5</f>
        <v>1.3162570200000001E-3</v>
      </c>
      <c r="H5" s="3">
        <f>+'2021 Revekting utgiftsbehov'!H5</f>
        <v>0.8621454616980001</v>
      </c>
      <c r="I5" s="5">
        <f>+'2021 Nto driftsutg landet'!$C$35*(D5-1)*C5</f>
        <v>0</v>
      </c>
      <c r="J5" s="5">
        <f t="shared" ref="J5:J15" si="1">+I5-$I$17*C5/$C$17</f>
        <v>0</v>
      </c>
      <c r="K5" s="5">
        <f t="shared" ref="K5:K15" si="2">J5/C5</f>
        <v>0</v>
      </c>
      <c r="L5" s="5">
        <f>+K5</f>
        <v>0</v>
      </c>
      <c r="M5" s="5">
        <f t="shared" ref="M5:M15" si="3">+L5*C5/1000</f>
        <v>0</v>
      </c>
    </row>
    <row r="6" spans="1:13" x14ac:dyDescent="0.3">
      <c r="A6" s="43">
        <v>1100</v>
      </c>
      <c r="B6" s="44" t="s">
        <v>141</v>
      </c>
      <c r="C6" s="44">
        <f>+'2021 Nto driftsutg'!W6</f>
        <v>484091</v>
      </c>
      <c r="D6" s="3">
        <f>+'2021 Revekting utgiftsbehov'!D6</f>
        <v>1.067319466676</v>
      </c>
      <c r="E6" s="3">
        <f>+'2021 Revekting utgiftsbehov'!E6</f>
        <v>0.81816777181600009</v>
      </c>
      <c r="F6" s="3">
        <f>+'2021 Revekting utgiftsbehov'!F6</f>
        <v>1.0249622935999998</v>
      </c>
      <c r="G6" s="3">
        <f>+'2021 Revekting utgiftsbehov'!G6</f>
        <v>0.84093635050800009</v>
      </c>
      <c r="H6" s="3">
        <f>+'2021 Revekting utgiftsbehov'!H6</f>
        <v>1.0806156121719999</v>
      </c>
      <c r="I6" s="5">
        <f>+'2021 Nto driftsutg landet'!$C$35*(D6-1)*C6</f>
        <v>0</v>
      </c>
      <c r="J6" s="5">
        <f t="shared" si="1"/>
        <v>0</v>
      </c>
      <c r="K6" s="5">
        <f t="shared" si="2"/>
        <v>0</v>
      </c>
      <c r="L6" s="5">
        <f t="shared" ref="L6:L15" si="4">+K6</f>
        <v>0</v>
      </c>
      <c r="M6" s="5">
        <f t="shared" si="3"/>
        <v>0</v>
      </c>
    </row>
    <row r="7" spans="1:13" x14ac:dyDescent="0.3">
      <c r="A7" s="43">
        <v>1500</v>
      </c>
      <c r="B7" s="44" t="s">
        <v>142</v>
      </c>
      <c r="C7" s="44">
        <f>+'2021 Nto driftsutg'!W7</f>
        <v>265297</v>
      </c>
      <c r="D7" s="3">
        <f>+'2021 Revekting utgiftsbehov'!D7</f>
        <v>1.115228965022</v>
      </c>
      <c r="E7" s="3">
        <f>+'2021 Revekting utgiftsbehov'!E7</f>
        <v>1.4589049309419999</v>
      </c>
      <c r="F7" s="3">
        <f>+'2021 Revekting utgiftsbehov'!F7</f>
        <v>0.99652723767999996</v>
      </c>
      <c r="G7" s="3">
        <f>+'2021 Revekting utgiftsbehov'!G7</f>
        <v>3.1024151350700002</v>
      </c>
      <c r="H7" s="3">
        <f>+'2021 Revekting utgiftsbehov'!H7</f>
        <v>1.0303618790409999</v>
      </c>
      <c r="I7" s="5">
        <f>+'2021 Nto driftsutg landet'!$C$35*(D7-1)*C7</f>
        <v>0</v>
      </c>
      <c r="J7" s="5">
        <f t="shared" si="1"/>
        <v>0</v>
      </c>
      <c r="K7" s="5">
        <f t="shared" si="2"/>
        <v>0</v>
      </c>
      <c r="L7" s="5">
        <f t="shared" si="4"/>
        <v>0</v>
      </c>
      <c r="M7" s="5">
        <f t="shared" si="3"/>
        <v>0</v>
      </c>
    </row>
    <row r="8" spans="1:13" x14ac:dyDescent="0.3">
      <c r="A8" s="43">
        <v>1800</v>
      </c>
      <c r="B8" s="44" t="s">
        <v>143</v>
      </c>
      <c r="C8" s="44">
        <f>+'2021 Nto driftsutg'!W8</f>
        <v>240496</v>
      </c>
      <c r="D8" s="3">
        <f>+'2021 Revekting utgiftsbehov'!D8</f>
        <v>1.0985606159099996</v>
      </c>
      <c r="E8" s="3">
        <f>+'2021 Revekting utgiftsbehov'!E8</f>
        <v>1.740798889156</v>
      </c>
      <c r="F8" s="3">
        <f>+'2021 Revekting utgiftsbehov'!F8</f>
        <v>1.0164832532719998</v>
      </c>
      <c r="G8" s="3">
        <f>+'2021 Revekting utgiftsbehov'!G8</f>
        <v>5.5170510257599998</v>
      </c>
      <c r="H8" s="3">
        <f>+'2021 Revekting utgiftsbehov'!H8</f>
        <v>0.98545390553199996</v>
      </c>
      <c r="I8" s="5">
        <f>+'2021 Nto driftsutg landet'!$C$35*(D8-1)*C8</f>
        <v>0</v>
      </c>
      <c r="J8" s="5">
        <f t="shared" si="1"/>
        <v>0</v>
      </c>
      <c r="K8" s="5">
        <f t="shared" si="2"/>
        <v>0</v>
      </c>
      <c r="L8" s="5">
        <f t="shared" si="4"/>
        <v>0</v>
      </c>
      <c r="M8" s="5">
        <f t="shared" si="3"/>
        <v>0</v>
      </c>
    </row>
    <row r="9" spans="1:13" x14ac:dyDescent="0.3">
      <c r="A9" s="43">
        <v>3000</v>
      </c>
      <c r="B9" s="44" t="s">
        <v>392</v>
      </c>
      <c r="C9" s="44">
        <f>+'2021 Nto driftsutg'!W9</f>
        <v>1260731</v>
      </c>
      <c r="D9" s="3">
        <f>+'2021 Revekting utgiftsbehov'!D9</f>
        <v>1.0213270273399999</v>
      </c>
      <c r="E9" s="3">
        <f>+'2021 Revekting utgiftsbehov'!E9</f>
        <v>0.647410470214</v>
      </c>
      <c r="F9" s="3">
        <f>+'2021 Revekting utgiftsbehov'!F9</f>
        <v>0.67128453190399995</v>
      </c>
      <c r="G9" s="3">
        <f>+'2021 Revekting utgiftsbehov'!G9</f>
        <v>6.3826614545999999E-2</v>
      </c>
      <c r="H9" s="3">
        <f>+'2021 Revekting utgiftsbehov'!H9</f>
        <v>1.037185946318</v>
      </c>
      <c r="I9" s="5">
        <f>+'2021 Nto driftsutg landet'!$C$35*(D9-1)*C9</f>
        <v>0</v>
      </c>
      <c r="J9" s="5">
        <f t="shared" si="1"/>
        <v>0</v>
      </c>
      <c r="K9" s="5">
        <f t="shared" si="2"/>
        <v>0</v>
      </c>
      <c r="L9" s="5">
        <f t="shared" si="4"/>
        <v>0</v>
      </c>
      <c r="M9" s="5">
        <f t="shared" si="3"/>
        <v>0</v>
      </c>
    </row>
    <row r="10" spans="1:13" x14ac:dyDescent="0.3">
      <c r="A10" s="43">
        <v>3400</v>
      </c>
      <c r="B10" s="44" t="s">
        <v>393</v>
      </c>
      <c r="C10" s="44">
        <f>+'2021 Nto driftsutg'!W10</f>
        <v>370701</v>
      </c>
      <c r="D10" s="3">
        <f>+'2021 Revekting utgiftsbehov'!D10</f>
        <v>1.0261357862519997</v>
      </c>
      <c r="E10" s="3">
        <f>+'2021 Revekting utgiftsbehov'!E10</f>
        <v>1.5201988443160002</v>
      </c>
      <c r="F10" s="3">
        <f>+'2021 Revekting utgiftsbehov'!F10</f>
        <v>1.009729337976</v>
      </c>
      <c r="G10" s="3">
        <f>+'2021 Revekting utgiftsbehov'!G10</f>
        <v>3.8547033684000004E-2</v>
      </c>
      <c r="H10" s="3">
        <f>+'2021 Revekting utgiftsbehov'!H10</f>
        <v>0.96374535311999998</v>
      </c>
      <c r="I10" s="5">
        <f>+'2021 Nto driftsutg landet'!$C$35*(D10-1)*C10</f>
        <v>0</v>
      </c>
      <c r="J10" s="5">
        <f t="shared" si="1"/>
        <v>0</v>
      </c>
      <c r="K10" s="5">
        <f t="shared" si="2"/>
        <v>0</v>
      </c>
      <c r="L10" s="5">
        <f t="shared" si="4"/>
        <v>0</v>
      </c>
      <c r="M10" s="5">
        <f t="shared" si="3"/>
        <v>0</v>
      </c>
    </row>
    <row r="11" spans="1:13" x14ac:dyDescent="0.3">
      <c r="A11" s="43">
        <v>3800</v>
      </c>
      <c r="B11" s="44" t="s">
        <v>394</v>
      </c>
      <c r="C11" s="44">
        <f>+'2021 Nto driftsutg'!W11</f>
        <v>423144</v>
      </c>
      <c r="D11" s="3">
        <f>+'2021 Revekting utgiftsbehov'!D11</f>
        <v>1.0188882733159998</v>
      </c>
      <c r="E11" s="3">
        <f>+'2021 Revekting utgiftsbehov'!E11</f>
        <v>0.96541871701000015</v>
      </c>
      <c r="F11" s="3">
        <f>+'2021 Revekting utgiftsbehov'!F11</f>
        <v>0.72761217902399999</v>
      </c>
      <c r="G11" s="3">
        <f>+'2021 Revekting utgiftsbehov'!G11</f>
        <v>0.16001458453400003</v>
      </c>
      <c r="H11" s="3">
        <f>+'2021 Revekting utgiftsbehov'!H11</f>
        <v>0.99862059254700009</v>
      </c>
      <c r="I11" s="5">
        <f>+'2021 Nto driftsutg landet'!$C$35*(D11-1)*C11</f>
        <v>0</v>
      </c>
      <c r="J11" s="5">
        <f t="shared" si="1"/>
        <v>0</v>
      </c>
      <c r="K11" s="5">
        <f t="shared" si="2"/>
        <v>0</v>
      </c>
      <c r="L11" s="5">
        <f t="shared" si="4"/>
        <v>0</v>
      </c>
      <c r="M11" s="5">
        <f t="shared" si="3"/>
        <v>0</v>
      </c>
    </row>
    <row r="12" spans="1:13" x14ac:dyDescent="0.3">
      <c r="A12" s="43">
        <v>4200</v>
      </c>
      <c r="B12" s="44" t="s">
        <v>395</v>
      </c>
      <c r="C12" s="44">
        <f>+'2021 Nto driftsutg'!W12</f>
        <v>309508</v>
      </c>
      <c r="D12" s="3">
        <f>+'2021 Revekting utgiftsbehov'!D12</f>
        <v>1.05030069166</v>
      </c>
      <c r="E12" s="3">
        <f>+'2021 Revekting utgiftsbehov'!E12</f>
        <v>1.1653561073379999</v>
      </c>
      <c r="F12" s="3">
        <f>+'2021 Revekting utgiftsbehov'!F12</f>
        <v>0.81375635999199991</v>
      </c>
      <c r="G12" s="3">
        <f>+'2021 Revekting utgiftsbehov'!G12</f>
        <v>0.23760515278000002</v>
      </c>
      <c r="H12" s="3">
        <f>+'2021 Revekting utgiftsbehov'!H12</f>
        <v>1.0486821090080001</v>
      </c>
      <c r="I12" s="5">
        <f>+'2021 Nto driftsutg landet'!$C$35*(D12-1)*C12</f>
        <v>0</v>
      </c>
      <c r="J12" s="5">
        <f t="shared" si="1"/>
        <v>0</v>
      </c>
      <c r="K12" s="5">
        <f t="shared" si="2"/>
        <v>0</v>
      </c>
      <c r="L12" s="5">
        <f t="shared" si="4"/>
        <v>0</v>
      </c>
      <c r="M12" s="5">
        <f t="shared" si="3"/>
        <v>0</v>
      </c>
    </row>
    <row r="13" spans="1:13" x14ac:dyDescent="0.3">
      <c r="A13" s="43">
        <v>4600</v>
      </c>
      <c r="B13" s="44" t="s">
        <v>396</v>
      </c>
      <c r="C13" s="44">
        <f>+'2021 Nto driftsutg'!W13</f>
        <v>639102</v>
      </c>
      <c r="D13" s="3">
        <f>+'2021 Revekting utgiftsbehov'!D13</f>
        <v>1.0627111443199999</v>
      </c>
      <c r="E13" s="3">
        <f>+'2021 Revekting utgiftsbehov'!E13</f>
        <v>1.179674447704</v>
      </c>
      <c r="F13" s="3">
        <f>+'2021 Revekting utgiftsbehov'!F13</f>
        <v>1.0003785486719998</v>
      </c>
      <c r="G13" s="3">
        <f>+'2021 Revekting utgiftsbehov'!G13</f>
        <v>1.9450823642099999</v>
      </c>
      <c r="H13" s="3">
        <f>+'2021 Revekting utgiftsbehov'!H13</f>
        <v>1.027352720051</v>
      </c>
      <c r="I13" s="5">
        <f>+'2021 Nto driftsutg landet'!$C$35*(D13-1)*C13</f>
        <v>0</v>
      </c>
      <c r="J13" s="5">
        <f t="shared" si="1"/>
        <v>0</v>
      </c>
      <c r="K13" s="5">
        <f t="shared" si="2"/>
        <v>0</v>
      </c>
      <c r="L13" s="5">
        <f t="shared" si="4"/>
        <v>0</v>
      </c>
      <c r="M13" s="5">
        <f t="shared" si="3"/>
        <v>0</v>
      </c>
    </row>
    <row r="14" spans="1:13" x14ac:dyDescent="0.3">
      <c r="A14" s="43">
        <v>5000</v>
      </c>
      <c r="B14" s="44" t="s">
        <v>390</v>
      </c>
      <c r="C14" s="44">
        <f>+'2021 Nto driftsutg'!W14</f>
        <v>470984</v>
      </c>
      <c r="D14" s="3">
        <f>+'2021 Revekting utgiftsbehov'!D14</f>
        <v>1.012572546855</v>
      </c>
      <c r="E14" s="3">
        <f>+'2021 Revekting utgiftsbehov'!E14</f>
        <v>1.2942396964060001</v>
      </c>
      <c r="F14" s="3">
        <f>+'2021 Revekting utgiftsbehov'!F14</f>
        <v>1.05514238388</v>
      </c>
      <c r="G14" s="3">
        <f>+'2021 Revekting utgiftsbehov'!G14</f>
        <v>1.138105922492</v>
      </c>
      <c r="H14" s="3">
        <f>+'2021 Revekting utgiftsbehov'!H14</f>
        <v>0.99297800244399992</v>
      </c>
      <c r="I14" s="5">
        <f>+'2021 Nto driftsutg landet'!$C$35*(D14-1)*C14</f>
        <v>0</v>
      </c>
      <c r="J14" s="5">
        <f t="shared" si="1"/>
        <v>0</v>
      </c>
      <c r="K14" s="5">
        <f t="shared" si="2"/>
        <v>0</v>
      </c>
      <c r="L14" s="5">
        <f t="shared" si="4"/>
        <v>0</v>
      </c>
      <c r="M14" s="5">
        <f t="shared" si="3"/>
        <v>0</v>
      </c>
    </row>
    <row r="15" spans="1:13" x14ac:dyDescent="0.3">
      <c r="A15" s="43">
        <v>5400</v>
      </c>
      <c r="B15" s="44" t="s">
        <v>397</v>
      </c>
      <c r="C15" s="44">
        <f>+'2021 Nto driftsutg'!W15</f>
        <v>241663</v>
      </c>
      <c r="D15" s="3">
        <f>+'2021 Revekting utgiftsbehov'!D15</f>
        <v>1.0657255152389999</v>
      </c>
      <c r="E15" s="3">
        <f>+'2021 Revekting utgiftsbehov'!E15</f>
        <v>2.0580994937500003</v>
      </c>
      <c r="F15" s="3">
        <f>+'2021 Revekting utgiftsbehov'!F15</f>
        <v>1.1223627904319999</v>
      </c>
      <c r="G15" s="3">
        <f>+'2021 Revekting utgiftsbehov'!G15</f>
        <v>3.4295099211780005</v>
      </c>
      <c r="H15" s="3">
        <f>+'2021 Revekting utgiftsbehov'!H15</f>
        <v>0.95977925969500011</v>
      </c>
      <c r="I15" s="5">
        <f>+'2021 Nto driftsutg landet'!$C$35*(D15-1)*C15</f>
        <v>0</v>
      </c>
      <c r="J15" s="5">
        <f t="shared" si="1"/>
        <v>0</v>
      </c>
      <c r="K15" s="5">
        <f t="shared" si="2"/>
        <v>0</v>
      </c>
      <c r="L15" s="5">
        <f t="shared" si="4"/>
        <v>0</v>
      </c>
      <c r="M15" s="5">
        <f t="shared" si="3"/>
        <v>0</v>
      </c>
    </row>
    <row r="16" spans="1:13" x14ac:dyDescent="0.3">
      <c r="B16" s="45"/>
      <c r="C16" s="45"/>
      <c r="D16" s="4"/>
      <c r="E16" s="4"/>
      <c r="F16" s="4"/>
      <c r="G16" s="4"/>
      <c r="H16" s="4"/>
    </row>
    <row r="17" spans="2:13" x14ac:dyDescent="0.3">
      <c r="B17" s="44" t="s">
        <v>3</v>
      </c>
      <c r="C17" s="5">
        <f>SUM(C5:C16)</f>
        <v>5401825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5">
        <f>SUM(I5:I15)</f>
        <v>0</v>
      </c>
      <c r="J17" s="5">
        <f>SUM(J5:J15)</f>
        <v>0</v>
      </c>
      <c r="K17" s="5">
        <f t="shared" ref="K17:L17" si="5">SUM(K5:K15)</f>
        <v>0</v>
      </c>
      <c r="L17" s="5">
        <f t="shared" si="5"/>
        <v>0</v>
      </c>
      <c r="M17" s="5">
        <f>SUM(M5:M15)</f>
        <v>0</v>
      </c>
    </row>
  </sheetData>
  <sheetProtection algorithmName="SHA-512" hashValue="O8Yqe5n2zq8VzEJ93JDaQe4uA9GeRcnWmcQ+xyuGpKGJq1ZNEJi/eqSokcu/xMRAy5xTKxanV18GjLWz8X0dNw==" saltValue="N/aEPRijChNZ/LJGD/7cSQ==" spinCount="100000" sheet="1" objects="1" scenarios="1" selectLockedCells="1" selectUnlockedCells="1"/>
  <mergeCells count="1">
    <mergeCell ref="D1:H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21"/>
  <sheetViews>
    <sheetView workbookViewId="0"/>
  </sheetViews>
  <sheetFormatPr baseColWidth="10" defaultRowHeight="14.4" x14ac:dyDescent="0.3"/>
  <cols>
    <col min="1" max="1" width="9.88671875" customWidth="1"/>
    <col min="2" max="2" width="18.5546875" customWidth="1"/>
    <col min="3" max="3" width="13.109375" customWidth="1"/>
    <col min="6" max="7" width="14.88671875" customWidth="1"/>
    <col min="8" max="8" width="11.5546875" customWidth="1"/>
    <col min="9" max="9" width="4.5546875" customWidth="1"/>
    <col min="25" max="25" width="4.44140625" customWidth="1"/>
  </cols>
  <sheetData>
    <row r="1" spans="1:39" ht="15" customHeight="1" x14ac:dyDescent="0.3">
      <c r="D1" s="118" t="s">
        <v>82</v>
      </c>
      <c r="E1" s="117"/>
      <c r="F1" s="117"/>
      <c r="G1" s="117"/>
      <c r="H1" s="117"/>
      <c r="J1" s="119" t="s">
        <v>249</v>
      </c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Z1" s="120" t="s">
        <v>99</v>
      </c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</row>
    <row r="2" spans="1:39" ht="79.8" x14ac:dyDescent="0.3">
      <c r="A2" s="24" t="s">
        <v>2</v>
      </c>
      <c r="B2" s="24" t="s">
        <v>1</v>
      </c>
      <c r="C2" s="24" t="s">
        <v>9</v>
      </c>
      <c r="D2" s="24" t="s">
        <v>174</v>
      </c>
      <c r="E2" s="24" t="s">
        <v>175</v>
      </c>
      <c r="F2" s="24" t="s">
        <v>278</v>
      </c>
      <c r="G2" s="24" t="s">
        <v>279</v>
      </c>
      <c r="H2" s="24" t="s">
        <v>240</v>
      </c>
      <c r="I2" s="24"/>
      <c r="J2" s="24" t="s">
        <v>241</v>
      </c>
      <c r="K2" s="24" t="s">
        <v>242</v>
      </c>
      <c r="L2" s="24" t="s">
        <v>298</v>
      </c>
      <c r="M2" s="24" t="s">
        <v>299</v>
      </c>
      <c r="N2" s="24" t="s">
        <v>243</v>
      </c>
      <c r="O2" s="13" t="s">
        <v>77</v>
      </c>
      <c r="P2" s="24" t="s">
        <v>78</v>
      </c>
      <c r="Q2" s="24" t="s">
        <v>244</v>
      </c>
      <c r="R2" s="24" t="s">
        <v>245</v>
      </c>
      <c r="S2" s="24" t="s">
        <v>79</v>
      </c>
      <c r="T2" s="24" t="s">
        <v>246</v>
      </c>
      <c r="U2" s="24" t="s">
        <v>80</v>
      </c>
      <c r="V2" s="24" t="s">
        <v>247</v>
      </c>
      <c r="W2" s="24" t="s">
        <v>248</v>
      </c>
      <c r="X2" s="24" t="s">
        <v>81</v>
      </c>
      <c r="Z2" s="24" t="s">
        <v>241</v>
      </c>
      <c r="AA2" s="24" t="s">
        <v>242</v>
      </c>
      <c r="AB2" s="24" t="s">
        <v>298</v>
      </c>
      <c r="AC2" s="24" t="s">
        <v>299</v>
      </c>
      <c r="AD2" s="24" t="s">
        <v>243</v>
      </c>
      <c r="AE2" s="13" t="s">
        <v>77</v>
      </c>
      <c r="AF2" s="24" t="s">
        <v>78</v>
      </c>
      <c r="AG2" s="24" t="s">
        <v>244</v>
      </c>
      <c r="AH2" s="24" t="s">
        <v>245</v>
      </c>
      <c r="AI2" s="24" t="s">
        <v>79</v>
      </c>
      <c r="AJ2" s="24" t="s">
        <v>246</v>
      </c>
      <c r="AK2" s="24" t="s">
        <v>80</v>
      </c>
      <c r="AL2" s="24" t="s">
        <v>247</v>
      </c>
      <c r="AM2" s="24" t="s">
        <v>248</v>
      </c>
    </row>
    <row r="3" spans="1:39" x14ac:dyDescent="0.3">
      <c r="A3" s="107">
        <v>1</v>
      </c>
      <c r="B3" s="107">
        <f>+A3+1</f>
        <v>2</v>
      </c>
      <c r="C3" s="107">
        <f>+B3+1</f>
        <v>3</v>
      </c>
      <c r="D3" s="107">
        <f>+C3+1</f>
        <v>4</v>
      </c>
      <c r="E3" s="107">
        <f t="shared" ref="E3:J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ref="K3:X3" si="1">J3+1</f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  <c r="S3" s="107">
        <f t="shared" si="1"/>
        <v>19</v>
      </c>
      <c r="T3" s="107">
        <f t="shared" si="1"/>
        <v>20</v>
      </c>
      <c r="U3" s="107">
        <f t="shared" si="1"/>
        <v>21</v>
      </c>
      <c r="V3" s="107">
        <f t="shared" si="1"/>
        <v>22</v>
      </c>
      <c r="W3" s="107">
        <f t="shared" si="1"/>
        <v>23</v>
      </c>
      <c r="X3" s="107">
        <f t="shared" si="1"/>
        <v>24</v>
      </c>
      <c r="Y3" s="102">
        <f>+X3+1</f>
        <v>25</v>
      </c>
      <c r="Z3" s="102">
        <f>+Y3+1</f>
        <v>26</v>
      </c>
      <c r="AA3" s="107">
        <f t="shared" ref="AA3:AM3" si="2">Z3+1</f>
        <v>27</v>
      </c>
      <c r="AB3" s="107">
        <f t="shared" si="2"/>
        <v>28</v>
      </c>
      <c r="AC3" s="107">
        <f t="shared" si="2"/>
        <v>29</v>
      </c>
      <c r="AD3" s="107">
        <f t="shared" si="2"/>
        <v>30</v>
      </c>
      <c r="AE3" s="107">
        <f t="shared" si="2"/>
        <v>31</v>
      </c>
      <c r="AF3" s="107">
        <f t="shared" si="2"/>
        <v>32</v>
      </c>
      <c r="AG3" s="107">
        <f t="shared" si="2"/>
        <v>33</v>
      </c>
      <c r="AH3" s="107">
        <f t="shared" si="2"/>
        <v>34</v>
      </c>
      <c r="AI3" s="107">
        <f t="shared" si="2"/>
        <v>35</v>
      </c>
      <c r="AJ3" s="107">
        <f t="shared" si="2"/>
        <v>36</v>
      </c>
      <c r="AK3" s="107">
        <f t="shared" si="2"/>
        <v>37</v>
      </c>
      <c r="AL3" s="107">
        <f t="shared" si="2"/>
        <v>38</v>
      </c>
      <c r="AM3" s="107">
        <f t="shared" si="2"/>
        <v>39</v>
      </c>
    </row>
    <row r="5" spans="1:39" x14ac:dyDescent="0.3">
      <c r="A5" s="43">
        <v>300</v>
      </c>
      <c r="B5" s="44" t="s">
        <v>0</v>
      </c>
      <c r="C5" s="1">
        <v>-42900.945228570003</v>
      </c>
      <c r="D5" s="3">
        <v>0.69992741783000001</v>
      </c>
      <c r="E5" s="3">
        <v>0.27329987798200006</v>
      </c>
      <c r="F5" s="3">
        <v>1.7366784255119998</v>
      </c>
      <c r="G5" s="3">
        <v>1.3162570200000001E-3</v>
      </c>
      <c r="H5" s="3">
        <v>0.8621454616980001</v>
      </c>
      <c r="I5" s="3"/>
      <c r="J5" s="46">
        <f>IF('2021 Lønnsgr arbavg tjeneste'!D5=0,0,'2021 Arbavg tjeneste'!D5/'2021 Lønnsgr arbavg tjeneste'!D5)</f>
        <v>0.13771638857645033</v>
      </c>
      <c r="K5" s="46">
        <f>IF('2021 Lønnsgr arbavg tjeneste'!E5=0,0,'2021 Arbavg tjeneste'!E5/'2021 Lønnsgr arbavg tjeneste'!E5)</f>
        <v>0</v>
      </c>
      <c r="L5" s="46">
        <f>IF('2021 Lønnsgr arbavg tjeneste'!F5=0,0,'2021 Arbavg tjeneste'!F5/'2021 Lønnsgr arbavg tjeneste'!F5)</f>
        <v>0.13817394726485635</v>
      </c>
      <c r="M5" s="46">
        <f>IF('2021 Lønnsgr arbavg tjeneste'!G5=0,0,'2021 Arbavg tjeneste'!G5/'2021 Lønnsgr arbavg tjeneste'!G5)</f>
        <v>0</v>
      </c>
      <c r="N5" s="46">
        <f>IF('2021 Lønnsgr arbavg tjeneste'!H5=0,0,'2021 Arbavg tjeneste'!H5/'2021 Lønnsgr arbavg tjeneste'!H5)</f>
        <v>0.13021887749136982</v>
      </c>
      <c r="O5" s="46">
        <f>IF('2021 Lønnsgr arbavg tjeneste'!I5=0,0,'2021 Arbavg tjeneste'!I5/'2021 Lønnsgr arbavg tjeneste'!I5)</f>
        <v>6.8703053469043068E-2</v>
      </c>
      <c r="P5" s="46">
        <f>IF('2021 Lønnsgr arbavg tjeneste'!J5=0,0,'2021 Arbavg tjeneste'!J5/'2021 Lønnsgr arbavg tjeneste'!J5)</f>
        <v>0</v>
      </c>
      <c r="Q5" s="46">
        <f>IF('2021 Lønnsgr arbavg tjeneste'!K5=0,0,'2021 Arbavg tjeneste'!K5/'2021 Lønnsgr arbavg tjeneste'!K5)</f>
        <v>6.5617473049131264E-2</v>
      </c>
      <c r="R5" s="46">
        <f>IF('2021 Lønnsgr arbavg tjeneste'!L5=0,0,'2021 Arbavg tjeneste'!L5/'2021 Lønnsgr arbavg tjeneste'!L5)</f>
        <v>0</v>
      </c>
      <c r="S5" s="46">
        <f>IF('2021 Lønnsgr arbavg tjeneste'!M5=0,0,'2021 Arbavg tjeneste'!M5/'2021 Lønnsgr arbavg tjeneste'!M5)</f>
        <v>0</v>
      </c>
      <c r="T5" s="46">
        <f>IF('2021 Lønnsgr arbavg tjeneste'!N5=0,0,'2021 Arbavg tjeneste'!N5/'2021 Lønnsgr arbavg tjeneste'!N5)</f>
        <v>0.12774049217002237</v>
      </c>
      <c r="U5" s="46">
        <f>IF('2021 Lønnsgr arbavg tjeneste'!O5=0,0,'2021 Arbavg tjeneste'!O5/'2021 Lønnsgr arbavg tjeneste'!O5)</f>
        <v>0</v>
      </c>
      <c r="V5" s="46">
        <f>IF('2021 Lønnsgr arbavg tjeneste'!P5=0,0,'2021 Arbavg tjeneste'!P5/'2021 Lønnsgr arbavg tjeneste'!P5)</f>
        <v>0</v>
      </c>
      <c r="W5" s="46">
        <f>IF('2021 Lønnsgr arbavg tjeneste'!Q5=0,0,'2021 Arbavg tjeneste'!Q5/'2021 Lønnsgr arbavg tjeneste'!Q5)</f>
        <v>0</v>
      </c>
      <c r="X5" s="46">
        <f>IF('2021 Lønnsgr arbavg tjeneste'!R5=0,0,'2021 Arbavg tjeneste'!R5/'2021 Lønnsgr arbavg tjeneste'!R5)</f>
        <v>0.1409999999999999</v>
      </c>
      <c r="Z5" s="46">
        <f>IF('2021 Lønnsgr pensjon tjeneste'!D5=0,0,'2021 Pensjon tjeneste'!D5/'2021 Lønnsgr pensjon tjeneste'!D5)</f>
        <v>0.12428998400886654</v>
      </c>
      <c r="AA5" s="46">
        <f>IF('2021 Lønnsgr pensjon tjeneste'!E5=0,0,'2021 Pensjon tjeneste'!E5/'2021 Lønnsgr pensjon tjeneste'!E5)</f>
        <v>0</v>
      </c>
      <c r="AB5" s="46">
        <f>IF('2021 Lønnsgr pensjon tjeneste'!F5=0,0,'2021 Pensjon tjeneste'!F5/'2021 Lønnsgr pensjon tjeneste'!F5)</f>
        <v>0.23975409836065573</v>
      </c>
      <c r="AC5" s="46">
        <f>IF('2021 Lønnsgr pensjon tjeneste'!G5=0,0,'2021 Pensjon tjeneste'!G5/'2021 Lønnsgr pensjon tjeneste'!G5)</f>
        <v>0</v>
      </c>
      <c r="AD5" s="46">
        <f>IF('2021 Lønnsgr pensjon tjeneste'!H5=0,0,'2021 Pensjon tjeneste'!H5/'2021 Lønnsgr pensjon tjeneste'!H5)</f>
        <v>0.33295329647796057</v>
      </c>
      <c r="AE5" s="46">
        <f>IF('2021 Lønnsgr pensjon tjeneste'!I5=0,0,'2021 Pensjon tjeneste'!I5/'2021 Lønnsgr pensjon tjeneste'!I5)</f>
        <v>0.11822666219356122</v>
      </c>
      <c r="AF5" s="46">
        <f>IF('2021 Lønnsgr pensjon tjeneste'!J5=0,0,'2021 Pensjon tjeneste'!J5/'2021 Lønnsgr pensjon tjeneste'!J5)</f>
        <v>0</v>
      </c>
      <c r="AG5" s="46">
        <f>IF('2021 Lønnsgr pensjon tjeneste'!K5=0,0,'2021 Pensjon tjeneste'!K5/'2021 Lønnsgr pensjon tjeneste'!K5)</f>
        <v>0.10944492729183151</v>
      </c>
      <c r="AH5" s="46">
        <f>IF('2021 Lønnsgr pensjon tjeneste'!L5=0,0,'2021 Pensjon tjeneste'!L5/'2021 Lønnsgr pensjon tjeneste'!L5)</f>
        <v>0</v>
      </c>
      <c r="AI5" s="46">
        <f>IF('2021 Lønnsgr pensjon tjeneste'!M5=0,0,'2021 Pensjon tjeneste'!M5/'2021 Lønnsgr pensjon tjeneste'!M5)</f>
        <v>0</v>
      </c>
      <c r="AJ5" s="46">
        <f>IF('2021 Lønnsgr pensjon tjeneste'!N5=0,0,'2021 Pensjon tjeneste'!N5/'2021 Lønnsgr pensjon tjeneste'!N5)</f>
        <v>0.31780660377358488</v>
      </c>
      <c r="AK5" s="46">
        <f>IF('2021 Lønnsgr pensjon tjeneste'!O5=0,0,'2021 Pensjon tjeneste'!O5/'2021 Lønnsgr pensjon tjeneste'!O5)</f>
        <v>0</v>
      </c>
      <c r="AL5" s="46">
        <f>IF('2021 Lønnsgr pensjon tjeneste'!P5=0,0,'2021 Pensjon tjeneste'!P5/'2021 Lønnsgr pensjon tjeneste'!P5)</f>
        <v>0</v>
      </c>
      <c r="AM5" s="46">
        <f>IF('2021 Lønnsgr pensjon tjeneste'!Q5=0,0,'2021 Pensjon tjeneste'!Q5/'2021 Lønnsgr pensjon tjeneste'!Q5)</f>
        <v>0</v>
      </c>
    </row>
    <row r="6" spans="1:39" x14ac:dyDescent="0.3">
      <c r="A6" s="43">
        <v>1100</v>
      </c>
      <c r="B6" s="44" t="s">
        <v>141</v>
      </c>
      <c r="C6" s="1">
        <v>-45557.246113430003</v>
      </c>
      <c r="D6" s="3">
        <v>1.067319466676</v>
      </c>
      <c r="E6" s="3">
        <v>0.81816777181600009</v>
      </c>
      <c r="F6" s="3">
        <v>1.0249622935999998</v>
      </c>
      <c r="G6" s="3">
        <v>0.84093635050800009</v>
      </c>
      <c r="H6" s="3">
        <v>1.0806156121719999</v>
      </c>
      <c r="I6" s="3"/>
      <c r="J6" s="46">
        <f>IF('2021 Lønnsgr arbavg tjeneste'!D6=0,0,'2021 Arbavg tjeneste'!D6/'2021 Lønnsgr arbavg tjeneste'!D6)</f>
        <v>0.14009520656016367</v>
      </c>
      <c r="K6" s="46">
        <f>IF('2021 Lønnsgr arbavg tjeneste'!E6=0,0,'2021 Arbavg tjeneste'!E6/'2021 Lønnsgr arbavg tjeneste'!E6)</f>
        <v>0.14085804225603804</v>
      </c>
      <c r="L6" s="46">
        <f>IF('2021 Lønnsgr arbavg tjeneste'!F6=0,0,'2021 Arbavg tjeneste'!F6/'2021 Lønnsgr arbavg tjeneste'!F6)</f>
        <v>0.1396689603868328</v>
      </c>
      <c r="M6" s="46">
        <f>IF('2021 Lønnsgr arbavg tjeneste'!G6=0,0,'2021 Arbavg tjeneste'!G6/'2021 Lønnsgr arbavg tjeneste'!G6)</f>
        <v>0.14285714285714285</v>
      </c>
      <c r="N6" s="46">
        <f>IF('2021 Lønnsgr arbavg tjeneste'!H6=0,0,'2021 Arbavg tjeneste'!H6/'2021 Lønnsgr arbavg tjeneste'!H6)</f>
        <v>0.13877388963104195</v>
      </c>
      <c r="O6" s="46">
        <f>IF('2021 Lønnsgr arbavg tjeneste'!I6=0,0,'2021 Arbavg tjeneste'!I6/'2021 Lønnsgr arbavg tjeneste'!I6)</f>
        <v>0.1415423107854526</v>
      </c>
      <c r="P6" s="46">
        <f>IF('2021 Lønnsgr arbavg tjeneste'!J6=0,0,'2021 Arbavg tjeneste'!J6/'2021 Lønnsgr arbavg tjeneste'!J6)</f>
        <v>0</v>
      </c>
      <c r="Q6" s="46">
        <f>IF('2021 Lønnsgr arbavg tjeneste'!K6=0,0,'2021 Arbavg tjeneste'!K6/'2021 Lønnsgr arbavg tjeneste'!K6)</f>
        <v>0.14222376230586062</v>
      </c>
      <c r="R6" s="46">
        <f>IF('2021 Lønnsgr arbavg tjeneste'!L6=0,0,'2021 Arbavg tjeneste'!L6/'2021 Lønnsgr arbavg tjeneste'!L6)</f>
        <v>0.14074509878347347</v>
      </c>
      <c r="S6" s="46">
        <f>IF('2021 Lønnsgr arbavg tjeneste'!M6=0,0,'2021 Arbavg tjeneste'!M6/'2021 Lønnsgr arbavg tjeneste'!M6)</f>
        <v>0.1404901622367967</v>
      </c>
      <c r="T6" s="46">
        <f>IF('2021 Lønnsgr arbavg tjeneste'!N6=0,0,'2021 Arbavg tjeneste'!N6/'2021 Lønnsgr arbavg tjeneste'!N6)</f>
        <v>0.14039698457708003</v>
      </c>
      <c r="U6" s="46">
        <f>IF('2021 Lønnsgr arbavg tjeneste'!O6=0,0,'2021 Arbavg tjeneste'!O6/'2021 Lønnsgr arbavg tjeneste'!O6)</f>
        <v>0</v>
      </c>
      <c r="V6" s="46">
        <f>IF('2021 Lønnsgr arbavg tjeneste'!P6=0,0,'2021 Arbavg tjeneste'!P6/'2021 Lønnsgr arbavg tjeneste'!P6)</f>
        <v>0.14114403859407304</v>
      </c>
      <c r="W6" s="46">
        <f>IF('2021 Lønnsgr arbavg tjeneste'!Q6=0,0,'2021 Arbavg tjeneste'!Q6/'2021 Lønnsgr arbavg tjeneste'!Q6)</f>
        <v>0</v>
      </c>
      <c r="X6" s="46">
        <f>IF('2021 Lønnsgr arbavg tjeneste'!R6=0,0,'2021 Arbavg tjeneste'!R6/'2021 Lønnsgr arbavg tjeneste'!R6)</f>
        <v>0.1410216690054856</v>
      </c>
      <c r="Z6" s="46">
        <f>IF('2021 Lønnsgr pensjon tjeneste'!D6=0,0,'2021 Pensjon tjeneste'!D6/'2021 Lønnsgr pensjon tjeneste'!D6)</f>
        <v>0.11785118435117936</v>
      </c>
      <c r="AA6" s="46">
        <f>IF('2021 Lønnsgr pensjon tjeneste'!E6=0,0,'2021 Pensjon tjeneste'!E6/'2021 Lønnsgr pensjon tjeneste'!E6)</f>
        <v>0.18671799807507219</v>
      </c>
      <c r="AB6" s="46">
        <f>IF('2021 Lønnsgr pensjon tjeneste'!F6=0,0,'2021 Pensjon tjeneste'!F6/'2021 Lønnsgr pensjon tjeneste'!F6)</f>
        <v>0.22455021635162833</v>
      </c>
      <c r="AC6" s="46">
        <f>IF('2021 Lønnsgr pensjon tjeneste'!G6=0,0,'2021 Pensjon tjeneste'!G6/'2021 Lønnsgr pensjon tjeneste'!G6)</f>
        <v>0.1981981981981982</v>
      </c>
      <c r="AD6" s="46">
        <f>IF('2021 Lønnsgr pensjon tjeneste'!H6=0,0,'2021 Pensjon tjeneste'!H6/'2021 Lønnsgr pensjon tjeneste'!H6)</f>
        <v>0.20967685449697065</v>
      </c>
      <c r="AE6" s="46">
        <f>IF('2021 Lønnsgr pensjon tjeneste'!I6=0,0,'2021 Pensjon tjeneste'!I6/'2021 Lønnsgr pensjon tjeneste'!I6)</f>
        <v>0.19115846988072924</v>
      </c>
      <c r="AF6" s="46">
        <f>IF('2021 Lønnsgr pensjon tjeneste'!J6=0,0,'2021 Pensjon tjeneste'!J6/'2021 Lønnsgr pensjon tjeneste'!J6)</f>
        <v>0</v>
      </c>
      <c r="AG6" s="46">
        <f>IF('2021 Lønnsgr pensjon tjeneste'!K6=0,0,'2021 Pensjon tjeneste'!K6/'2021 Lønnsgr pensjon tjeneste'!K6)</f>
        <v>0.18333315809948375</v>
      </c>
      <c r="AH6" s="46">
        <f>IF('2021 Lønnsgr pensjon tjeneste'!L6=0,0,'2021 Pensjon tjeneste'!L6/'2021 Lønnsgr pensjon tjeneste'!L6)</f>
        <v>0.20197550014827656</v>
      </c>
      <c r="AI6" s="46">
        <f>IF('2021 Lønnsgr pensjon tjeneste'!M6=0,0,'2021 Pensjon tjeneste'!M6/'2021 Lønnsgr pensjon tjeneste'!M6)</f>
        <v>0.20889667835085962</v>
      </c>
      <c r="AJ6" s="46">
        <f>IF('2021 Lønnsgr pensjon tjeneste'!N6=0,0,'2021 Pensjon tjeneste'!N6/'2021 Lønnsgr pensjon tjeneste'!N6)</f>
        <v>0.19219986807387862</v>
      </c>
      <c r="AK6" s="46">
        <f>IF('2021 Lønnsgr pensjon tjeneste'!O6=0,0,'2021 Pensjon tjeneste'!O6/'2021 Lønnsgr pensjon tjeneste'!O6)</f>
        <v>0</v>
      </c>
      <c r="AL6" s="46">
        <f>IF('2021 Lønnsgr pensjon tjeneste'!P6=0,0,'2021 Pensjon tjeneste'!P6/'2021 Lønnsgr pensjon tjeneste'!P6)</f>
        <v>0.19857921691723113</v>
      </c>
      <c r="AM6" s="46">
        <f>IF('2021 Lønnsgr pensjon tjeneste'!Q6=0,0,'2021 Pensjon tjeneste'!Q6/'2021 Lønnsgr pensjon tjeneste'!Q6)</f>
        <v>0</v>
      </c>
    </row>
    <row r="7" spans="1:39" x14ac:dyDescent="0.3">
      <c r="A7" s="43">
        <v>1500</v>
      </c>
      <c r="B7" s="44" t="s">
        <v>142</v>
      </c>
      <c r="C7" s="1">
        <v>56636.095864050003</v>
      </c>
      <c r="D7" s="3">
        <v>1.115228965022</v>
      </c>
      <c r="E7" s="3">
        <v>1.4589049309419999</v>
      </c>
      <c r="F7" s="3">
        <v>0.99652723767999996</v>
      </c>
      <c r="G7" s="3">
        <v>3.1024151350700002</v>
      </c>
      <c r="H7" s="3">
        <v>1.0303618790409999</v>
      </c>
      <c r="I7" s="3"/>
      <c r="J7" s="46">
        <f>IF('2021 Lønnsgr arbavg tjeneste'!D7=0,0,'2021 Arbavg tjeneste'!D7/'2021 Lønnsgr arbavg tjeneste'!D7)</f>
        <v>0.13494272337960864</v>
      </c>
      <c r="K7" s="46">
        <f>IF('2021 Lønnsgr arbavg tjeneste'!E7=0,0,'2021 Arbavg tjeneste'!E7/'2021 Lønnsgr arbavg tjeneste'!E7)</f>
        <v>0.30616956195532985</v>
      </c>
      <c r="L7" s="46">
        <f>IF('2021 Lønnsgr arbavg tjeneste'!F7=0,0,'2021 Arbavg tjeneste'!F7/'2021 Lønnsgr arbavg tjeneste'!F7)</f>
        <v>0.13905829350035712</v>
      </c>
      <c r="M7" s="46">
        <f>IF('2021 Lønnsgr arbavg tjeneste'!G7=0,0,'2021 Arbavg tjeneste'!G7/'2021 Lønnsgr arbavg tjeneste'!G7)</f>
        <v>0.14207295052365476</v>
      </c>
      <c r="N7" s="46">
        <f>IF('2021 Lønnsgr arbavg tjeneste'!H7=0,0,'2021 Arbavg tjeneste'!H7/'2021 Lønnsgr arbavg tjeneste'!H7)</f>
        <v>0.12678683479890318</v>
      </c>
      <c r="O7" s="46">
        <f>IF('2021 Lønnsgr arbavg tjeneste'!I7=0,0,'2021 Arbavg tjeneste'!I7/'2021 Lønnsgr arbavg tjeneste'!I7)</f>
        <v>0.13964351631032124</v>
      </c>
      <c r="P7" s="46">
        <f>IF('2021 Lønnsgr arbavg tjeneste'!J7=0,0,'2021 Arbavg tjeneste'!J7/'2021 Lønnsgr arbavg tjeneste'!J7)</f>
        <v>0</v>
      </c>
      <c r="Q7" s="46">
        <f>IF('2021 Lønnsgr arbavg tjeneste'!K7=0,0,'2021 Arbavg tjeneste'!K7/'2021 Lønnsgr arbavg tjeneste'!K7)</f>
        <v>0.14134799274756391</v>
      </c>
      <c r="R7" s="46">
        <f>IF('2021 Lønnsgr arbavg tjeneste'!L7=0,0,'2021 Arbavg tjeneste'!L7/'2021 Lønnsgr arbavg tjeneste'!L7)</f>
        <v>0.13732083251521696</v>
      </c>
      <c r="S7" s="46">
        <f>IF('2021 Lønnsgr arbavg tjeneste'!M7=0,0,'2021 Arbavg tjeneste'!M7/'2021 Lønnsgr arbavg tjeneste'!M7)</f>
        <v>0.13760304375396323</v>
      </c>
      <c r="T7" s="46">
        <f>IF('2021 Lønnsgr arbavg tjeneste'!N7=0,0,'2021 Arbavg tjeneste'!N7/'2021 Lønnsgr arbavg tjeneste'!N7)</f>
        <v>0.13465117771644952</v>
      </c>
      <c r="U7" s="46">
        <f>IF('2021 Lønnsgr arbavg tjeneste'!O7=0,0,'2021 Arbavg tjeneste'!O7/'2021 Lønnsgr arbavg tjeneste'!O7)</f>
        <v>0</v>
      </c>
      <c r="V7" s="46">
        <f>IF('2021 Lønnsgr arbavg tjeneste'!P7=0,0,'2021 Arbavg tjeneste'!P7/'2021 Lønnsgr arbavg tjeneste'!P7)</f>
        <v>-0.5</v>
      </c>
      <c r="W7" s="46">
        <f>IF('2021 Lønnsgr arbavg tjeneste'!Q7=0,0,'2021 Arbavg tjeneste'!Q7/'2021 Lønnsgr arbavg tjeneste'!Q7)</f>
        <v>0</v>
      </c>
      <c r="X7" s="46">
        <f>IF('2021 Lønnsgr arbavg tjeneste'!R7=0,0,'2021 Arbavg tjeneste'!R7/'2021 Lønnsgr arbavg tjeneste'!R7)</f>
        <v>9.0933494396349235E-2</v>
      </c>
      <c r="Z7" s="46">
        <f>IF('2021 Lønnsgr pensjon tjeneste'!D7=0,0,'2021 Pensjon tjeneste'!D7/'2021 Lønnsgr pensjon tjeneste'!D7)</f>
        <v>0.11692408303132007</v>
      </c>
      <c r="AA7" s="46">
        <f>IF('2021 Lønnsgr pensjon tjeneste'!E7=0,0,'2021 Pensjon tjeneste'!E7/'2021 Lønnsgr pensjon tjeneste'!E7)</f>
        <v>0.57690207499089918</v>
      </c>
      <c r="AB7" s="46">
        <f>IF('2021 Lønnsgr pensjon tjeneste'!F7=0,0,'2021 Pensjon tjeneste'!F7/'2021 Lønnsgr pensjon tjeneste'!F7)</f>
        <v>0.23254554073271483</v>
      </c>
      <c r="AC7" s="46">
        <f>IF('2021 Lønnsgr pensjon tjeneste'!G7=0,0,'2021 Pensjon tjeneste'!G7/'2021 Lønnsgr pensjon tjeneste'!G7)</f>
        <v>0.15538679796378202</v>
      </c>
      <c r="AD7" s="46">
        <f>IF('2021 Lønnsgr pensjon tjeneste'!H7=0,0,'2021 Pensjon tjeneste'!H7/'2021 Lønnsgr pensjon tjeneste'!H7)</f>
        <v>0.25016925110416194</v>
      </c>
      <c r="AE7" s="46">
        <f>IF('2021 Lønnsgr pensjon tjeneste'!I7=0,0,'2021 Pensjon tjeneste'!I7/'2021 Lønnsgr pensjon tjeneste'!I7)</f>
        <v>0.24339412223532977</v>
      </c>
      <c r="AF7" s="46">
        <f>IF('2021 Lønnsgr pensjon tjeneste'!J7=0,0,'2021 Pensjon tjeneste'!J7/'2021 Lønnsgr pensjon tjeneste'!J7)</f>
        <v>0</v>
      </c>
      <c r="AG7" s="46">
        <f>IF('2021 Lønnsgr pensjon tjeneste'!K7=0,0,'2021 Pensjon tjeneste'!K7/'2021 Lønnsgr pensjon tjeneste'!K7)</f>
        <v>0.25970694060593419</v>
      </c>
      <c r="AH7" s="46">
        <f>IF('2021 Lønnsgr pensjon tjeneste'!L7=0,0,'2021 Pensjon tjeneste'!L7/'2021 Lønnsgr pensjon tjeneste'!L7)</f>
        <v>0.2159121430063565</v>
      </c>
      <c r="AI7" s="46">
        <f>IF('2021 Lønnsgr pensjon tjeneste'!M7=0,0,'2021 Pensjon tjeneste'!M7/'2021 Lønnsgr pensjon tjeneste'!M7)</f>
        <v>0.21335692852196661</v>
      </c>
      <c r="AJ7" s="46">
        <f>IF('2021 Lønnsgr pensjon tjeneste'!N7=0,0,'2021 Pensjon tjeneste'!N7/'2021 Lønnsgr pensjon tjeneste'!N7)</f>
        <v>0.22357468195382441</v>
      </c>
      <c r="AK7" s="46">
        <f>IF('2021 Lønnsgr pensjon tjeneste'!O7=0,0,'2021 Pensjon tjeneste'!O7/'2021 Lønnsgr pensjon tjeneste'!O7)</f>
        <v>0</v>
      </c>
      <c r="AL7" s="46">
        <f>IF('2021 Lønnsgr pensjon tjeneste'!P7=0,0,'2021 Pensjon tjeneste'!P7/'2021 Lønnsgr pensjon tjeneste'!P7)</f>
        <v>0</v>
      </c>
      <c r="AM7" s="46">
        <f>IF('2021 Lønnsgr pensjon tjeneste'!Q7=0,0,'2021 Pensjon tjeneste'!Q7/'2021 Lønnsgr pensjon tjeneste'!Q7)</f>
        <v>0</v>
      </c>
    </row>
    <row r="8" spans="1:39" x14ac:dyDescent="0.3">
      <c r="A8" s="43">
        <v>1800</v>
      </c>
      <c r="B8" s="44" t="s">
        <v>143</v>
      </c>
      <c r="C8" s="1">
        <v>86355.525281149996</v>
      </c>
      <c r="D8" s="3">
        <v>1.0985606159099996</v>
      </c>
      <c r="E8" s="3">
        <v>1.740798889156</v>
      </c>
      <c r="F8" s="3">
        <v>1.0164832532719998</v>
      </c>
      <c r="G8" s="3">
        <v>5.5170510257599998</v>
      </c>
      <c r="H8" s="3">
        <v>0.98545390553199996</v>
      </c>
      <c r="I8" s="3"/>
      <c r="J8" s="46">
        <f>IF('2021 Lønnsgr arbavg tjeneste'!D8=0,0,'2021 Arbavg tjeneste'!D8/'2021 Lønnsgr arbavg tjeneste'!D8)</f>
        <v>5.7681854062971209E-2</v>
      </c>
      <c r="K8" s="46">
        <f>IF('2021 Lønnsgr arbavg tjeneste'!E8=0,0,'2021 Arbavg tjeneste'!E8/'2021 Lønnsgr arbavg tjeneste'!E8)</f>
        <v>0.10182515023535321</v>
      </c>
      <c r="L8" s="46">
        <f>IF('2021 Lønnsgr arbavg tjeneste'!F8=0,0,'2021 Arbavg tjeneste'!F8/'2021 Lønnsgr arbavg tjeneste'!F8)</f>
        <v>7.8609221466364329E-2</v>
      </c>
      <c r="M8" s="46">
        <f>IF('2021 Lønnsgr arbavg tjeneste'!G8=0,0,'2021 Arbavg tjeneste'!G8/'2021 Lønnsgr arbavg tjeneste'!G8)</f>
        <v>7.4277705907718844E-2</v>
      </c>
      <c r="N8" s="46">
        <f>IF('2021 Lønnsgr arbavg tjeneste'!H8=0,0,'2021 Arbavg tjeneste'!H8/'2021 Lønnsgr arbavg tjeneste'!H8)</f>
        <v>5.6313021512723355E-2</v>
      </c>
      <c r="O8" s="46">
        <f>IF('2021 Lønnsgr arbavg tjeneste'!I8=0,0,'2021 Arbavg tjeneste'!I8/'2021 Lønnsgr arbavg tjeneste'!I8)</f>
        <v>7.4430226952390419E-2</v>
      </c>
      <c r="P8" s="46">
        <f>IF('2021 Lønnsgr arbavg tjeneste'!J8=0,0,'2021 Arbavg tjeneste'!J8/'2021 Lønnsgr arbavg tjeneste'!J8)</f>
        <v>0</v>
      </c>
      <c r="Q8" s="46">
        <f>IF('2021 Lønnsgr arbavg tjeneste'!K8=0,0,'2021 Arbavg tjeneste'!K8/'2021 Lønnsgr arbavg tjeneste'!K8)</f>
        <v>7.7940766010234142E-2</v>
      </c>
      <c r="R8" s="46">
        <f>IF('2021 Lønnsgr arbavg tjeneste'!L8=0,0,'2021 Arbavg tjeneste'!L8/'2021 Lønnsgr arbavg tjeneste'!L8)</f>
        <v>7.2734972071545237E-2</v>
      </c>
      <c r="S8" s="46">
        <f>IF('2021 Lønnsgr arbavg tjeneste'!M8=0,0,'2021 Arbavg tjeneste'!M8/'2021 Lønnsgr arbavg tjeneste'!M8)</f>
        <v>7.3466884709730174E-2</v>
      </c>
      <c r="T8" s="46">
        <f>IF('2021 Lønnsgr arbavg tjeneste'!N8=0,0,'2021 Arbavg tjeneste'!N8/'2021 Lønnsgr arbavg tjeneste'!N8)</f>
        <v>6.1821976875120158E-2</v>
      </c>
      <c r="U8" s="46">
        <f>IF('2021 Lønnsgr arbavg tjeneste'!O8=0,0,'2021 Arbavg tjeneste'!O8/'2021 Lønnsgr arbavg tjeneste'!O8)</f>
        <v>9.0909090909090912E-2</v>
      </c>
      <c r="V8" s="46">
        <f>IF('2021 Lønnsgr arbavg tjeneste'!P8=0,0,'2021 Arbavg tjeneste'!P8/'2021 Lønnsgr arbavg tjeneste'!P8)</f>
        <v>0</v>
      </c>
      <c r="W8" s="46">
        <f>IF('2021 Lønnsgr arbavg tjeneste'!Q8=0,0,'2021 Arbavg tjeneste'!Q8/'2021 Lønnsgr arbavg tjeneste'!Q8)</f>
        <v>0</v>
      </c>
      <c r="X8" s="46">
        <f>IF('2021 Lønnsgr arbavg tjeneste'!R8=0,0,'2021 Arbavg tjeneste'!R8/'2021 Lønnsgr arbavg tjeneste'!R8)</f>
        <v>4.1644430540475882E-2</v>
      </c>
      <c r="Z8" s="46">
        <f>IF('2021 Lønnsgr pensjon tjeneste'!D8=0,0,'2021 Pensjon tjeneste'!D8/'2021 Lønnsgr pensjon tjeneste'!D8)</f>
        <v>0.12926850285081581</v>
      </c>
      <c r="AA8" s="46">
        <f>IF('2021 Lønnsgr pensjon tjeneste'!E8=0,0,'2021 Pensjon tjeneste'!E8/'2021 Lønnsgr pensjon tjeneste'!E8)</f>
        <v>0.4163482568710638</v>
      </c>
      <c r="AB8" s="46">
        <f>IF('2021 Lønnsgr pensjon tjeneste'!F8=0,0,'2021 Pensjon tjeneste'!F8/'2021 Lønnsgr pensjon tjeneste'!F8)</f>
        <v>0.25566496618815993</v>
      </c>
      <c r="AC8" s="46">
        <f>IF('2021 Lønnsgr pensjon tjeneste'!G8=0,0,'2021 Pensjon tjeneste'!G8/'2021 Lønnsgr pensjon tjeneste'!G8)</f>
        <v>0.2516529483200648</v>
      </c>
      <c r="AD8" s="46">
        <f>IF('2021 Lønnsgr pensjon tjeneste'!H8=0,0,'2021 Pensjon tjeneste'!H8/'2021 Lønnsgr pensjon tjeneste'!H8)</f>
        <v>0.26066443491709246</v>
      </c>
      <c r="AE8" s="46">
        <f>IF('2021 Lønnsgr pensjon tjeneste'!I8=0,0,'2021 Pensjon tjeneste'!I8/'2021 Lønnsgr pensjon tjeneste'!I8)</f>
        <v>0.24372259499638413</v>
      </c>
      <c r="AF8" s="46">
        <f>IF('2021 Lønnsgr pensjon tjeneste'!J8=0,0,'2021 Pensjon tjeneste'!J8/'2021 Lønnsgr pensjon tjeneste'!J8)</f>
        <v>0</v>
      </c>
      <c r="AG8" s="46">
        <f>IF('2021 Lønnsgr pensjon tjeneste'!K8=0,0,'2021 Pensjon tjeneste'!K8/'2021 Lønnsgr pensjon tjeneste'!K8)</f>
        <v>0.24224679277266248</v>
      </c>
      <c r="AH8" s="46">
        <f>IF('2021 Lønnsgr pensjon tjeneste'!L8=0,0,'2021 Pensjon tjeneste'!L8/'2021 Lønnsgr pensjon tjeneste'!L8)</f>
        <v>0.24911211304501146</v>
      </c>
      <c r="AI8" s="46">
        <f>IF('2021 Lønnsgr pensjon tjeneste'!M8=0,0,'2021 Pensjon tjeneste'!M8/'2021 Lønnsgr pensjon tjeneste'!M8)</f>
        <v>0.24579810532749313</v>
      </c>
      <c r="AJ8" s="46">
        <f>IF('2021 Lønnsgr pensjon tjeneste'!N8=0,0,'2021 Pensjon tjeneste'!N8/'2021 Lønnsgr pensjon tjeneste'!N8)</f>
        <v>0.24193328330718331</v>
      </c>
      <c r="AK8" s="46">
        <f>IF('2021 Lønnsgr pensjon tjeneste'!O8=0,0,'2021 Pensjon tjeneste'!O8/'2021 Lønnsgr pensjon tjeneste'!O8)</f>
        <v>0</v>
      </c>
      <c r="AL8" s="46">
        <f>IF('2021 Lønnsgr pensjon tjeneste'!P8=0,0,'2021 Pensjon tjeneste'!P8/'2021 Lønnsgr pensjon tjeneste'!P8)</f>
        <v>0</v>
      </c>
      <c r="AM8" s="46">
        <f>IF('2021 Lønnsgr pensjon tjeneste'!Q8=0,0,'2021 Pensjon tjeneste'!Q8/'2021 Lønnsgr pensjon tjeneste'!Q8)</f>
        <v>0</v>
      </c>
    </row>
    <row r="9" spans="1:39" x14ac:dyDescent="0.3">
      <c r="A9" s="43">
        <v>3000</v>
      </c>
      <c r="B9" s="44" t="s">
        <v>392</v>
      </c>
      <c r="C9" s="1">
        <v>-113334.28151279999</v>
      </c>
      <c r="D9" s="3">
        <v>1.0213270273399999</v>
      </c>
      <c r="E9" s="3">
        <v>0.647410470214</v>
      </c>
      <c r="F9" s="3">
        <v>0.67128453190399995</v>
      </c>
      <c r="G9" s="3">
        <v>6.3826614545999999E-2</v>
      </c>
      <c r="H9" s="3">
        <v>1.037185946318</v>
      </c>
      <c r="I9" s="3"/>
      <c r="J9" s="46">
        <f>IF('2021 Lønnsgr arbavg tjeneste'!D9=0,0,'2021 Arbavg tjeneste'!D9/'2021 Lønnsgr arbavg tjeneste'!D9)</f>
        <v>0.14079305109282864</v>
      </c>
      <c r="K9" s="46">
        <f>IF('2021 Lønnsgr arbavg tjeneste'!E9=0,0,'2021 Arbavg tjeneste'!E9/'2021 Lønnsgr arbavg tjeneste'!E9)</f>
        <v>0.25816124230088122</v>
      </c>
      <c r="L9" s="46">
        <f>IF('2021 Lønnsgr arbavg tjeneste'!F9=0,0,'2021 Arbavg tjeneste'!F9/'2021 Lønnsgr arbavg tjeneste'!F9)</f>
        <v>0.13563399066399923</v>
      </c>
      <c r="M9" s="46">
        <f>IF('2021 Lønnsgr arbavg tjeneste'!G9=0,0,'2021 Arbavg tjeneste'!G9/'2021 Lønnsgr arbavg tjeneste'!G9)</f>
        <v>0</v>
      </c>
      <c r="N9" s="46">
        <f>IF('2021 Lønnsgr arbavg tjeneste'!H9=0,0,'2021 Arbavg tjeneste'!H9/'2021 Lønnsgr arbavg tjeneste'!H9)</f>
        <v>0.13985007561145182</v>
      </c>
      <c r="O9" s="46">
        <f>IF('2021 Lønnsgr arbavg tjeneste'!I9=0,0,'2021 Arbavg tjeneste'!I9/'2021 Lønnsgr arbavg tjeneste'!I9)</f>
        <v>6.2449721119811216E-2</v>
      </c>
      <c r="P9" s="46">
        <f>IF('2021 Lønnsgr arbavg tjeneste'!J9=0,0,'2021 Arbavg tjeneste'!J9/'2021 Lønnsgr arbavg tjeneste'!J9)</f>
        <v>0</v>
      </c>
      <c r="Q9" s="46">
        <f>IF('2021 Lønnsgr arbavg tjeneste'!K9=0,0,'2021 Arbavg tjeneste'!K9/'2021 Lønnsgr arbavg tjeneste'!K9)</f>
        <v>3.8391851596827932E-2</v>
      </c>
      <c r="R9" s="46">
        <f>IF('2021 Lønnsgr arbavg tjeneste'!L9=0,0,'2021 Arbavg tjeneste'!L9/'2021 Lønnsgr arbavg tjeneste'!L9)</f>
        <v>0.14052164376049628</v>
      </c>
      <c r="S9" s="46">
        <f>IF('2021 Lønnsgr arbavg tjeneste'!M9=0,0,'2021 Arbavg tjeneste'!M9/'2021 Lønnsgr arbavg tjeneste'!M9)</f>
        <v>0.14548001211387038</v>
      </c>
      <c r="T9" s="46">
        <f>IF('2021 Lønnsgr arbavg tjeneste'!N9=0,0,'2021 Arbavg tjeneste'!N9/'2021 Lønnsgr arbavg tjeneste'!N9)</f>
        <v>0.14056187165272949</v>
      </c>
      <c r="U9" s="46">
        <f>IF('2021 Lønnsgr arbavg tjeneste'!O9=0,0,'2021 Arbavg tjeneste'!O9/'2021 Lønnsgr arbavg tjeneste'!O9)</f>
        <v>0</v>
      </c>
      <c r="V9" s="46">
        <f>IF('2021 Lønnsgr arbavg tjeneste'!P9=0,0,'2021 Arbavg tjeneste'!P9/'2021 Lønnsgr arbavg tjeneste'!P9)</f>
        <v>0.14044059795436664</v>
      </c>
      <c r="W9" s="46">
        <f>IF('2021 Lønnsgr arbavg tjeneste'!Q9=0,0,'2021 Arbavg tjeneste'!Q9/'2021 Lønnsgr arbavg tjeneste'!Q9)</f>
        <v>0</v>
      </c>
      <c r="X9" s="46">
        <f>IF('2021 Lønnsgr arbavg tjeneste'!R9=0,0,'2021 Arbavg tjeneste'!R9/'2021 Lønnsgr arbavg tjeneste'!R9)</f>
        <v>3.2697547683923703E-2</v>
      </c>
      <c r="Z9" s="46">
        <f>IF('2021 Lønnsgr pensjon tjeneste'!D9=0,0,'2021 Pensjon tjeneste'!D9/'2021 Lønnsgr pensjon tjeneste'!D9)</f>
        <v>0.10623410535694541</v>
      </c>
      <c r="AA9" s="46">
        <f>IF('2021 Lønnsgr pensjon tjeneste'!E9=0,0,'2021 Pensjon tjeneste'!E9/'2021 Lønnsgr pensjon tjeneste'!E9)</f>
        <v>0.27594433041662164</v>
      </c>
      <c r="AB9" s="46">
        <f>IF('2021 Lønnsgr pensjon tjeneste'!F9=0,0,'2021 Pensjon tjeneste'!F9/'2021 Lønnsgr pensjon tjeneste'!F9)</f>
        <v>0.197740757644911</v>
      </c>
      <c r="AC9" s="46">
        <f>IF('2021 Lønnsgr pensjon tjeneste'!G9=0,0,'2021 Pensjon tjeneste'!G9/'2021 Lønnsgr pensjon tjeneste'!G9)</f>
        <v>0</v>
      </c>
      <c r="AD9" s="46">
        <f>IF('2021 Lønnsgr pensjon tjeneste'!H9=0,0,'2021 Pensjon tjeneste'!H9/'2021 Lønnsgr pensjon tjeneste'!H9)</f>
        <v>0.14452157435846627</v>
      </c>
      <c r="AE9" s="46">
        <f>IF('2021 Lønnsgr pensjon tjeneste'!I9=0,0,'2021 Pensjon tjeneste'!I9/'2021 Lønnsgr pensjon tjeneste'!I9)</f>
        <v>0.52992820512820515</v>
      </c>
      <c r="AF9" s="46">
        <f>IF('2021 Lønnsgr pensjon tjeneste'!J9=0,0,'2021 Pensjon tjeneste'!J9/'2021 Lønnsgr pensjon tjeneste'!J9)</f>
        <v>0</v>
      </c>
      <c r="AG9" s="46">
        <f>IF('2021 Lønnsgr pensjon tjeneste'!K9=0,0,'2021 Pensjon tjeneste'!K9/'2021 Lønnsgr pensjon tjeneste'!K9)</f>
        <v>0.71052841714411197</v>
      </c>
      <c r="AH9" s="46">
        <f>IF('2021 Lønnsgr pensjon tjeneste'!L9=0,0,'2021 Pensjon tjeneste'!L9/'2021 Lønnsgr pensjon tjeneste'!L9)</f>
        <v>0.13596589415898538</v>
      </c>
      <c r="AI9" s="46">
        <f>IF('2021 Lønnsgr pensjon tjeneste'!M9=0,0,'2021 Pensjon tjeneste'!M9/'2021 Lønnsgr pensjon tjeneste'!M9)</f>
        <v>0.14369831579858855</v>
      </c>
      <c r="AJ9" s="46">
        <f>IF('2021 Lønnsgr pensjon tjeneste'!N9=0,0,'2021 Pensjon tjeneste'!N9/'2021 Lønnsgr pensjon tjeneste'!N9)</f>
        <v>0.13703215697446672</v>
      </c>
      <c r="AK9" s="46">
        <f>IF('2021 Lønnsgr pensjon tjeneste'!O9=0,0,'2021 Pensjon tjeneste'!O9/'2021 Lønnsgr pensjon tjeneste'!O9)</f>
        <v>0</v>
      </c>
      <c r="AL9" s="46">
        <f>IF('2021 Lønnsgr pensjon tjeneste'!P9=0,0,'2021 Pensjon tjeneste'!P9/'2021 Lønnsgr pensjon tjeneste'!P9)</f>
        <v>0.12577502214348982</v>
      </c>
      <c r="AM9" s="46">
        <f>IF('2021 Lønnsgr pensjon tjeneste'!Q9=0,0,'2021 Pensjon tjeneste'!Q9/'2021 Lønnsgr pensjon tjeneste'!Q9)</f>
        <v>0</v>
      </c>
    </row>
    <row r="10" spans="1:39" x14ac:dyDescent="0.3">
      <c r="A10" s="43">
        <v>3400</v>
      </c>
      <c r="B10" s="44" t="s">
        <v>393</v>
      </c>
      <c r="C10" s="1">
        <v>61322.218897359999</v>
      </c>
      <c r="D10" s="3">
        <v>1.0261357862519997</v>
      </c>
      <c r="E10" s="3">
        <v>1.5201988443160002</v>
      </c>
      <c r="F10" s="3">
        <v>1.009729337976</v>
      </c>
      <c r="G10" s="3">
        <v>3.8547033684000004E-2</v>
      </c>
      <c r="H10" s="3">
        <v>0.96374535311999998</v>
      </c>
      <c r="I10" s="3"/>
      <c r="J10" s="46">
        <f>IF('2021 Lønnsgr arbavg tjeneste'!D10=0,0,'2021 Arbavg tjeneste'!D10/'2021 Lønnsgr arbavg tjeneste'!D10)</f>
        <v>0.12433913008383941</v>
      </c>
      <c r="K10" s="46">
        <f>IF('2021 Lønnsgr arbavg tjeneste'!E10=0,0,'2021 Arbavg tjeneste'!E10/'2021 Lønnsgr arbavg tjeneste'!E10)</f>
        <v>0.12102399018931555</v>
      </c>
      <c r="L10" s="46">
        <f>IF('2021 Lønnsgr arbavg tjeneste'!F10=0,0,'2021 Arbavg tjeneste'!F10/'2021 Lønnsgr arbavg tjeneste'!F10)</f>
        <v>0.14118380385943952</v>
      </c>
      <c r="M10" s="46">
        <f>IF('2021 Lønnsgr arbavg tjeneste'!G10=0,0,'2021 Arbavg tjeneste'!G10/'2021 Lønnsgr arbavg tjeneste'!G10)</f>
        <v>0.14080765143464399</v>
      </c>
      <c r="N10" s="46">
        <f>IF('2021 Lønnsgr arbavg tjeneste'!H10=0,0,'2021 Arbavg tjeneste'!H10/'2021 Lønnsgr arbavg tjeneste'!H10)</f>
        <v>0.120203629311539</v>
      </c>
      <c r="O10" s="46">
        <f>IF('2021 Lønnsgr arbavg tjeneste'!I10=0,0,'2021 Arbavg tjeneste'!I10/'2021 Lønnsgr arbavg tjeneste'!I10)</f>
        <v>0.14101249286054635</v>
      </c>
      <c r="P10" s="46">
        <f>IF('2021 Lønnsgr arbavg tjeneste'!J10=0,0,'2021 Arbavg tjeneste'!J10/'2021 Lønnsgr arbavg tjeneste'!J10)</f>
        <v>0</v>
      </c>
      <c r="Q10" s="46">
        <f>IF('2021 Lønnsgr arbavg tjeneste'!K10=0,0,'2021 Arbavg tjeneste'!K10/'2021 Lønnsgr arbavg tjeneste'!K10)</f>
        <v>0.14093874707037435</v>
      </c>
      <c r="R10" s="46">
        <f>IF('2021 Lønnsgr arbavg tjeneste'!L10=0,0,'2021 Arbavg tjeneste'!L10/'2021 Lønnsgr arbavg tjeneste'!L10)</f>
        <v>0.14127750939345143</v>
      </c>
      <c r="S10" s="46">
        <f>IF('2021 Lønnsgr arbavg tjeneste'!M10=0,0,'2021 Arbavg tjeneste'!M10/'2021 Lønnsgr arbavg tjeneste'!M10)</f>
        <v>0.14045904769481682</v>
      </c>
      <c r="T10" s="46">
        <f>IF('2021 Lønnsgr arbavg tjeneste'!N10=0,0,'2021 Arbavg tjeneste'!N10/'2021 Lønnsgr arbavg tjeneste'!N10)</f>
        <v>0.14147710583858228</v>
      </c>
      <c r="U10" s="46">
        <f>IF('2021 Lønnsgr arbavg tjeneste'!O10=0,0,'2021 Arbavg tjeneste'!O10/'2021 Lønnsgr arbavg tjeneste'!O10)</f>
        <v>0</v>
      </c>
      <c r="V10" s="46">
        <f>IF('2021 Lønnsgr arbavg tjeneste'!P10=0,0,'2021 Arbavg tjeneste'!P10/'2021 Lønnsgr arbavg tjeneste'!P10)</f>
        <v>0</v>
      </c>
      <c r="W10" s="46">
        <f>IF('2021 Lønnsgr arbavg tjeneste'!Q10=0,0,'2021 Arbavg tjeneste'!Q10/'2021 Lønnsgr arbavg tjeneste'!Q10)</f>
        <v>0</v>
      </c>
      <c r="X10" s="46">
        <f>IF('2021 Lønnsgr arbavg tjeneste'!R10=0,0,'2021 Arbavg tjeneste'!R10/'2021 Lønnsgr arbavg tjeneste'!R10)</f>
        <v>0.14101211689237347</v>
      </c>
      <c r="Z10" s="46">
        <f>IF('2021 Lønnsgr pensjon tjeneste'!D10=0,0,'2021 Pensjon tjeneste'!D10/'2021 Lønnsgr pensjon tjeneste'!D10)</f>
        <v>0.12259102940124472</v>
      </c>
      <c r="AA10" s="46">
        <f>IF('2021 Lønnsgr pensjon tjeneste'!E10=0,0,'2021 Pensjon tjeneste'!E10/'2021 Lønnsgr pensjon tjeneste'!E10)</f>
        <v>0.29392804899214042</v>
      </c>
      <c r="AB10" s="46">
        <f>IF('2021 Lønnsgr pensjon tjeneste'!F10=0,0,'2021 Pensjon tjeneste'!F10/'2021 Lønnsgr pensjon tjeneste'!F10)</f>
        <v>0.27257403490216814</v>
      </c>
      <c r="AC10" s="46">
        <f>IF('2021 Lønnsgr pensjon tjeneste'!G10=0,0,'2021 Pensjon tjeneste'!G10/'2021 Lønnsgr pensjon tjeneste'!G10)</f>
        <v>9.9299065420560745E-2</v>
      </c>
      <c r="AD10" s="46">
        <f>IF('2021 Lønnsgr pensjon tjeneste'!H10=0,0,'2021 Pensjon tjeneste'!H10/'2021 Lønnsgr pensjon tjeneste'!H10)</f>
        <v>0.26114427136409957</v>
      </c>
      <c r="AE10" s="46">
        <f>IF('2021 Lønnsgr pensjon tjeneste'!I10=0,0,'2021 Pensjon tjeneste'!I10/'2021 Lønnsgr pensjon tjeneste'!I10)</f>
        <v>0.23870743300290817</v>
      </c>
      <c r="AF10" s="46">
        <f>IF('2021 Lønnsgr pensjon tjeneste'!J10=0,0,'2021 Pensjon tjeneste'!J10/'2021 Lønnsgr pensjon tjeneste'!J10)</f>
        <v>0</v>
      </c>
      <c r="AG10" s="46">
        <f>IF('2021 Lønnsgr pensjon tjeneste'!K10=0,0,'2021 Pensjon tjeneste'!K10/'2021 Lønnsgr pensjon tjeneste'!K10)</f>
        <v>0.23870426479641724</v>
      </c>
      <c r="AH10" s="46">
        <f>IF('2021 Lønnsgr pensjon tjeneste'!L10=0,0,'2021 Pensjon tjeneste'!L10/'2021 Lønnsgr pensjon tjeneste'!L10)</f>
        <v>0.30914457041131826</v>
      </c>
      <c r="AI10" s="46">
        <f>IF('2021 Lønnsgr pensjon tjeneste'!M10=0,0,'2021 Pensjon tjeneste'!M10/'2021 Lønnsgr pensjon tjeneste'!M10)</f>
        <v>0.26740610032770357</v>
      </c>
      <c r="AJ10" s="46">
        <f>IF('2021 Lønnsgr pensjon tjeneste'!N10=0,0,'2021 Pensjon tjeneste'!N10/'2021 Lønnsgr pensjon tjeneste'!N10)</f>
        <v>0.10925677877131376</v>
      </c>
      <c r="AK10" s="46">
        <f>IF('2021 Lønnsgr pensjon tjeneste'!O10=0,0,'2021 Pensjon tjeneste'!O10/'2021 Lønnsgr pensjon tjeneste'!O10)</f>
        <v>0</v>
      </c>
      <c r="AL10" s="46">
        <f>IF('2021 Lønnsgr pensjon tjeneste'!P10=0,0,'2021 Pensjon tjeneste'!P10/'2021 Lønnsgr pensjon tjeneste'!P10)</f>
        <v>0</v>
      </c>
      <c r="AM10" s="46">
        <f>IF('2021 Lønnsgr pensjon tjeneste'!Q10=0,0,'2021 Pensjon tjeneste'!Q10/'2021 Lønnsgr pensjon tjeneste'!Q10)</f>
        <v>0</v>
      </c>
    </row>
    <row r="11" spans="1:39" x14ac:dyDescent="0.3">
      <c r="A11" s="43">
        <v>3800</v>
      </c>
      <c r="B11" s="44" t="s">
        <v>394</v>
      </c>
      <c r="C11" s="1">
        <v>29239.253434179998</v>
      </c>
      <c r="D11" s="3">
        <v>1.0188882733159998</v>
      </c>
      <c r="E11" s="3">
        <v>0.96541871701000015</v>
      </c>
      <c r="F11" s="3">
        <v>0.72761217902399999</v>
      </c>
      <c r="G11" s="3">
        <v>0.16001458453400003</v>
      </c>
      <c r="H11" s="3">
        <v>0.99862059254700009</v>
      </c>
      <c r="I11" s="3"/>
      <c r="J11" s="46">
        <f>IF('2021 Lønnsgr arbavg tjeneste'!D11=0,0,'2021 Arbavg tjeneste'!D11/'2021 Lønnsgr arbavg tjeneste'!D11)</f>
        <v>0.13898654394681054</v>
      </c>
      <c r="K11" s="46">
        <f>IF('2021 Lønnsgr arbavg tjeneste'!E11=0,0,'2021 Arbavg tjeneste'!E11/'2021 Lønnsgr arbavg tjeneste'!E11)</f>
        <v>0.14175879602491923</v>
      </c>
      <c r="L11" s="46">
        <f>IF('2021 Lønnsgr arbavg tjeneste'!F11=0,0,'2021 Arbavg tjeneste'!F11/'2021 Lønnsgr arbavg tjeneste'!F11)</f>
        <v>0.15982899572489312</v>
      </c>
      <c r="M11" s="46">
        <f>IF('2021 Lønnsgr arbavg tjeneste'!G11=0,0,'2021 Arbavg tjeneste'!G11/'2021 Lønnsgr arbavg tjeneste'!G11)</f>
        <v>0</v>
      </c>
      <c r="N11" s="46">
        <f>IF('2021 Lønnsgr arbavg tjeneste'!H11=0,0,'2021 Arbavg tjeneste'!H11/'2021 Lønnsgr arbavg tjeneste'!H11)</f>
        <v>0.1383561798641639</v>
      </c>
      <c r="O11" s="46">
        <f>IF('2021 Lønnsgr arbavg tjeneste'!I11=0,0,'2021 Arbavg tjeneste'!I11/'2021 Lønnsgr arbavg tjeneste'!I11)</f>
        <v>0.13841880502291148</v>
      </c>
      <c r="P11" s="46">
        <f>IF('2021 Lønnsgr arbavg tjeneste'!J11=0,0,'2021 Arbavg tjeneste'!J11/'2021 Lønnsgr arbavg tjeneste'!J11)</f>
        <v>0</v>
      </c>
      <c r="Q11" s="46">
        <f>IF('2021 Lønnsgr arbavg tjeneste'!K11=0,0,'2021 Arbavg tjeneste'!K11/'2021 Lønnsgr arbavg tjeneste'!K11)</f>
        <v>0.13727957943035476</v>
      </c>
      <c r="R11" s="46">
        <f>IF('2021 Lønnsgr arbavg tjeneste'!L11=0,0,'2021 Arbavg tjeneste'!L11/'2021 Lønnsgr arbavg tjeneste'!L11)</f>
        <v>0.13965189915430878</v>
      </c>
      <c r="S11" s="46">
        <f>IF('2021 Lønnsgr arbavg tjeneste'!M11=0,0,'2021 Arbavg tjeneste'!M11/'2021 Lønnsgr arbavg tjeneste'!M11)</f>
        <v>0.14163036193029491</v>
      </c>
      <c r="T11" s="46">
        <f>IF('2021 Lønnsgr arbavg tjeneste'!N11=0,0,'2021 Arbavg tjeneste'!N11/'2021 Lønnsgr arbavg tjeneste'!N11)</f>
        <v>0.14250713206913912</v>
      </c>
      <c r="U11" s="46">
        <f>IF('2021 Lønnsgr arbavg tjeneste'!O11=0,0,'2021 Arbavg tjeneste'!O11/'2021 Lønnsgr arbavg tjeneste'!O11)</f>
        <v>0.10659272951324707</v>
      </c>
      <c r="V11" s="46">
        <f>IF('2021 Lønnsgr arbavg tjeneste'!P11=0,0,'2021 Arbavg tjeneste'!P11/'2021 Lønnsgr arbavg tjeneste'!P11)</f>
        <v>0.15267175572519084</v>
      </c>
      <c r="W11" s="46">
        <f>IF('2021 Lønnsgr arbavg tjeneste'!Q11=0,0,'2021 Arbavg tjeneste'!Q11/'2021 Lønnsgr arbavg tjeneste'!Q11)</f>
        <v>0</v>
      </c>
      <c r="X11" s="46">
        <f>IF('2021 Lønnsgr arbavg tjeneste'!R11=0,0,'2021 Arbavg tjeneste'!R11/'2021 Lønnsgr arbavg tjeneste'!R11)</f>
        <v>0.14097520267048164</v>
      </c>
      <c r="Z11" s="46">
        <f>IF('2021 Lønnsgr pensjon tjeneste'!D11=0,0,'2021 Pensjon tjeneste'!D11/'2021 Lønnsgr pensjon tjeneste'!D11)</f>
        <v>0.12179889138354534</v>
      </c>
      <c r="AA11" s="46">
        <f>IF('2021 Lønnsgr pensjon tjeneste'!E11=0,0,'2021 Pensjon tjeneste'!E11/'2021 Lønnsgr pensjon tjeneste'!E11)</f>
        <v>0.21965899360716928</v>
      </c>
      <c r="AB11" s="46">
        <f>IF('2021 Lønnsgr pensjon tjeneste'!F11=0,0,'2021 Pensjon tjeneste'!F11/'2021 Lønnsgr pensjon tjeneste'!F11)</f>
        <v>0.23872346355739305</v>
      </c>
      <c r="AC11" s="46">
        <f>IF('2021 Lønnsgr pensjon tjeneste'!G11=0,0,'2021 Pensjon tjeneste'!G11/'2021 Lønnsgr pensjon tjeneste'!G11)</f>
        <v>0</v>
      </c>
      <c r="AD11" s="46">
        <f>IF('2021 Lønnsgr pensjon tjeneste'!H11=0,0,'2021 Pensjon tjeneste'!H11/'2021 Lønnsgr pensjon tjeneste'!H11)</f>
        <v>0.25737467318404</v>
      </c>
      <c r="AE11" s="46">
        <f>IF('2021 Lønnsgr pensjon tjeneste'!I11=0,0,'2021 Pensjon tjeneste'!I11/'2021 Lønnsgr pensjon tjeneste'!I11)</f>
        <v>0.22199091797598591</v>
      </c>
      <c r="AF11" s="46">
        <f>IF('2021 Lønnsgr pensjon tjeneste'!J11=0,0,'2021 Pensjon tjeneste'!J11/'2021 Lønnsgr pensjon tjeneste'!J11)</f>
        <v>0</v>
      </c>
      <c r="AG11" s="46">
        <f>IF('2021 Lønnsgr pensjon tjeneste'!K11=0,0,'2021 Pensjon tjeneste'!K11/'2021 Lønnsgr pensjon tjeneste'!K11)</f>
        <v>0.22065384375549169</v>
      </c>
      <c r="AH11" s="46">
        <f>IF('2021 Lønnsgr pensjon tjeneste'!L11=0,0,'2021 Pensjon tjeneste'!L11/'2021 Lønnsgr pensjon tjeneste'!L11)</f>
        <v>0.22212126620479289</v>
      </c>
      <c r="AI11" s="46">
        <f>IF('2021 Lønnsgr pensjon tjeneste'!M11=0,0,'2021 Pensjon tjeneste'!M11/'2021 Lønnsgr pensjon tjeneste'!M11)</f>
        <v>0.2057174604778019</v>
      </c>
      <c r="AJ11" s="46">
        <f>IF('2021 Lønnsgr pensjon tjeneste'!N11=0,0,'2021 Pensjon tjeneste'!N11/'2021 Lønnsgr pensjon tjeneste'!N11)</f>
        <v>0.24874266554903604</v>
      </c>
      <c r="AK11" s="46">
        <f>IF('2021 Lønnsgr pensjon tjeneste'!O11=0,0,'2021 Pensjon tjeneste'!O11/'2021 Lønnsgr pensjon tjeneste'!O11)</f>
        <v>0.17099567099567101</v>
      </c>
      <c r="AL11" s="46">
        <f>IF('2021 Lønnsgr pensjon tjeneste'!P11=0,0,'2021 Pensjon tjeneste'!P11/'2021 Lønnsgr pensjon tjeneste'!P11)</f>
        <v>0.16964285714285715</v>
      </c>
      <c r="AM11" s="46">
        <f>IF('2021 Lønnsgr pensjon tjeneste'!Q11=0,0,'2021 Pensjon tjeneste'!Q11/'2021 Lønnsgr pensjon tjeneste'!Q11)</f>
        <v>0</v>
      </c>
    </row>
    <row r="12" spans="1:39" x14ac:dyDescent="0.3">
      <c r="A12" s="43">
        <v>4200</v>
      </c>
      <c r="B12" s="44" t="s">
        <v>395</v>
      </c>
      <c r="C12" s="1">
        <v>19890.49939511</v>
      </c>
      <c r="D12" s="3">
        <v>1.05030069166</v>
      </c>
      <c r="E12" s="3">
        <v>1.1653561073379999</v>
      </c>
      <c r="F12" s="3">
        <v>0.81375635999199991</v>
      </c>
      <c r="G12" s="3">
        <v>0.23760515278000002</v>
      </c>
      <c r="H12" s="3">
        <v>1.0486821090080001</v>
      </c>
      <c r="I12" s="3"/>
      <c r="J12" s="46">
        <f>IF('2021 Lønnsgr arbavg tjeneste'!D12=0,0,'2021 Arbavg tjeneste'!D12/'2021 Lønnsgr arbavg tjeneste'!D12)</f>
        <v>0.13932718241696582</v>
      </c>
      <c r="K12" s="46">
        <f>IF('2021 Lønnsgr arbavg tjeneste'!E12=0,0,'2021 Arbavg tjeneste'!E12/'2021 Lønnsgr arbavg tjeneste'!E12)</f>
        <v>0.2071540811101891</v>
      </c>
      <c r="L12" s="46">
        <f>IF('2021 Lønnsgr arbavg tjeneste'!F12=0,0,'2021 Arbavg tjeneste'!F12/'2021 Lønnsgr arbavg tjeneste'!F12)</f>
        <v>0.14134668892598776</v>
      </c>
      <c r="M12" s="46">
        <f>IF('2021 Lønnsgr arbavg tjeneste'!G12=0,0,'2021 Arbavg tjeneste'!G12/'2021 Lønnsgr arbavg tjeneste'!G12)</f>
        <v>0.14126984126984127</v>
      </c>
      <c r="N12" s="46">
        <f>IF('2021 Lønnsgr arbavg tjeneste'!H12=0,0,'2021 Arbavg tjeneste'!H12/'2021 Lønnsgr arbavg tjeneste'!H12)</f>
        <v>0.1376441612260057</v>
      </c>
      <c r="O12" s="46">
        <f>IF('2021 Lønnsgr arbavg tjeneste'!I12=0,0,'2021 Arbavg tjeneste'!I12/'2021 Lønnsgr arbavg tjeneste'!I12)</f>
        <v>0.12970305626302384</v>
      </c>
      <c r="P12" s="46">
        <f>IF('2021 Lønnsgr arbavg tjeneste'!J12=0,0,'2021 Arbavg tjeneste'!J12/'2021 Lønnsgr arbavg tjeneste'!J12)</f>
        <v>0</v>
      </c>
      <c r="Q12" s="46">
        <f>IF('2021 Lønnsgr arbavg tjeneste'!K12=0,0,'2021 Arbavg tjeneste'!K12/'2021 Lønnsgr arbavg tjeneste'!K12)</f>
        <v>0.12408720160567109</v>
      </c>
      <c r="R12" s="46">
        <f>IF('2021 Lønnsgr arbavg tjeneste'!L12=0,0,'2021 Arbavg tjeneste'!L12/'2021 Lønnsgr arbavg tjeneste'!L12)</f>
        <v>0.14136590782898389</v>
      </c>
      <c r="S12" s="46">
        <f>IF('2021 Lønnsgr arbavg tjeneste'!M12=0,0,'2021 Arbavg tjeneste'!M12/'2021 Lønnsgr arbavg tjeneste'!M12)</f>
        <v>0.14185022026431718</v>
      </c>
      <c r="T12" s="46">
        <f>IF('2021 Lønnsgr arbavg tjeneste'!N12=0,0,'2021 Arbavg tjeneste'!N12/'2021 Lønnsgr arbavg tjeneste'!N12)</f>
        <v>0.14217262467688041</v>
      </c>
      <c r="U12" s="46">
        <f>IF('2021 Lønnsgr arbavg tjeneste'!O12=0,0,'2021 Arbavg tjeneste'!O12/'2021 Lønnsgr arbavg tjeneste'!O12)</f>
        <v>0</v>
      </c>
      <c r="V12" s="46">
        <f>IF('2021 Lønnsgr arbavg tjeneste'!P12=0,0,'2021 Arbavg tjeneste'!P12/'2021 Lønnsgr arbavg tjeneste'!P12)</f>
        <v>0.13636363636363635</v>
      </c>
      <c r="W12" s="46">
        <f>IF('2021 Lønnsgr arbavg tjeneste'!Q12=0,0,'2021 Arbavg tjeneste'!Q12/'2021 Lønnsgr arbavg tjeneste'!Q12)</f>
        <v>0</v>
      </c>
      <c r="X12" s="46">
        <f>IF('2021 Lønnsgr arbavg tjeneste'!R12=0,0,'2021 Arbavg tjeneste'!R12/'2021 Lønnsgr arbavg tjeneste'!R12)</f>
        <v>9.3997470303563577E-2</v>
      </c>
      <c r="Z12" s="46">
        <f>IF('2021 Lønnsgr pensjon tjeneste'!D12=0,0,'2021 Pensjon tjeneste'!D12/'2021 Lønnsgr pensjon tjeneste'!D12)</f>
        <v>0.11268613883372744</v>
      </c>
      <c r="AA12" s="46">
        <f>IF('2021 Lønnsgr pensjon tjeneste'!E12=0,0,'2021 Pensjon tjeneste'!E12/'2021 Lønnsgr pensjon tjeneste'!E12)</f>
        <v>0.32185866318147871</v>
      </c>
      <c r="AB12" s="46">
        <f>IF('2021 Lønnsgr pensjon tjeneste'!F12=0,0,'2021 Pensjon tjeneste'!F12/'2021 Lønnsgr pensjon tjeneste'!F12)</f>
        <v>0.20604026845637585</v>
      </c>
      <c r="AC12" s="46">
        <f>IF('2021 Lønnsgr pensjon tjeneste'!G12=0,0,'2021 Pensjon tjeneste'!G12/'2021 Lønnsgr pensjon tjeneste'!G12)</f>
        <v>0.2045889101338432</v>
      </c>
      <c r="AD12" s="46">
        <f>IF('2021 Lønnsgr pensjon tjeneste'!H12=0,0,'2021 Pensjon tjeneste'!H12/'2021 Lønnsgr pensjon tjeneste'!H12)</f>
        <v>0.22494229424666456</v>
      </c>
      <c r="AE12" s="46">
        <f>IF('2021 Lønnsgr pensjon tjeneste'!I12=0,0,'2021 Pensjon tjeneste'!I12/'2021 Lønnsgr pensjon tjeneste'!I12)</f>
        <v>0.30618416886792899</v>
      </c>
      <c r="AF12" s="46">
        <f>IF('2021 Lønnsgr pensjon tjeneste'!J12=0,0,'2021 Pensjon tjeneste'!J12/'2021 Lønnsgr pensjon tjeneste'!J12)</f>
        <v>0</v>
      </c>
      <c r="AG12" s="46">
        <f>IF('2021 Lønnsgr pensjon tjeneste'!K12=0,0,'2021 Pensjon tjeneste'!K12/'2021 Lønnsgr pensjon tjeneste'!K12)</f>
        <v>0.35776305680780435</v>
      </c>
      <c r="AH12" s="46">
        <f>IF('2021 Lønnsgr pensjon tjeneste'!L12=0,0,'2021 Pensjon tjeneste'!L12/'2021 Lønnsgr pensjon tjeneste'!L12)</f>
        <v>0.21077665170843207</v>
      </c>
      <c r="AI12" s="46">
        <f>IF('2021 Lønnsgr pensjon tjeneste'!M12=0,0,'2021 Pensjon tjeneste'!M12/'2021 Lønnsgr pensjon tjeneste'!M12)</f>
        <v>0.21650589496248659</v>
      </c>
      <c r="AJ12" s="46">
        <f>IF('2021 Lønnsgr pensjon tjeneste'!N12=0,0,'2021 Pensjon tjeneste'!N12/'2021 Lønnsgr pensjon tjeneste'!N12)</f>
        <v>0.20423658036595552</v>
      </c>
      <c r="AK12" s="46">
        <f>IF('2021 Lønnsgr pensjon tjeneste'!O12=0,0,'2021 Pensjon tjeneste'!O12/'2021 Lønnsgr pensjon tjeneste'!O12)</f>
        <v>0</v>
      </c>
      <c r="AL12" s="46">
        <f>IF('2021 Lønnsgr pensjon tjeneste'!P12=0,0,'2021 Pensjon tjeneste'!P12/'2021 Lønnsgr pensjon tjeneste'!P12)</f>
        <v>0</v>
      </c>
      <c r="AM12" s="46">
        <f>IF('2021 Lønnsgr pensjon tjeneste'!Q12=0,0,'2021 Pensjon tjeneste'!Q12/'2021 Lønnsgr pensjon tjeneste'!Q12)</f>
        <v>0</v>
      </c>
    </row>
    <row r="13" spans="1:39" x14ac:dyDescent="0.3">
      <c r="A13" s="43">
        <v>4600</v>
      </c>
      <c r="B13" s="44" t="s">
        <v>396</v>
      </c>
      <c r="C13" s="1">
        <v>-109660.8196718</v>
      </c>
      <c r="D13" s="3">
        <v>1.0627111443199999</v>
      </c>
      <c r="E13" s="3">
        <v>1.179674447704</v>
      </c>
      <c r="F13" s="3">
        <v>1.0003785486719998</v>
      </c>
      <c r="G13" s="3">
        <v>1.9450823642099999</v>
      </c>
      <c r="H13" s="3">
        <v>1.027352720051</v>
      </c>
      <c r="I13" s="3"/>
      <c r="J13" s="46">
        <f>IF('2021 Lønnsgr arbavg tjeneste'!D13=0,0,'2021 Arbavg tjeneste'!D13/'2021 Lønnsgr arbavg tjeneste'!D13)</f>
        <v>0.13535843420903865</v>
      </c>
      <c r="K13" s="46">
        <f>IF('2021 Lønnsgr arbavg tjeneste'!E13=0,0,'2021 Arbavg tjeneste'!E13/'2021 Lønnsgr arbavg tjeneste'!E13)</f>
        <v>0.42824077598940169</v>
      </c>
      <c r="L13" s="46">
        <f>IF('2021 Lønnsgr arbavg tjeneste'!F13=0,0,'2021 Arbavg tjeneste'!F13/'2021 Lønnsgr arbavg tjeneste'!F13)</f>
        <v>0.14247046902544314</v>
      </c>
      <c r="M13" s="46">
        <f>IF('2021 Lønnsgr arbavg tjeneste'!G13=0,0,'2021 Arbavg tjeneste'!G13/'2021 Lønnsgr arbavg tjeneste'!G13)</f>
        <v>0</v>
      </c>
      <c r="N13" s="46">
        <f>IF('2021 Lønnsgr arbavg tjeneste'!H13=0,0,'2021 Arbavg tjeneste'!H13/'2021 Lønnsgr arbavg tjeneste'!H13)</f>
        <v>0.13556701802719051</v>
      </c>
      <c r="O13" s="46">
        <f>IF('2021 Lønnsgr arbavg tjeneste'!I13=0,0,'2021 Arbavg tjeneste'!I13/'2021 Lønnsgr arbavg tjeneste'!I13)</f>
        <v>0.13875863741059521</v>
      </c>
      <c r="P13" s="46">
        <f>IF('2021 Lønnsgr arbavg tjeneste'!J13=0,0,'2021 Arbavg tjeneste'!J13/'2021 Lønnsgr arbavg tjeneste'!J13)</f>
        <v>0</v>
      </c>
      <c r="Q13" s="46">
        <f>IF('2021 Lønnsgr arbavg tjeneste'!K13=0,0,'2021 Arbavg tjeneste'!K13/'2021 Lønnsgr arbavg tjeneste'!K13)</f>
        <v>0.14041106975238712</v>
      </c>
      <c r="R13" s="46">
        <f>IF('2021 Lønnsgr arbavg tjeneste'!L13=0,0,'2021 Arbavg tjeneste'!L13/'2021 Lønnsgr arbavg tjeneste'!L13)</f>
        <v>0.1369404143928302</v>
      </c>
      <c r="S13" s="46">
        <f>IF('2021 Lønnsgr arbavg tjeneste'!M13=0,0,'2021 Arbavg tjeneste'!M13/'2021 Lønnsgr arbavg tjeneste'!M13)</f>
        <v>0.1361154369295669</v>
      </c>
      <c r="T13" s="46">
        <f>IF('2021 Lønnsgr arbavg tjeneste'!N13=0,0,'2021 Arbavg tjeneste'!N13/'2021 Lønnsgr arbavg tjeneste'!N13)</f>
        <v>0.13222239940466698</v>
      </c>
      <c r="U13" s="46">
        <f>IF('2021 Lønnsgr arbavg tjeneste'!O13=0,0,'2021 Arbavg tjeneste'!O13/'2021 Lønnsgr arbavg tjeneste'!O13)</f>
        <v>0</v>
      </c>
      <c r="V13" s="46">
        <f>IF('2021 Lønnsgr arbavg tjeneste'!P13=0,0,'2021 Arbavg tjeneste'!P13/'2021 Lønnsgr arbavg tjeneste'!P13)</f>
        <v>0.14137214137214138</v>
      </c>
      <c r="W13" s="46">
        <f>IF('2021 Lønnsgr arbavg tjeneste'!Q13=0,0,'2021 Arbavg tjeneste'!Q13/'2021 Lønnsgr arbavg tjeneste'!Q13)</f>
        <v>0</v>
      </c>
      <c r="X13" s="46">
        <f>IF('2021 Lønnsgr arbavg tjeneste'!R13=0,0,'2021 Arbavg tjeneste'!R13/'2021 Lønnsgr arbavg tjeneste'!R13)</f>
        <v>0.14615671951523201</v>
      </c>
      <c r="Z13" s="46">
        <f>IF('2021 Lønnsgr pensjon tjeneste'!D13=0,0,'2021 Pensjon tjeneste'!D13/'2021 Lønnsgr pensjon tjeneste'!D13)</f>
        <v>9.915149231031023E-2</v>
      </c>
      <c r="AA13" s="46">
        <f>IF('2021 Lønnsgr pensjon tjeneste'!E13=0,0,'2021 Pensjon tjeneste'!E13/'2021 Lønnsgr pensjon tjeneste'!E13)</f>
        <v>0.37398527073395266</v>
      </c>
      <c r="AB13" s="46">
        <f>IF('2021 Lønnsgr pensjon tjeneste'!F13=0,0,'2021 Pensjon tjeneste'!F13/'2021 Lønnsgr pensjon tjeneste'!F13)</f>
        <v>9.5761023316653232E-2</v>
      </c>
      <c r="AC13" s="46">
        <f>IF('2021 Lønnsgr pensjon tjeneste'!G13=0,0,'2021 Pensjon tjeneste'!G13/'2021 Lønnsgr pensjon tjeneste'!G13)</f>
        <v>0</v>
      </c>
      <c r="AD13" s="46">
        <f>IF('2021 Lønnsgr pensjon tjeneste'!H13=0,0,'2021 Pensjon tjeneste'!H13/'2021 Lønnsgr pensjon tjeneste'!H13)</f>
        <v>0.10676940923025935</v>
      </c>
      <c r="AE13" s="46">
        <f>IF('2021 Lønnsgr pensjon tjeneste'!I13=0,0,'2021 Pensjon tjeneste'!I13/'2021 Lønnsgr pensjon tjeneste'!I13)</f>
        <v>6.2593712804711529E-2</v>
      </c>
      <c r="AF13" s="46">
        <f>IF('2021 Lønnsgr pensjon tjeneste'!J13=0,0,'2021 Pensjon tjeneste'!J13/'2021 Lønnsgr pensjon tjeneste'!J13)</f>
        <v>0</v>
      </c>
      <c r="AG13" s="46">
        <f>IF('2021 Lønnsgr pensjon tjeneste'!K13=0,0,'2021 Pensjon tjeneste'!K13/'2021 Lønnsgr pensjon tjeneste'!K13)</f>
        <v>4.7670900479647935E-2</v>
      </c>
      <c r="AH13" s="46">
        <f>IF('2021 Lønnsgr pensjon tjeneste'!L13=0,0,'2021 Pensjon tjeneste'!L13/'2021 Lønnsgr pensjon tjeneste'!L13)</f>
        <v>9.1847115244877195E-2</v>
      </c>
      <c r="AI13" s="46">
        <f>IF('2021 Lønnsgr pensjon tjeneste'!M13=0,0,'2021 Pensjon tjeneste'!M13/'2021 Lønnsgr pensjon tjeneste'!M13)</f>
        <v>9.5422155042107534E-2</v>
      </c>
      <c r="AJ13" s="46">
        <f>IF('2021 Lønnsgr pensjon tjeneste'!N13=0,0,'2021 Pensjon tjeneste'!N13/'2021 Lønnsgr pensjon tjeneste'!N13)</f>
        <v>9.7543900589230501E-2</v>
      </c>
      <c r="AK13" s="46">
        <f>IF('2021 Lønnsgr pensjon tjeneste'!O13=0,0,'2021 Pensjon tjeneste'!O13/'2021 Lønnsgr pensjon tjeneste'!O13)</f>
        <v>0</v>
      </c>
      <c r="AL13" s="46">
        <f>IF('2021 Lønnsgr pensjon tjeneste'!P13=0,0,'2021 Pensjon tjeneste'!P13/'2021 Lønnsgr pensjon tjeneste'!P13)</f>
        <v>0.10194730813287514</v>
      </c>
      <c r="AM13" s="46">
        <f>IF('2021 Lønnsgr pensjon tjeneste'!Q13=0,0,'2021 Pensjon tjeneste'!Q13/'2021 Lønnsgr pensjon tjeneste'!Q13)</f>
        <v>0</v>
      </c>
    </row>
    <row r="14" spans="1:39" x14ac:dyDescent="0.3">
      <c r="A14" s="43">
        <v>5000</v>
      </c>
      <c r="B14" s="44" t="s">
        <v>390</v>
      </c>
      <c r="C14" s="1">
        <v>2927.28956973</v>
      </c>
      <c r="D14" s="3">
        <v>1.012572546855</v>
      </c>
      <c r="E14" s="3">
        <v>1.2942396964060001</v>
      </c>
      <c r="F14" s="3">
        <v>1.05514238388</v>
      </c>
      <c r="G14" s="3">
        <v>1.138105922492</v>
      </c>
      <c r="H14" s="3">
        <v>0.99297800244399992</v>
      </c>
      <c r="I14" s="3"/>
      <c r="J14" s="46">
        <f>IF('2021 Lønnsgr arbavg tjeneste'!D14=0,0,'2021 Arbavg tjeneste'!D14/'2021 Lønnsgr arbavg tjeneste'!D14)</f>
        <v>0.12522119045662475</v>
      </c>
      <c r="K14" s="46">
        <f>IF('2021 Lønnsgr arbavg tjeneste'!E14=0,0,'2021 Arbavg tjeneste'!E14/'2021 Lønnsgr arbavg tjeneste'!E14)</f>
        <v>0.25314721137222257</v>
      </c>
      <c r="L14" s="46">
        <f>IF('2021 Lønnsgr arbavg tjeneste'!F14=0,0,'2021 Arbavg tjeneste'!F14/'2021 Lønnsgr arbavg tjeneste'!F14)</f>
        <v>0.13911566489507424</v>
      </c>
      <c r="M14" s="46">
        <f>IF('2021 Lønnsgr arbavg tjeneste'!G14=0,0,'2021 Arbavg tjeneste'!G14/'2021 Lønnsgr arbavg tjeneste'!G14)</f>
        <v>0.10369582557830365</v>
      </c>
      <c r="N14" s="46">
        <f>IF('2021 Lønnsgr arbavg tjeneste'!H14=0,0,'2021 Arbavg tjeneste'!H14/'2021 Lønnsgr arbavg tjeneste'!H14)</f>
        <v>0.11946462773817886</v>
      </c>
      <c r="O14" s="46">
        <f>IF('2021 Lønnsgr arbavg tjeneste'!I14=0,0,'2021 Arbavg tjeneste'!I14/'2021 Lønnsgr arbavg tjeneste'!I14)</f>
        <v>0.13339767364871311</v>
      </c>
      <c r="P14" s="46">
        <f>IF('2021 Lønnsgr arbavg tjeneste'!J14=0,0,'2021 Arbavg tjeneste'!J14/'2021 Lønnsgr arbavg tjeneste'!J14)</f>
        <v>0</v>
      </c>
      <c r="Q14" s="46">
        <f>IF('2021 Lønnsgr arbavg tjeneste'!K14=0,0,'2021 Arbavg tjeneste'!K14/'2021 Lønnsgr arbavg tjeneste'!K14)</f>
        <v>0.13214005531036477</v>
      </c>
      <c r="R14" s="46">
        <f>IF('2021 Lønnsgr arbavg tjeneste'!L14=0,0,'2021 Arbavg tjeneste'!L14/'2021 Lønnsgr arbavg tjeneste'!L14)</f>
        <v>0.13804680878805659</v>
      </c>
      <c r="S14" s="46">
        <f>IF('2021 Lønnsgr arbavg tjeneste'!M14=0,0,'2021 Arbavg tjeneste'!M14/'2021 Lønnsgr arbavg tjeneste'!M14)</f>
        <v>0.12503221372734302</v>
      </c>
      <c r="T14" s="46">
        <f>IF('2021 Lønnsgr arbavg tjeneste'!N14=0,0,'2021 Arbavg tjeneste'!N14/'2021 Lønnsgr arbavg tjeneste'!N14)</f>
        <v>0.13790021314142964</v>
      </c>
      <c r="U14" s="46">
        <f>IF('2021 Lønnsgr arbavg tjeneste'!O14=0,0,'2021 Arbavg tjeneste'!O14/'2021 Lønnsgr arbavg tjeneste'!O14)</f>
        <v>0</v>
      </c>
      <c r="V14" s="46">
        <f>IF('2021 Lønnsgr arbavg tjeneste'!P14=0,0,'2021 Arbavg tjeneste'!P14/'2021 Lønnsgr arbavg tjeneste'!P14)</f>
        <v>0</v>
      </c>
      <c r="W14" s="46">
        <f>IF('2021 Lønnsgr arbavg tjeneste'!Q14=0,0,'2021 Arbavg tjeneste'!Q14/'2021 Lønnsgr arbavg tjeneste'!Q14)</f>
        <v>0</v>
      </c>
      <c r="X14" s="46">
        <f>IF('2021 Lønnsgr arbavg tjeneste'!R14=0,0,'2021 Arbavg tjeneste'!R14/'2021 Lønnsgr arbavg tjeneste'!R14)</f>
        <v>4.923758412130505E-2</v>
      </c>
      <c r="Z14" s="46">
        <f>IF('2021 Lønnsgr pensjon tjeneste'!D14=0,0,'2021 Pensjon tjeneste'!D14/'2021 Lønnsgr pensjon tjeneste'!D14)</f>
        <v>0.11797361986079559</v>
      </c>
      <c r="AA14" s="46">
        <f>IF('2021 Lønnsgr pensjon tjeneste'!E14=0,0,'2021 Pensjon tjeneste'!E14/'2021 Lønnsgr pensjon tjeneste'!E14)</f>
        <v>0.44497492551675644</v>
      </c>
      <c r="AB14" s="46">
        <f>IF('2021 Lønnsgr pensjon tjeneste'!F14=0,0,'2021 Pensjon tjeneste'!F14/'2021 Lønnsgr pensjon tjeneste'!F14)</f>
        <v>0.22112939917034657</v>
      </c>
      <c r="AC14" s="46">
        <f>IF('2021 Lønnsgr pensjon tjeneste'!G14=0,0,'2021 Pensjon tjeneste'!G14/'2021 Lønnsgr pensjon tjeneste'!G14)</f>
        <v>0.15226715686274508</v>
      </c>
      <c r="AD14" s="46">
        <f>IF('2021 Lønnsgr pensjon tjeneste'!H14=0,0,'2021 Pensjon tjeneste'!H14/'2021 Lønnsgr pensjon tjeneste'!H14)</f>
        <v>0.20943392722849954</v>
      </c>
      <c r="AE14" s="46">
        <f>IF('2021 Lønnsgr pensjon tjeneste'!I14=0,0,'2021 Pensjon tjeneste'!I14/'2021 Lønnsgr pensjon tjeneste'!I14)</f>
        <v>0.42110781964539884</v>
      </c>
      <c r="AF14" s="46">
        <f>IF('2021 Lønnsgr pensjon tjeneste'!J14=0,0,'2021 Pensjon tjeneste'!J14/'2021 Lønnsgr pensjon tjeneste'!J14)</f>
        <v>0</v>
      </c>
      <c r="AG14" s="46">
        <f>IF('2021 Lønnsgr pensjon tjeneste'!K14=0,0,'2021 Pensjon tjeneste'!K14/'2021 Lønnsgr pensjon tjeneste'!K14)</f>
        <v>0.58254784050160568</v>
      </c>
      <c r="AH14" s="46">
        <f>IF('2021 Lønnsgr pensjon tjeneste'!L14=0,0,'2021 Pensjon tjeneste'!L14/'2021 Lønnsgr pensjon tjeneste'!L14)</f>
        <v>0.21917100504709294</v>
      </c>
      <c r="AI14" s="46">
        <f>IF('2021 Lønnsgr pensjon tjeneste'!M14=0,0,'2021 Pensjon tjeneste'!M14/'2021 Lønnsgr pensjon tjeneste'!M14)</f>
        <v>0.18074855462014403</v>
      </c>
      <c r="AJ14" s="46">
        <f>IF('2021 Lønnsgr pensjon tjeneste'!N14=0,0,'2021 Pensjon tjeneste'!N14/'2021 Lønnsgr pensjon tjeneste'!N14)</f>
        <v>0.19228877472947864</v>
      </c>
      <c r="AK14" s="46">
        <f>IF('2021 Lønnsgr pensjon tjeneste'!O14=0,0,'2021 Pensjon tjeneste'!O14/'2021 Lønnsgr pensjon tjeneste'!O14)</f>
        <v>0</v>
      </c>
      <c r="AL14" s="46">
        <f>IF('2021 Lønnsgr pensjon tjeneste'!P14=0,0,'2021 Pensjon tjeneste'!P14/'2021 Lønnsgr pensjon tjeneste'!P14)</f>
        <v>0</v>
      </c>
      <c r="AM14" s="46">
        <f>IF('2021 Lønnsgr pensjon tjeneste'!Q14=0,0,'2021 Pensjon tjeneste'!Q14/'2021 Lønnsgr pensjon tjeneste'!Q14)</f>
        <v>0</v>
      </c>
    </row>
    <row r="15" spans="1:39" x14ac:dyDescent="0.3">
      <c r="A15" s="43">
        <v>5400</v>
      </c>
      <c r="B15" s="44" t="s">
        <v>397</v>
      </c>
      <c r="C15" s="1">
        <v>55082.410085030002</v>
      </c>
      <c r="D15" s="3">
        <v>1.0657255152389999</v>
      </c>
      <c r="E15" s="3">
        <v>2.0580994937500003</v>
      </c>
      <c r="F15" s="3">
        <v>1.1223627904319999</v>
      </c>
      <c r="G15" s="3">
        <v>3.4295099211780005</v>
      </c>
      <c r="H15" s="3">
        <v>0.95977925969500011</v>
      </c>
      <c r="I15" s="3"/>
      <c r="J15" s="46">
        <f>IF('2021 Lønnsgr arbavg tjeneste'!D15=0,0,'2021 Arbavg tjeneste'!D15/'2021 Lønnsgr arbavg tjeneste'!D15)</f>
        <v>4.0522579764890355E-2</v>
      </c>
      <c r="K15" s="46">
        <f>IF('2021 Lønnsgr arbavg tjeneste'!E15=0,0,'2021 Arbavg tjeneste'!E15/'2021 Lønnsgr arbavg tjeneste'!E15)</f>
        <v>4.4859084515396476E-2</v>
      </c>
      <c r="L15" s="46">
        <f>IF('2021 Lønnsgr arbavg tjeneste'!F15=0,0,'2021 Arbavg tjeneste'!F15/'2021 Lønnsgr arbavg tjeneste'!F15)</f>
        <v>6.0277825754398086E-2</v>
      </c>
      <c r="M15" s="46">
        <f>IF('2021 Lønnsgr arbavg tjeneste'!G15=0,0,'2021 Arbavg tjeneste'!G15/'2021 Lønnsgr arbavg tjeneste'!G15)</f>
        <v>2.9927319367250963E-2</v>
      </c>
      <c r="N15" s="46">
        <f>IF('2021 Lønnsgr arbavg tjeneste'!H15=0,0,'2021 Arbavg tjeneste'!H15/'2021 Lønnsgr arbavg tjeneste'!H15)</f>
        <v>3.681599936510456E-2</v>
      </c>
      <c r="O15" s="46">
        <f>IF('2021 Lønnsgr arbavg tjeneste'!I15=0,0,'2021 Arbavg tjeneste'!I15/'2021 Lønnsgr arbavg tjeneste'!I15)</f>
        <v>5.1971614381778525E-2</v>
      </c>
      <c r="P15" s="46">
        <f>IF('2021 Lønnsgr arbavg tjeneste'!J15=0,0,'2021 Arbavg tjeneste'!J15/'2021 Lønnsgr arbavg tjeneste'!J15)</f>
        <v>0</v>
      </c>
      <c r="Q15" s="46">
        <f>IF('2021 Lønnsgr arbavg tjeneste'!K15=0,0,'2021 Arbavg tjeneste'!K15/'2021 Lønnsgr arbavg tjeneste'!K15)</f>
        <v>5.1431387674637868E-2</v>
      </c>
      <c r="R15" s="46">
        <f>IF('2021 Lønnsgr arbavg tjeneste'!L15=0,0,'2021 Arbavg tjeneste'!L15/'2021 Lønnsgr arbavg tjeneste'!L15)</f>
        <v>4.6243338733920239E-2</v>
      </c>
      <c r="S15" s="46">
        <f>IF('2021 Lønnsgr arbavg tjeneste'!M15=0,0,'2021 Arbavg tjeneste'!M15/'2021 Lønnsgr arbavg tjeneste'!M15)</f>
        <v>5.4650741947158889E-2</v>
      </c>
      <c r="T15" s="46">
        <f>IF('2021 Lønnsgr arbavg tjeneste'!N15=0,0,'2021 Arbavg tjeneste'!N15/'2021 Lønnsgr arbavg tjeneste'!N15)</f>
        <v>3.5953229537922841E-2</v>
      </c>
      <c r="U15" s="46">
        <f>IF('2021 Lønnsgr arbavg tjeneste'!O15=0,0,'2021 Arbavg tjeneste'!O15/'2021 Lønnsgr arbavg tjeneste'!O15)</f>
        <v>0</v>
      </c>
      <c r="V15" s="46">
        <f>IF('2021 Lønnsgr arbavg tjeneste'!P15=0,0,'2021 Arbavg tjeneste'!P15/'2021 Lønnsgr arbavg tjeneste'!P15)</f>
        <v>7.804416112342942E-2</v>
      </c>
      <c r="W15" s="46">
        <f>IF('2021 Lønnsgr arbavg tjeneste'!Q15=0,0,'2021 Arbavg tjeneste'!Q15/'2021 Lønnsgr arbavg tjeneste'!Q15)</f>
        <v>0</v>
      </c>
      <c r="X15" s="46">
        <f>IF('2021 Lønnsgr arbavg tjeneste'!R15=0,0,'2021 Arbavg tjeneste'!R15/'2021 Lønnsgr arbavg tjeneste'!R15)</f>
        <v>4.9162535566571824E-2</v>
      </c>
      <c r="Z15" s="46">
        <f>IF('2021 Lønnsgr pensjon tjeneste'!D15=0,0,'2021 Pensjon tjeneste'!D15/'2021 Lønnsgr pensjon tjeneste'!D15)</f>
        <v>0.11857107330644018</v>
      </c>
      <c r="AA15" s="46">
        <f>IF('2021 Lønnsgr pensjon tjeneste'!E15=0,0,'2021 Pensjon tjeneste'!E15/'2021 Lønnsgr pensjon tjeneste'!E15)</f>
        <v>0.27230583466298675</v>
      </c>
      <c r="AB15" s="46">
        <f>IF('2021 Lønnsgr pensjon tjeneste'!F15=0,0,'2021 Pensjon tjeneste'!F15/'2021 Lønnsgr pensjon tjeneste'!F15)</f>
        <v>0.31651778463537439</v>
      </c>
      <c r="AC15" s="46">
        <f>IF('2021 Lønnsgr pensjon tjeneste'!G15=0,0,'2021 Pensjon tjeneste'!G15/'2021 Lønnsgr pensjon tjeneste'!G15)</f>
        <v>0.18071680969207471</v>
      </c>
      <c r="AD15" s="46">
        <f>IF('2021 Lønnsgr pensjon tjeneste'!H15=0,0,'2021 Pensjon tjeneste'!H15/'2021 Lønnsgr pensjon tjeneste'!H15)</f>
        <v>0.23327558700609763</v>
      </c>
      <c r="AE15" s="46">
        <f>IF('2021 Lønnsgr pensjon tjeneste'!I15=0,0,'2021 Pensjon tjeneste'!I15/'2021 Lønnsgr pensjon tjeneste'!I15)</f>
        <v>0.27217973964860231</v>
      </c>
      <c r="AF15" s="46">
        <f>IF('2021 Lønnsgr pensjon tjeneste'!J15=0,0,'2021 Pensjon tjeneste'!J15/'2021 Lønnsgr pensjon tjeneste'!J15)</f>
        <v>0</v>
      </c>
      <c r="AG15" s="46">
        <f>IF('2021 Lønnsgr pensjon tjeneste'!K15=0,0,'2021 Pensjon tjeneste'!K15/'2021 Lønnsgr pensjon tjeneste'!K15)</f>
        <v>0.31165786944130591</v>
      </c>
      <c r="AH15" s="46">
        <f>IF('2021 Lønnsgr pensjon tjeneste'!L15=0,0,'2021 Pensjon tjeneste'!L15/'2021 Lønnsgr pensjon tjeneste'!L15)</f>
        <v>0.20606930972784632</v>
      </c>
      <c r="AI15" s="46">
        <f>IF('2021 Lønnsgr pensjon tjeneste'!M15=0,0,'2021 Pensjon tjeneste'!M15/'2021 Lønnsgr pensjon tjeneste'!M15)</f>
        <v>0.22263399524309974</v>
      </c>
      <c r="AJ15" s="46">
        <f>IF('2021 Lønnsgr pensjon tjeneste'!N15=0,0,'2021 Pensjon tjeneste'!N15/'2021 Lønnsgr pensjon tjeneste'!N15)</f>
        <v>0.22617495974852411</v>
      </c>
      <c r="AK15" s="46">
        <f>IF('2021 Lønnsgr pensjon tjeneste'!O15=0,0,'2021 Pensjon tjeneste'!O15/'2021 Lønnsgr pensjon tjeneste'!O15)</f>
        <v>0</v>
      </c>
      <c r="AL15" s="46">
        <f>IF('2021 Lønnsgr pensjon tjeneste'!P15=0,0,'2021 Pensjon tjeneste'!P15/'2021 Lønnsgr pensjon tjeneste'!P15)</f>
        <v>0.22905725721747522</v>
      </c>
      <c r="AM15" s="46">
        <f>IF('2021 Lønnsgr pensjon tjeneste'!Q15=0,0,'2021 Pensjon tjeneste'!Q15/'2021 Lønnsgr pensjon tjeneste'!Q15)</f>
        <v>0</v>
      </c>
    </row>
    <row r="16" spans="1:39" x14ac:dyDescent="0.3">
      <c r="C16" s="4"/>
      <c r="D16" s="4"/>
      <c r="E16" s="4"/>
      <c r="F16" s="4"/>
      <c r="G16" s="4"/>
      <c r="H16" s="4"/>
      <c r="I16" s="4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2:39" x14ac:dyDescent="0.3">
      <c r="B17" s="1" t="s">
        <v>3</v>
      </c>
      <c r="C17" s="1">
        <f>SUM(C5:C15)</f>
        <v>9.9971657618880272E-9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/>
      <c r="J17" s="46">
        <f>IF('2021 Lønnsgr arbavg tjeneste'!D17=0,0,'2021 Arbavg tjeneste'!D17/'2021 Lønnsgr arbavg tjeneste'!D17)</f>
        <v>0.12564880215488397</v>
      </c>
      <c r="K17" s="46">
        <f>IF('2021 Lønnsgr arbavg tjeneste'!E17=0,0,'2021 Arbavg tjeneste'!E17/'2021 Lønnsgr arbavg tjeneste'!E17)</f>
        <v>0.19733335259405854</v>
      </c>
      <c r="L17" s="46">
        <f>IF('2021 Lønnsgr arbavg tjeneste'!F17=0,0,'2021 Arbavg tjeneste'!F17/'2021 Lønnsgr arbavg tjeneste'!F17)</f>
        <v>0.12867255277285042</v>
      </c>
      <c r="M17" s="46">
        <f>IF('2021 Lønnsgr arbavg tjeneste'!G17=0,0,'2021 Arbavg tjeneste'!G17/'2021 Lønnsgr arbavg tjeneste'!G17)</f>
        <v>0.11420345489443379</v>
      </c>
      <c r="N17" s="46">
        <f>IF('2021 Lønnsgr arbavg tjeneste'!H17=0,0,'2021 Arbavg tjeneste'!H17/'2021 Lønnsgr arbavg tjeneste'!H17)</f>
        <v>0.11599377781042823</v>
      </c>
      <c r="O17" s="46">
        <f>IF('2021 Lønnsgr arbavg tjeneste'!I17=0,0,'2021 Arbavg tjeneste'!I17/'2021 Lønnsgr arbavg tjeneste'!I17)</f>
        <v>0.10424019099714893</v>
      </c>
      <c r="P17" s="46">
        <f>IF('2021 Lønnsgr arbavg tjeneste'!J17=0,0,'2021 Arbavg tjeneste'!J17/'2021 Lønnsgr arbavg tjeneste'!J17)</f>
        <v>0</v>
      </c>
      <c r="Q17" s="46">
        <f>IF('2021 Lønnsgr arbavg tjeneste'!K17=0,0,'2021 Arbavg tjeneste'!K17/'2021 Lønnsgr arbavg tjeneste'!K17)</f>
        <v>9.5700959719477632E-2</v>
      </c>
      <c r="R17" s="46">
        <f>IF('2021 Lønnsgr arbavg tjeneste'!L17=0,0,'2021 Arbavg tjeneste'!L17/'2021 Lønnsgr arbavg tjeneste'!L17)</f>
        <v>0.12668814952066382</v>
      </c>
      <c r="S17" s="46">
        <f>IF('2021 Lønnsgr arbavg tjeneste'!M17=0,0,'2021 Arbavg tjeneste'!M17/'2021 Lønnsgr arbavg tjeneste'!M17)</f>
        <v>0.12288031241204615</v>
      </c>
      <c r="T17" s="46">
        <f>IF('2021 Lønnsgr arbavg tjeneste'!N17=0,0,'2021 Arbavg tjeneste'!N17/'2021 Lønnsgr arbavg tjeneste'!N17)</f>
        <v>0.11600756947995088</v>
      </c>
      <c r="U17" s="46">
        <f>IF('2021 Lønnsgr arbavg tjeneste'!O17=0,0,'2021 Arbavg tjeneste'!O17/'2021 Lønnsgr arbavg tjeneste'!O17)</f>
        <v>0.10617876424715057</v>
      </c>
      <c r="V17" s="46">
        <f>IF('2021 Lønnsgr arbavg tjeneste'!P17=0,0,'2021 Arbavg tjeneste'!P17/'2021 Lønnsgr arbavg tjeneste'!P17)</f>
        <v>9.103754541784416E-2</v>
      </c>
      <c r="W17" s="46">
        <f>IF('2021 Lønnsgr arbavg tjeneste'!Q17=0,0,'2021 Arbavg tjeneste'!Q17/'2021 Lønnsgr arbavg tjeneste'!Q17)</f>
        <v>0</v>
      </c>
      <c r="X17" s="46">
        <f>IF('2021 Lønnsgr arbavg tjeneste'!R17=0,0,'2021 Arbavg tjeneste'!R17/'2021 Lønnsgr arbavg tjeneste'!R17)</f>
        <v>9.2570484733039943E-2</v>
      </c>
      <c r="Z17" s="46">
        <f>IF('2021 Lønnsgr pensjon tjeneste'!D17=0,0,'2021 Pensjon tjeneste'!D17/'2021 Lønnsgr pensjon tjeneste'!D17)</f>
        <v>0.11467701463930151</v>
      </c>
      <c r="AA17" s="46">
        <f>IF('2021 Lønnsgr pensjon tjeneste'!E17=0,0,'2021 Pensjon tjeneste'!E17/'2021 Lønnsgr pensjon tjeneste'!E17)</f>
        <v>0.30754774002228813</v>
      </c>
      <c r="AB17" s="46">
        <f>IF('2021 Lønnsgr pensjon tjeneste'!F17=0,0,'2021 Pensjon tjeneste'!F17/'2021 Lønnsgr pensjon tjeneste'!F17)</f>
        <v>0.2075880430836258</v>
      </c>
      <c r="AC17" s="46">
        <f>IF('2021 Lønnsgr pensjon tjeneste'!G17=0,0,'2021 Pensjon tjeneste'!G17/'2021 Lønnsgr pensjon tjeneste'!G17)</f>
        <v>0.16783412720650043</v>
      </c>
      <c r="AD17" s="46">
        <f>IF('2021 Lønnsgr pensjon tjeneste'!H17=0,0,'2021 Pensjon tjeneste'!H17/'2021 Lønnsgr pensjon tjeneste'!H17)</f>
        <v>0.21012947409225999</v>
      </c>
      <c r="AE17" s="46">
        <f>IF('2021 Lønnsgr pensjon tjeneste'!I17=0,0,'2021 Pensjon tjeneste'!I17/'2021 Lønnsgr pensjon tjeneste'!I17)</f>
        <v>0.29087483037600703</v>
      </c>
      <c r="AF17" s="46">
        <f>IF('2021 Lønnsgr pensjon tjeneste'!J17=0,0,'2021 Pensjon tjeneste'!J17/'2021 Lønnsgr pensjon tjeneste'!J17)</f>
        <v>0</v>
      </c>
      <c r="AG17" s="46">
        <f>IF('2021 Lønnsgr pensjon tjeneste'!K17=0,0,'2021 Pensjon tjeneste'!K17/'2021 Lønnsgr pensjon tjeneste'!K17)</f>
        <v>0.34663665836079627</v>
      </c>
      <c r="AH17" s="46">
        <f>IF('2021 Lønnsgr pensjon tjeneste'!L17=0,0,'2021 Pensjon tjeneste'!L17/'2021 Lønnsgr pensjon tjeneste'!L17)</f>
        <v>0.19886497533310926</v>
      </c>
      <c r="AI17" s="46">
        <f>IF('2021 Lønnsgr pensjon tjeneste'!M17=0,0,'2021 Pensjon tjeneste'!M17/'2021 Lønnsgr pensjon tjeneste'!M17)</f>
        <v>0.18196939454424485</v>
      </c>
      <c r="AJ17" s="46">
        <f>IF('2021 Lønnsgr pensjon tjeneste'!N17=0,0,'2021 Pensjon tjeneste'!N17/'2021 Lønnsgr pensjon tjeneste'!N17)</f>
        <v>0.18002739298531528</v>
      </c>
      <c r="AK17" s="46">
        <f>IF('2021 Lønnsgr pensjon tjeneste'!O17=0,0,'2021 Pensjon tjeneste'!O17/'2021 Lønnsgr pensjon tjeneste'!O17)</f>
        <v>0.16573426573426572</v>
      </c>
      <c r="AL17" s="46">
        <f>IF('2021 Lønnsgr pensjon tjeneste'!P17=0,0,'2021 Pensjon tjeneste'!P17/'2021 Lønnsgr pensjon tjeneste'!P17)</f>
        <v>0.21657401826178196</v>
      </c>
      <c r="AM17" s="46">
        <f>IF('2021 Lønnsgr pensjon tjeneste'!Q17=0,0,'2021 Pensjon tjeneste'!Q17/'2021 Lønnsgr pensjon tjeneste'!Q17)</f>
        <v>0</v>
      </c>
    </row>
    <row r="18" spans="2:39" x14ac:dyDescent="0.3"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2:39" x14ac:dyDescent="0.3"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2:39" x14ac:dyDescent="0.3"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2:39" x14ac:dyDescent="0.3"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</sheetData>
  <sheetProtection algorithmName="SHA-512" hashValue="Y90Ab8xZQlwXV1HOgHeHQGRpeW/u38VesgtNc7TXYW2wqi6amZ83M0i/Lug5yPvw6VbjpdrtbqErUWpBAzHhRw==" saltValue="vTQopt1Dfe+2O/Ol7Ja8/Q==" spinCount="100000" sheet="1" objects="1" scenarios="1" selectLockedCells="1" selectUnlockedCells="1"/>
  <mergeCells count="3">
    <mergeCell ref="D1:H1"/>
    <mergeCell ref="J1:X1"/>
    <mergeCell ref="Z1:AM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Y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18" width="13.109375" customWidth="1"/>
    <col min="19" max="19" width="7.109375" customWidth="1"/>
    <col min="20" max="21" width="13.109375" customWidth="1"/>
    <col min="24" max="24" width="14" customWidth="1"/>
    <col min="25" max="25" width="14.109375" customWidth="1"/>
  </cols>
  <sheetData>
    <row r="1" spans="1:25" x14ac:dyDescent="0.3">
      <c r="D1" s="5"/>
      <c r="E1" s="5"/>
      <c r="F1" s="5"/>
      <c r="G1" s="5"/>
      <c r="H1" s="5"/>
      <c r="J1" s="5"/>
      <c r="K1" s="5"/>
      <c r="L1" s="5"/>
      <c r="M1" s="5"/>
    </row>
    <row r="2" spans="1:25" ht="104.25" customHeight="1" x14ac:dyDescent="0.3">
      <c r="A2" s="24" t="s">
        <v>2</v>
      </c>
      <c r="B2" s="24" t="s">
        <v>1</v>
      </c>
      <c r="C2" s="24" t="s">
        <v>108</v>
      </c>
      <c r="D2" s="24" t="s">
        <v>250</v>
      </c>
      <c r="E2" s="24" t="s">
        <v>251</v>
      </c>
      <c r="F2" s="24" t="s">
        <v>307</v>
      </c>
      <c r="G2" s="24" t="s">
        <v>308</v>
      </c>
      <c r="H2" s="24" t="s">
        <v>252</v>
      </c>
      <c r="I2" s="13" t="s">
        <v>253</v>
      </c>
      <c r="J2" s="24" t="s">
        <v>254</v>
      </c>
      <c r="K2" s="24" t="s">
        <v>255</v>
      </c>
      <c r="L2" s="24" t="s">
        <v>256</v>
      </c>
      <c r="M2" s="24" t="s">
        <v>257</v>
      </c>
      <c r="N2" s="24" t="s">
        <v>258</v>
      </c>
      <c r="O2" s="24" t="s">
        <v>259</v>
      </c>
      <c r="P2" s="24" t="s">
        <v>260</v>
      </c>
      <c r="Q2" s="24" t="s">
        <v>261</v>
      </c>
      <c r="R2" s="24" t="s">
        <v>107</v>
      </c>
      <c r="S2" s="24"/>
      <c r="T2" s="24" t="s">
        <v>399</v>
      </c>
      <c r="U2" s="24" t="s">
        <v>391</v>
      </c>
      <c r="V2" s="24"/>
      <c r="W2" s="24"/>
      <c r="X2" s="24"/>
      <c r="Y2" s="24"/>
    </row>
    <row r="3" spans="1:25" x14ac:dyDescent="0.3">
      <c r="A3" s="107">
        <v>1</v>
      </c>
      <c r="B3" s="107">
        <f>+A3+1</f>
        <v>2</v>
      </c>
      <c r="C3" s="107">
        <f t="shared" ref="C3:Y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>H3+1</f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</row>
    <row r="4" spans="1:25" x14ac:dyDescent="0.3">
      <c r="C4" s="5"/>
      <c r="I4" s="21"/>
    </row>
    <row r="5" spans="1:25" x14ac:dyDescent="0.3">
      <c r="A5" s="43">
        <v>300</v>
      </c>
      <c r="B5" s="44" t="s">
        <v>0</v>
      </c>
      <c r="C5" s="1">
        <f t="shared" ref="C5:C15" si="1">SUM(D5:I5)+R5</f>
        <v>7404543.9339376697</v>
      </c>
      <c r="D5" s="1">
        <v>3936911</v>
      </c>
      <c r="E5" s="1">
        <v>0</v>
      </c>
      <c r="F5" s="1">
        <v>3230607</v>
      </c>
      <c r="G5" s="1">
        <v>26853</v>
      </c>
      <c r="H5" s="1">
        <v>247620</v>
      </c>
      <c r="I5" s="11">
        <f t="shared" ref="I5:I15" si="2">SUM(J5:Q5)</f>
        <v>287967</v>
      </c>
      <c r="J5" s="1"/>
      <c r="K5" s="1">
        <v>115692</v>
      </c>
      <c r="L5" s="1">
        <v>0</v>
      </c>
      <c r="M5" s="1">
        <v>61504</v>
      </c>
      <c r="N5" s="1">
        <v>110771</v>
      </c>
      <c r="O5" s="1">
        <v>0</v>
      </c>
      <c r="P5" s="1">
        <v>0</v>
      </c>
      <c r="Q5" s="1"/>
      <c r="R5" s="112">
        <v>-325414.06606233004</v>
      </c>
      <c r="S5" s="1"/>
      <c r="T5" s="1">
        <f>+'2021 Nto driftsutg'!V5</f>
        <v>696108</v>
      </c>
      <c r="U5" s="1">
        <f>+'2021 Nto driftsutg'!W5</f>
        <v>696108</v>
      </c>
      <c r="W5" s="5"/>
      <c r="X5" s="1"/>
      <c r="Y5" s="1"/>
    </row>
    <row r="6" spans="1:25" x14ac:dyDescent="0.3">
      <c r="A6" s="43">
        <v>1100</v>
      </c>
      <c r="B6" s="44" t="s">
        <v>141</v>
      </c>
      <c r="C6" s="1">
        <f t="shared" si="1"/>
        <v>8091420</v>
      </c>
      <c r="D6" s="1">
        <v>3841598</v>
      </c>
      <c r="E6" s="1">
        <v>1012530</v>
      </c>
      <c r="F6" s="1">
        <v>1223427</v>
      </c>
      <c r="G6" s="1">
        <v>478365</v>
      </c>
      <c r="H6" s="1">
        <v>396420</v>
      </c>
      <c r="I6" s="11">
        <f t="shared" si="2"/>
        <v>1201680</v>
      </c>
      <c r="J6" s="1"/>
      <c r="K6" s="1">
        <v>312385</v>
      </c>
      <c r="L6" s="1">
        <v>121714</v>
      </c>
      <c r="M6" s="1">
        <v>229875</v>
      </c>
      <c r="N6" s="1">
        <v>343353</v>
      </c>
      <c r="O6" s="1">
        <v>0</v>
      </c>
      <c r="P6" s="1">
        <v>194353</v>
      </c>
      <c r="Q6" s="1"/>
      <c r="R6" s="1">
        <v>-62600</v>
      </c>
      <c r="S6" s="1"/>
      <c r="T6" s="1">
        <f>+'2021 Nto driftsutg'!V6</f>
        <v>484091</v>
      </c>
      <c r="U6" s="1">
        <f>+'2021 Nto driftsutg'!W6</f>
        <v>484091</v>
      </c>
      <c r="X6" s="1"/>
      <c r="Y6" s="1"/>
    </row>
    <row r="7" spans="1:25" x14ac:dyDescent="0.3">
      <c r="A7" s="43">
        <v>1500</v>
      </c>
      <c r="B7" s="44" t="s">
        <v>142</v>
      </c>
      <c r="C7" s="1">
        <f t="shared" si="1"/>
        <v>6134691</v>
      </c>
      <c r="D7" s="1">
        <v>2128189</v>
      </c>
      <c r="E7" s="1">
        <v>1051596</v>
      </c>
      <c r="F7" s="1">
        <v>839900</v>
      </c>
      <c r="G7" s="1">
        <v>1209969</v>
      </c>
      <c r="H7" s="1">
        <v>190619</v>
      </c>
      <c r="I7" s="11">
        <f t="shared" si="2"/>
        <v>779442</v>
      </c>
      <c r="J7" s="1"/>
      <c r="K7" s="1">
        <v>247923</v>
      </c>
      <c r="L7" s="1">
        <v>170974</v>
      </c>
      <c r="M7" s="1">
        <v>131371</v>
      </c>
      <c r="N7" s="1">
        <v>225198</v>
      </c>
      <c r="O7" s="1">
        <v>1672</v>
      </c>
      <c r="P7" s="1">
        <v>2304</v>
      </c>
      <c r="Q7" s="1"/>
      <c r="R7" s="1">
        <v>-65024</v>
      </c>
      <c r="S7" s="1"/>
      <c r="T7" s="1">
        <f>+'2021 Nto driftsutg'!V7</f>
        <v>265297</v>
      </c>
      <c r="U7" s="1">
        <f>+'2021 Nto driftsutg'!W7</f>
        <v>265297</v>
      </c>
      <c r="X7" s="1"/>
      <c r="Y7" s="1"/>
    </row>
    <row r="8" spans="1:25" x14ac:dyDescent="0.3">
      <c r="A8" s="43">
        <v>1800</v>
      </c>
      <c r="B8" s="44" t="s">
        <v>143</v>
      </c>
      <c r="C8" s="1">
        <f t="shared" si="1"/>
        <v>6652757</v>
      </c>
      <c r="D8" s="1">
        <v>2398504</v>
      </c>
      <c r="E8" s="1">
        <v>1022767</v>
      </c>
      <c r="F8" s="1">
        <v>596868</v>
      </c>
      <c r="G8" s="1">
        <v>1243752</v>
      </c>
      <c r="H8" s="1">
        <v>310984</v>
      </c>
      <c r="I8" s="11">
        <f t="shared" si="2"/>
        <v>1136486</v>
      </c>
      <c r="J8" s="1"/>
      <c r="K8" s="1">
        <v>304543</v>
      </c>
      <c r="L8" s="1">
        <v>188119</v>
      </c>
      <c r="M8" s="1">
        <v>325031</v>
      </c>
      <c r="N8" s="1">
        <v>303216</v>
      </c>
      <c r="O8" s="1">
        <v>15186</v>
      </c>
      <c r="P8" s="1">
        <v>391</v>
      </c>
      <c r="Q8" s="1"/>
      <c r="R8" s="1">
        <v>-56604</v>
      </c>
      <c r="S8" s="1"/>
      <c r="T8" s="1">
        <f>+'2021 Nto driftsutg'!V8</f>
        <v>240496</v>
      </c>
      <c r="U8" s="1">
        <f>+'2021 Nto driftsutg'!W8</f>
        <v>240496</v>
      </c>
      <c r="X8" s="1"/>
      <c r="Y8" s="1"/>
    </row>
    <row r="9" spans="1:25" x14ac:dyDescent="0.3">
      <c r="A9" s="43">
        <v>3000</v>
      </c>
      <c r="B9" s="44" t="s">
        <v>392</v>
      </c>
      <c r="C9" s="1">
        <f t="shared" si="1"/>
        <v>18651887</v>
      </c>
      <c r="D9" s="1">
        <v>9240455</v>
      </c>
      <c r="E9" s="1">
        <v>2094690</v>
      </c>
      <c r="F9" s="1">
        <v>4294877</v>
      </c>
      <c r="G9" s="1">
        <v>48946</v>
      </c>
      <c r="H9" s="1">
        <v>622319</v>
      </c>
      <c r="I9" s="11">
        <f t="shared" si="2"/>
        <v>2508430</v>
      </c>
      <c r="J9" s="1"/>
      <c r="K9" s="1">
        <v>1124707</v>
      </c>
      <c r="L9" s="1">
        <v>396387</v>
      </c>
      <c r="M9" s="1">
        <v>261928</v>
      </c>
      <c r="N9" s="1">
        <v>722459</v>
      </c>
      <c r="O9" s="1">
        <v>0</v>
      </c>
      <c r="P9" s="1">
        <v>2949</v>
      </c>
      <c r="Q9" s="1"/>
      <c r="R9" s="1">
        <v>-157830</v>
      </c>
      <c r="S9" s="1"/>
      <c r="T9" s="1">
        <f>+'2021 Nto driftsutg'!V9</f>
        <v>1260731</v>
      </c>
      <c r="U9" s="1">
        <f>+'2021 Nto driftsutg'!W9</f>
        <v>1260731</v>
      </c>
      <c r="X9" s="1"/>
      <c r="Y9" s="1"/>
    </row>
    <row r="10" spans="1:25" x14ac:dyDescent="0.3">
      <c r="A10" s="43">
        <v>3400</v>
      </c>
      <c r="B10" s="44" t="s">
        <v>393</v>
      </c>
      <c r="C10" s="1">
        <f t="shared" si="1"/>
        <v>6768707</v>
      </c>
      <c r="D10" s="1">
        <v>3137550</v>
      </c>
      <c r="E10" s="1">
        <v>1108643</v>
      </c>
      <c r="F10" s="1">
        <v>1095766</v>
      </c>
      <c r="G10" s="1">
        <v>12155</v>
      </c>
      <c r="H10" s="1">
        <v>275692</v>
      </c>
      <c r="I10" s="11">
        <f t="shared" si="2"/>
        <v>1178885</v>
      </c>
      <c r="J10" s="1"/>
      <c r="K10" s="1">
        <v>410459</v>
      </c>
      <c r="L10" s="1">
        <v>246740</v>
      </c>
      <c r="M10" s="1">
        <v>202393</v>
      </c>
      <c r="N10" s="1">
        <v>319293</v>
      </c>
      <c r="O10" s="1">
        <v>0</v>
      </c>
      <c r="P10" s="1">
        <v>0</v>
      </c>
      <c r="Q10" s="1"/>
      <c r="R10" s="1">
        <v>-39984</v>
      </c>
      <c r="S10" s="1"/>
      <c r="T10" s="1">
        <f>+'2021 Nto driftsutg'!V10</f>
        <v>370701</v>
      </c>
      <c r="U10" s="1">
        <f>+'2021 Nto driftsutg'!W10</f>
        <v>370701</v>
      </c>
      <c r="X10" s="1"/>
      <c r="Y10" s="1"/>
    </row>
    <row r="11" spans="1:25" x14ac:dyDescent="0.3">
      <c r="A11" s="43">
        <v>3800</v>
      </c>
      <c r="B11" s="44" t="s">
        <v>394</v>
      </c>
      <c r="C11" s="1">
        <f t="shared" si="1"/>
        <v>6622687</v>
      </c>
      <c r="D11" s="1">
        <v>3275899</v>
      </c>
      <c r="E11" s="1">
        <v>928650</v>
      </c>
      <c r="F11" s="1">
        <v>905731</v>
      </c>
      <c r="G11" s="1">
        <v>28001</v>
      </c>
      <c r="H11" s="1">
        <v>273020</v>
      </c>
      <c r="I11" s="11">
        <f t="shared" si="2"/>
        <v>1268769</v>
      </c>
      <c r="J11" s="1"/>
      <c r="K11" s="1">
        <v>400478</v>
      </c>
      <c r="L11" s="1">
        <v>271422</v>
      </c>
      <c r="M11" s="1">
        <v>271215</v>
      </c>
      <c r="N11" s="1">
        <v>319829</v>
      </c>
      <c r="O11" s="1">
        <v>3889</v>
      </c>
      <c r="P11" s="1">
        <v>1936</v>
      </c>
      <c r="Q11" s="1"/>
      <c r="R11" s="1">
        <v>-57383</v>
      </c>
      <c r="S11" s="1"/>
      <c r="T11" s="1">
        <f>+'2021 Nto driftsutg'!V11</f>
        <v>423144</v>
      </c>
      <c r="U11" s="1">
        <f>+'2021 Nto driftsutg'!W11</f>
        <v>423144</v>
      </c>
      <c r="X11" s="1"/>
      <c r="Y11" s="1"/>
    </row>
    <row r="12" spans="1:25" x14ac:dyDescent="0.3">
      <c r="A12" s="43">
        <v>4200</v>
      </c>
      <c r="B12" s="44" t="s">
        <v>395</v>
      </c>
      <c r="C12" s="1">
        <f t="shared" si="1"/>
        <v>5273209</v>
      </c>
      <c r="D12" s="1">
        <v>2738289</v>
      </c>
      <c r="E12" s="1">
        <v>899683</v>
      </c>
      <c r="F12" s="1">
        <v>573132</v>
      </c>
      <c r="G12" s="1">
        <v>45437</v>
      </c>
      <c r="H12" s="1">
        <v>208885</v>
      </c>
      <c r="I12" s="11">
        <f t="shared" si="2"/>
        <v>887356</v>
      </c>
      <c r="J12" s="1"/>
      <c r="K12" s="1">
        <v>301762</v>
      </c>
      <c r="L12" s="1">
        <v>245341</v>
      </c>
      <c r="M12" s="1">
        <v>87896</v>
      </c>
      <c r="N12" s="1">
        <v>252107</v>
      </c>
      <c r="O12" s="1">
        <v>0</v>
      </c>
      <c r="P12" s="1">
        <v>250</v>
      </c>
      <c r="Q12" s="1"/>
      <c r="R12" s="1">
        <v>-79573</v>
      </c>
      <c r="S12" s="1"/>
      <c r="T12" s="1">
        <f>+'2021 Nto driftsutg'!V12</f>
        <v>309508</v>
      </c>
      <c r="U12" s="1">
        <f>+'2021 Nto driftsutg'!W12</f>
        <v>309508</v>
      </c>
      <c r="X12" s="1"/>
      <c r="Y12" s="1"/>
    </row>
    <row r="13" spans="1:25" x14ac:dyDescent="0.3">
      <c r="A13" s="43">
        <v>4600</v>
      </c>
      <c r="B13" s="44" t="s">
        <v>396</v>
      </c>
      <c r="C13" s="1">
        <f t="shared" si="1"/>
        <v>13791219</v>
      </c>
      <c r="D13" s="1">
        <v>4899905</v>
      </c>
      <c r="E13" s="1">
        <v>1933739</v>
      </c>
      <c r="F13" s="1">
        <v>3068871</v>
      </c>
      <c r="G13" s="1">
        <v>1401483</v>
      </c>
      <c r="H13" s="1">
        <v>447163</v>
      </c>
      <c r="I13" s="11">
        <f t="shared" si="2"/>
        <v>1984827</v>
      </c>
      <c r="J13" s="1"/>
      <c r="K13" s="1">
        <v>611570</v>
      </c>
      <c r="L13" s="1">
        <v>322401</v>
      </c>
      <c r="M13" s="1">
        <v>490172</v>
      </c>
      <c r="N13" s="1">
        <v>558992</v>
      </c>
      <c r="O13" s="1">
        <v>0</v>
      </c>
      <c r="P13" s="1">
        <v>1692</v>
      </c>
      <c r="Q13" s="1"/>
      <c r="R13" s="1">
        <v>55231</v>
      </c>
      <c r="S13" s="1"/>
      <c r="T13" s="1">
        <f>+'2021 Nto driftsutg'!V13</f>
        <v>639102</v>
      </c>
      <c r="U13" s="1">
        <f>+'2021 Nto driftsutg'!W13</f>
        <v>639102</v>
      </c>
      <c r="X13" s="1"/>
      <c r="Y13" s="1"/>
    </row>
    <row r="14" spans="1:25" x14ac:dyDescent="0.3">
      <c r="A14" s="43">
        <v>5000</v>
      </c>
      <c r="B14" s="44" t="s">
        <v>390</v>
      </c>
      <c r="C14" s="1">
        <f t="shared" si="1"/>
        <v>8970739</v>
      </c>
      <c r="D14" s="1">
        <v>3920326</v>
      </c>
      <c r="E14" s="1">
        <v>1485445</v>
      </c>
      <c r="F14" s="1">
        <v>1357034</v>
      </c>
      <c r="G14" s="1">
        <v>420602</v>
      </c>
      <c r="H14" s="1">
        <v>428834</v>
      </c>
      <c r="I14" s="11">
        <f t="shared" si="2"/>
        <v>1432400</v>
      </c>
      <c r="J14" s="1"/>
      <c r="K14" s="1">
        <v>443356</v>
      </c>
      <c r="L14" s="1">
        <v>242507</v>
      </c>
      <c r="M14" s="1">
        <v>262056</v>
      </c>
      <c r="N14" s="1">
        <v>484481</v>
      </c>
      <c r="O14" s="1">
        <v>0</v>
      </c>
      <c r="P14" s="1">
        <v>0</v>
      </c>
      <c r="Q14" s="1"/>
      <c r="R14" s="1">
        <v>-73902</v>
      </c>
      <c r="S14" s="1"/>
      <c r="T14" s="1">
        <f>+'2021 Nto driftsutg'!V14</f>
        <v>470984</v>
      </c>
      <c r="U14" s="1">
        <f>+'2021 Nto driftsutg'!W14</f>
        <v>470984</v>
      </c>
      <c r="X14" s="1"/>
      <c r="Y14" s="1"/>
    </row>
    <row r="15" spans="1:25" x14ac:dyDescent="0.3">
      <c r="A15" s="43">
        <v>5400</v>
      </c>
      <c r="B15" s="44" t="s">
        <v>397</v>
      </c>
      <c r="C15" s="1">
        <f t="shared" si="1"/>
        <v>6963951</v>
      </c>
      <c r="D15" s="1">
        <v>2307196</v>
      </c>
      <c r="E15" s="1">
        <v>1165117</v>
      </c>
      <c r="F15" s="1">
        <v>1170451</v>
      </c>
      <c r="G15" s="1">
        <v>736680</v>
      </c>
      <c r="H15" s="1">
        <v>388190</v>
      </c>
      <c r="I15" s="11">
        <f t="shared" si="2"/>
        <v>1267814</v>
      </c>
      <c r="J15" s="1"/>
      <c r="K15" s="1">
        <v>400337</v>
      </c>
      <c r="L15" s="1">
        <v>222409</v>
      </c>
      <c r="M15" s="1">
        <v>236123</v>
      </c>
      <c r="N15" s="1">
        <v>340544</v>
      </c>
      <c r="O15" s="1">
        <v>0</v>
      </c>
      <c r="P15" s="1">
        <v>68401</v>
      </c>
      <c r="Q15" s="1"/>
      <c r="R15" s="1">
        <v>-71497</v>
      </c>
      <c r="S15" s="1"/>
      <c r="T15" s="1">
        <f>+'2021 Nto driftsutg'!V15</f>
        <v>241663</v>
      </c>
      <c r="U15" s="1">
        <f>+'2021 Nto driftsutg'!W15</f>
        <v>241663</v>
      </c>
      <c r="X15" s="1"/>
      <c r="Y15" s="1"/>
    </row>
    <row r="16" spans="1:25" x14ac:dyDescent="0.3"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X16" s="4"/>
      <c r="Y16" s="4"/>
    </row>
    <row r="17" spans="2:25" x14ac:dyDescent="0.3">
      <c r="B17" s="1" t="s">
        <v>3</v>
      </c>
      <c r="C17" s="1">
        <f t="shared" ref="C17:R17" si="3">SUM(C5:C15)</f>
        <v>95325810.933937669</v>
      </c>
      <c r="D17" s="1">
        <f t="shared" si="3"/>
        <v>41824822</v>
      </c>
      <c r="E17" s="1">
        <f t="shared" si="3"/>
        <v>12702860</v>
      </c>
      <c r="F17" s="1">
        <f t="shared" si="3"/>
        <v>18356664</v>
      </c>
      <c r="G17" s="1">
        <f t="shared" si="3"/>
        <v>5652243</v>
      </c>
      <c r="H17" s="1">
        <f t="shared" si="3"/>
        <v>3789746</v>
      </c>
      <c r="I17" s="11">
        <f t="shared" si="3"/>
        <v>13934056</v>
      </c>
      <c r="J17" s="1">
        <f t="shared" si="3"/>
        <v>0</v>
      </c>
      <c r="K17" s="1">
        <f t="shared" si="3"/>
        <v>4673212</v>
      </c>
      <c r="L17" s="1">
        <f t="shared" si="3"/>
        <v>2428014</v>
      </c>
      <c r="M17" s="1">
        <f t="shared" si="3"/>
        <v>2559564</v>
      </c>
      <c r="N17" s="1">
        <f t="shared" si="3"/>
        <v>3980243</v>
      </c>
      <c r="O17" s="1">
        <f t="shared" si="3"/>
        <v>20747</v>
      </c>
      <c r="P17" s="1">
        <f t="shared" si="3"/>
        <v>272276</v>
      </c>
      <c r="Q17" s="1">
        <f t="shared" si="3"/>
        <v>0</v>
      </c>
      <c r="R17" s="1">
        <f t="shared" si="3"/>
        <v>-934580.06606233004</v>
      </c>
      <c r="S17" s="1"/>
      <c r="T17" s="1">
        <f>SUM(T5:T15)</f>
        <v>5401825</v>
      </c>
      <c r="U17" s="1">
        <f>SUM(U5:U15)</f>
        <v>5401825</v>
      </c>
      <c r="X17" s="1">
        <f>SUM(X5:X15)</f>
        <v>0</v>
      </c>
      <c r="Y17" s="1">
        <f>SUM(Y5:Y15)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C000"/>
  </sheetPr>
  <dimension ref="A1:U18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18" width="13.109375" customWidth="1"/>
    <col min="19" max="19" width="6.44140625" customWidth="1"/>
    <col min="20" max="20" width="13.5546875" customWidth="1"/>
    <col min="21" max="21" width="13.88671875" customWidth="1"/>
  </cols>
  <sheetData>
    <row r="1" spans="1:21" x14ac:dyDescent="0.3">
      <c r="I1" s="5"/>
    </row>
    <row r="2" spans="1:21" ht="104.25" customHeight="1" x14ac:dyDescent="0.3">
      <c r="A2" s="24" t="s">
        <v>2</v>
      </c>
      <c r="B2" s="24" t="s">
        <v>1</v>
      </c>
      <c r="C2" s="24" t="s">
        <v>277</v>
      </c>
      <c r="D2" s="24" t="s">
        <v>262</v>
      </c>
      <c r="E2" s="24" t="s">
        <v>263</v>
      </c>
      <c r="F2" s="24" t="s">
        <v>309</v>
      </c>
      <c r="G2" s="24" t="s">
        <v>310</v>
      </c>
      <c r="H2" s="24" t="s">
        <v>264</v>
      </c>
      <c r="I2" s="13" t="s">
        <v>109</v>
      </c>
      <c r="J2" s="24" t="s">
        <v>110</v>
      </c>
      <c r="K2" s="24" t="s">
        <v>265</v>
      </c>
      <c r="L2" s="24" t="s">
        <v>266</v>
      </c>
      <c r="M2" s="24" t="s">
        <v>111</v>
      </c>
      <c r="N2" s="24" t="s">
        <v>267</v>
      </c>
      <c r="O2" s="24" t="s">
        <v>112</v>
      </c>
      <c r="P2" s="24" t="s">
        <v>113</v>
      </c>
      <c r="Q2" s="24" t="s">
        <v>268</v>
      </c>
      <c r="R2" s="24" t="s">
        <v>114</v>
      </c>
      <c r="S2" s="24"/>
      <c r="T2" s="24"/>
      <c r="U2" s="24"/>
    </row>
    <row r="3" spans="1:21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3">
      <c r="I4" s="21"/>
    </row>
    <row r="5" spans="1:21" x14ac:dyDescent="0.3">
      <c r="A5" s="43">
        <v>300</v>
      </c>
      <c r="B5" s="44" t="s">
        <v>0</v>
      </c>
      <c r="C5" s="1">
        <f t="shared" ref="C5:C15" si="1">SUM(D5:I5)+R5</f>
        <v>7167037.9339376697</v>
      </c>
      <c r="D5" s="1">
        <f>+'2021 Bto driftsutg'!D5-'2021 Avskrivning'!D5</f>
        <v>3708037</v>
      </c>
      <c r="E5" s="1">
        <f>+'2021 Bto driftsutg'!E5-'2021 Avskrivning'!E5</f>
        <v>0</v>
      </c>
      <c r="F5" s="1">
        <f>+'2021 Bto driftsutg'!F5-'2021 Avskrivning'!F5</f>
        <v>3228884</v>
      </c>
      <c r="G5" s="1">
        <f>+'2021 Bto driftsutg'!G5-'2021 Avskrivning'!G5</f>
        <v>26853</v>
      </c>
      <c r="H5" s="1">
        <f>+'2021 Bto driftsutg'!H5-'2021 Avskrivning'!H5</f>
        <v>242594</v>
      </c>
      <c r="I5" s="11">
        <f>+'2021 Bto driftsutg'!I5-'2021 Avskrivning'!I5</f>
        <v>286084</v>
      </c>
      <c r="J5" s="1">
        <f>+'2021 Bto driftsutg'!J5-'2021 Avskrivning'!J5</f>
        <v>0</v>
      </c>
      <c r="K5" s="1">
        <f>+'2021 Bto driftsutg'!K5-'2021 Avskrivning'!K5</f>
        <v>113809</v>
      </c>
      <c r="L5" s="1">
        <f>+'2021 Bto driftsutg'!L5-'2021 Avskrivning'!L5</f>
        <v>0</v>
      </c>
      <c r="M5" s="1">
        <f>+'2021 Bto driftsutg'!M5-'2021 Avskrivning'!M5</f>
        <v>61504</v>
      </c>
      <c r="N5" s="1">
        <f>+'2021 Bto driftsutg'!N5-'2021 Avskrivning'!N5</f>
        <v>110771</v>
      </c>
      <c r="O5" s="1">
        <f>+'2021 Bto driftsutg'!O5-'2021 Avskrivning'!O5</f>
        <v>0</v>
      </c>
      <c r="P5" s="1">
        <f>+'2021 Bto driftsutg'!P5-'2021 Avskrivning'!P5</f>
        <v>0</v>
      </c>
      <c r="Q5" s="1">
        <f>+'2021 Bto driftsutg'!Q5-'2021 Avskrivning'!Q5</f>
        <v>0</v>
      </c>
      <c r="R5" s="1">
        <f>+'2021 Bto driftsutg'!R5-'2021 Avskrivning'!R5</f>
        <v>-325414.06606233004</v>
      </c>
      <c r="S5" s="1"/>
      <c r="T5" s="1"/>
      <c r="U5" s="1"/>
    </row>
    <row r="6" spans="1:21" x14ac:dyDescent="0.3">
      <c r="A6" s="43">
        <v>1100</v>
      </c>
      <c r="B6" s="44" t="s">
        <v>141</v>
      </c>
      <c r="C6" s="1">
        <f t="shared" si="1"/>
        <v>7480456</v>
      </c>
      <c r="D6" s="1">
        <f>+'2021 Bto driftsutg'!D6-'2021 Avskrivning'!D6</f>
        <v>3623496</v>
      </c>
      <c r="E6" s="1">
        <f>+'2021 Bto driftsutg'!E6-'2021 Avskrivning'!E6</f>
        <v>667741</v>
      </c>
      <c r="F6" s="1">
        <f>+'2021 Bto driftsutg'!F6-'2021 Avskrivning'!F6</f>
        <v>1223427</v>
      </c>
      <c r="G6" s="1">
        <f>+'2021 Bto driftsutg'!G6-'2021 Avskrivning'!G6</f>
        <v>478365</v>
      </c>
      <c r="H6" s="1">
        <f>+'2021 Bto driftsutg'!H6-'2021 Avskrivning'!H6</f>
        <v>378747</v>
      </c>
      <c r="I6" s="11">
        <f>+'2021 Bto driftsutg'!I6-'2021 Avskrivning'!I6</f>
        <v>1171280</v>
      </c>
      <c r="J6" s="1">
        <f>+'2021 Bto driftsutg'!J6-'2021 Avskrivning'!J6</f>
        <v>0</v>
      </c>
      <c r="K6" s="1">
        <f>+'2021 Bto driftsutg'!K6-'2021 Avskrivning'!K6</f>
        <v>282021</v>
      </c>
      <c r="L6" s="1">
        <f>+'2021 Bto driftsutg'!L6-'2021 Avskrivning'!L6</f>
        <v>121678</v>
      </c>
      <c r="M6" s="1">
        <f>+'2021 Bto driftsutg'!M6-'2021 Avskrivning'!M6</f>
        <v>229875</v>
      </c>
      <c r="N6" s="1">
        <f>+'2021 Bto driftsutg'!N6-'2021 Avskrivning'!N6</f>
        <v>343353</v>
      </c>
      <c r="O6" s="1">
        <f>+'2021 Bto driftsutg'!O6-'2021 Avskrivning'!O6</f>
        <v>0</v>
      </c>
      <c r="P6" s="1">
        <f>+'2021 Bto driftsutg'!P6-'2021 Avskrivning'!P6</f>
        <v>194353</v>
      </c>
      <c r="Q6" s="1">
        <f>+'2021 Bto driftsutg'!Q6-'2021 Avskrivning'!Q6</f>
        <v>0</v>
      </c>
      <c r="R6" s="1">
        <f>+'2021 Bto driftsutg'!R6-'2021 Avskrivning'!R6</f>
        <v>-62600</v>
      </c>
      <c r="T6" s="1"/>
      <c r="U6" s="1"/>
    </row>
    <row r="7" spans="1:21" x14ac:dyDescent="0.3">
      <c r="A7" s="43">
        <v>1500</v>
      </c>
      <c r="B7" s="44" t="s">
        <v>142</v>
      </c>
      <c r="C7" s="1">
        <f t="shared" si="1"/>
        <v>5715523</v>
      </c>
      <c r="D7" s="1">
        <f>+'2021 Bto driftsutg'!D7-'2021 Avskrivning'!D7</f>
        <v>2009852</v>
      </c>
      <c r="E7" s="1">
        <f>+'2021 Bto driftsutg'!E7-'2021 Avskrivning'!E7</f>
        <v>769417</v>
      </c>
      <c r="F7" s="1">
        <f>+'2021 Bto driftsutg'!F7-'2021 Avskrivning'!F7</f>
        <v>833690</v>
      </c>
      <c r="G7" s="1">
        <f>+'2021 Bto driftsutg'!G7-'2021 Avskrivning'!G7</f>
        <v>1209197</v>
      </c>
      <c r="H7" s="1">
        <f>+'2021 Bto driftsutg'!H7-'2021 Avskrivning'!H7</f>
        <v>183020</v>
      </c>
      <c r="I7" s="11">
        <f>+'2021 Bto driftsutg'!I7-'2021 Avskrivning'!I7</f>
        <v>775371</v>
      </c>
      <c r="J7" s="1">
        <f>+'2021 Bto driftsutg'!J7-'2021 Avskrivning'!J7</f>
        <v>0</v>
      </c>
      <c r="K7" s="1">
        <f>+'2021 Bto driftsutg'!K7-'2021 Avskrivning'!K7</f>
        <v>244522</v>
      </c>
      <c r="L7" s="1">
        <f>+'2021 Bto driftsutg'!L7-'2021 Avskrivning'!L7</f>
        <v>170974</v>
      </c>
      <c r="M7" s="1">
        <f>+'2021 Bto driftsutg'!M7-'2021 Avskrivning'!M7</f>
        <v>131306</v>
      </c>
      <c r="N7" s="1">
        <f>+'2021 Bto driftsutg'!N7-'2021 Avskrivning'!N7</f>
        <v>224593</v>
      </c>
      <c r="O7" s="1">
        <f>+'2021 Bto driftsutg'!O7-'2021 Avskrivning'!O7</f>
        <v>1672</v>
      </c>
      <c r="P7" s="1">
        <f>+'2021 Bto driftsutg'!P7-'2021 Avskrivning'!P7</f>
        <v>2304</v>
      </c>
      <c r="Q7" s="1">
        <f>+'2021 Bto driftsutg'!Q7-'2021 Avskrivning'!Q7</f>
        <v>0</v>
      </c>
      <c r="R7" s="1">
        <f>+'2021 Bto driftsutg'!R7-'2021 Avskrivning'!R7</f>
        <v>-65024</v>
      </c>
      <c r="T7" s="1"/>
      <c r="U7" s="1"/>
    </row>
    <row r="8" spans="1:21" x14ac:dyDescent="0.3">
      <c r="A8" s="43">
        <v>1800</v>
      </c>
      <c r="B8" s="44" t="s">
        <v>143</v>
      </c>
      <c r="C8" s="1">
        <f t="shared" si="1"/>
        <v>6240033</v>
      </c>
      <c r="D8" s="1">
        <f>+'2021 Bto driftsutg'!D8-'2021 Avskrivning'!D8</f>
        <v>2235518</v>
      </c>
      <c r="E8" s="1">
        <f>+'2021 Bto driftsutg'!E8-'2021 Avskrivning'!E8</f>
        <v>797979</v>
      </c>
      <c r="F8" s="1">
        <f>+'2021 Bto driftsutg'!F8-'2021 Avskrivning'!F8</f>
        <v>595557</v>
      </c>
      <c r="G8" s="1">
        <f>+'2021 Bto driftsutg'!G8-'2021 Avskrivning'!G8</f>
        <v>1241843</v>
      </c>
      <c r="H8" s="1">
        <f>+'2021 Bto driftsutg'!H8-'2021 Avskrivning'!H8</f>
        <v>299369</v>
      </c>
      <c r="I8" s="11">
        <f>+'2021 Bto driftsutg'!I8-'2021 Avskrivning'!I8</f>
        <v>1126371</v>
      </c>
      <c r="J8" s="1">
        <f>+'2021 Bto driftsutg'!J8-'2021 Avskrivning'!J8</f>
        <v>0</v>
      </c>
      <c r="K8" s="1">
        <f>+'2021 Bto driftsutg'!K8-'2021 Avskrivning'!K8</f>
        <v>299656</v>
      </c>
      <c r="L8" s="1">
        <f>+'2021 Bto driftsutg'!L8-'2021 Avskrivning'!L8</f>
        <v>187747</v>
      </c>
      <c r="M8" s="1">
        <f>+'2021 Bto driftsutg'!M8-'2021 Avskrivning'!M8</f>
        <v>324183</v>
      </c>
      <c r="N8" s="1">
        <f>+'2021 Bto driftsutg'!N8-'2021 Avskrivning'!N8</f>
        <v>299574</v>
      </c>
      <c r="O8" s="1">
        <f>+'2021 Bto driftsutg'!O8-'2021 Avskrivning'!O8</f>
        <v>15186</v>
      </c>
      <c r="P8" s="1">
        <f>+'2021 Bto driftsutg'!P8-'2021 Avskrivning'!P8</f>
        <v>25</v>
      </c>
      <c r="Q8" s="1">
        <f>+'2021 Bto driftsutg'!Q8-'2021 Avskrivning'!Q8</f>
        <v>0</v>
      </c>
      <c r="R8" s="1">
        <f>+'2021 Bto driftsutg'!R8-'2021 Avskrivning'!R8</f>
        <v>-56604</v>
      </c>
      <c r="T8" s="1"/>
      <c r="U8" s="1"/>
    </row>
    <row r="9" spans="1:21" x14ac:dyDescent="0.3">
      <c r="A9" s="43">
        <v>3000</v>
      </c>
      <c r="B9" s="44" t="s">
        <v>392</v>
      </c>
      <c r="C9" s="1">
        <f t="shared" si="1"/>
        <v>17614190</v>
      </c>
      <c r="D9" s="1">
        <f>+'2021 Bto driftsutg'!D9-'2021 Avskrivning'!D9</f>
        <v>8760899</v>
      </c>
      <c r="E9" s="1">
        <f>+'2021 Bto driftsutg'!E9-'2021 Avskrivning'!E9</f>
        <v>1697613</v>
      </c>
      <c r="F9" s="1">
        <f>+'2021 Bto driftsutg'!F9-'2021 Avskrivning'!F9</f>
        <v>4228464</v>
      </c>
      <c r="G9" s="1">
        <f>+'2021 Bto driftsutg'!G9-'2021 Avskrivning'!G9</f>
        <v>48946</v>
      </c>
      <c r="H9" s="1">
        <f>+'2021 Bto driftsutg'!H9-'2021 Avskrivning'!H9</f>
        <v>590054</v>
      </c>
      <c r="I9" s="11">
        <f>+'2021 Bto driftsutg'!I9-'2021 Avskrivning'!I9</f>
        <v>2446044</v>
      </c>
      <c r="J9" s="1">
        <f>+'2021 Bto driftsutg'!J9-'2021 Avskrivning'!J9</f>
        <v>0</v>
      </c>
      <c r="K9" s="1">
        <f>+'2021 Bto driftsutg'!K9-'2021 Avskrivning'!K9</f>
        <v>1064617</v>
      </c>
      <c r="L9" s="1">
        <f>+'2021 Bto driftsutg'!L9-'2021 Avskrivning'!L9</f>
        <v>396119</v>
      </c>
      <c r="M9" s="1">
        <f>+'2021 Bto driftsutg'!M9-'2021 Avskrivning'!M9</f>
        <v>261928</v>
      </c>
      <c r="N9" s="1">
        <f>+'2021 Bto driftsutg'!N9-'2021 Avskrivning'!N9</f>
        <v>720431</v>
      </c>
      <c r="O9" s="1">
        <f>+'2021 Bto driftsutg'!O9-'2021 Avskrivning'!O9</f>
        <v>0</v>
      </c>
      <c r="P9" s="1">
        <f>+'2021 Bto driftsutg'!P9-'2021 Avskrivning'!P9</f>
        <v>2949</v>
      </c>
      <c r="Q9" s="1">
        <f>+'2021 Bto driftsutg'!Q9-'2021 Avskrivning'!Q9</f>
        <v>0</v>
      </c>
      <c r="R9" s="1">
        <f>+'2021 Bto driftsutg'!R9-'2021 Avskrivning'!R9</f>
        <v>-157830</v>
      </c>
      <c r="T9" s="1"/>
      <c r="U9" s="1"/>
    </row>
    <row r="10" spans="1:21" x14ac:dyDescent="0.3">
      <c r="A10" s="43">
        <v>3400</v>
      </c>
      <c r="B10" s="44" t="s">
        <v>393</v>
      </c>
      <c r="C10" s="1">
        <f t="shared" si="1"/>
        <v>6374913</v>
      </c>
      <c r="D10" s="1">
        <f>+'2021 Bto driftsutg'!D10-'2021 Avskrivning'!D10</f>
        <v>2939130</v>
      </c>
      <c r="E10" s="1">
        <f>+'2021 Bto driftsutg'!E10-'2021 Avskrivning'!E10</f>
        <v>935347</v>
      </c>
      <c r="F10" s="1">
        <f>+'2021 Bto driftsutg'!F10-'2021 Avskrivning'!F10</f>
        <v>1090942</v>
      </c>
      <c r="G10" s="1">
        <f>+'2021 Bto driftsutg'!G10-'2021 Avskrivning'!G10</f>
        <v>12155</v>
      </c>
      <c r="H10" s="1">
        <f>+'2021 Bto driftsutg'!H10-'2021 Avskrivning'!H10</f>
        <v>268256</v>
      </c>
      <c r="I10" s="11">
        <f>+'2021 Bto driftsutg'!I10-'2021 Avskrivning'!I10</f>
        <v>1169067</v>
      </c>
      <c r="J10" s="1">
        <f>+'2021 Bto driftsutg'!J10-'2021 Avskrivning'!J10</f>
        <v>0</v>
      </c>
      <c r="K10" s="1">
        <f>+'2021 Bto driftsutg'!K10-'2021 Avskrivning'!K10</f>
        <v>402022</v>
      </c>
      <c r="L10" s="1">
        <f>+'2021 Bto driftsutg'!L10-'2021 Avskrivning'!L10</f>
        <v>246733</v>
      </c>
      <c r="M10" s="1">
        <f>+'2021 Bto driftsutg'!M10-'2021 Avskrivning'!M10</f>
        <v>201589</v>
      </c>
      <c r="N10" s="1">
        <f>+'2021 Bto driftsutg'!N10-'2021 Avskrivning'!N10</f>
        <v>318723</v>
      </c>
      <c r="O10" s="1">
        <f>+'2021 Bto driftsutg'!O10-'2021 Avskrivning'!O10</f>
        <v>0</v>
      </c>
      <c r="P10" s="1">
        <f>+'2021 Bto driftsutg'!P10-'2021 Avskrivning'!P10</f>
        <v>0</v>
      </c>
      <c r="Q10" s="1">
        <f>+'2021 Bto driftsutg'!Q10-'2021 Avskrivning'!Q10</f>
        <v>0</v>
      </c>
      <c r="R10" s="1">
        <f>+'2021 Bto driftsutg'!R10-'2021 Avskrivning'!R10</f>
        <v>-39984</v>
      </c>
      <c r="T10" s="1"/>
      <c r="U10" s="1"/>
    </row>
    <row r="11" spans="1:21" x14ac:dyDescent="0.3">
      <c r="A11" s="43">
        <v>3800</v>
      </c>
      <c r="B11" s="44" t="s">
        <v>394</v>
      </c>
      <c r="C11" s="1">
        <f t="shared" si="1"/>
        <v>6278152</v>
      </c>
      <c r="D11" s="1">
        <f>+'2021 Bto driftsutg'!D11-'2021 Avskrivning'!D11</f>
        <v>3105446</v>
      </c>
      <c r="E11" s="1">
        <f>+'2021 Bto driftsutg'!E11-'2021 Avskrivning'!E11</f>
        <v>786963</v>
      </c>
      <c r="F11" s="1">
        <f>+'2021 Bto driftsutg'!F11-'2021 Avskrivning'!F11</f>
        <v>904114</v>
      </c>
      <c r="G11" s="1">
        <f>+'2021 Bto driftsutg'!G11-'2021 Avskrivning'!G11</f>
        <v>28001</v>
      </c>
      <c r="H11" s="1">
        <f>+'2021 Bto driftsutg'!H11-'2021 Avskrivning'!H11</f>
        <v>268935</v>
      </c>
      <c r="I11" s="11">
        <f>+'2021 Bto driftsutg'!I11-'2021 Avskrivning'!I11</f>
        <v>1242076</v>
      </c>
      <c r="J11" s="1">
        <f>+'2021 Bto driftsutg'!J11-'2021 Avskrivning'!J11</f>
        <v>0</v>
      </c>
      <c r="K11" s="1">
        <f>+'2021 Bto driftsutg'!K11-'2021 Avskrivning'!K11</f>
        <v>382677</v>
      </c>
      <c r="L11" s="1">
        <f>+'2021 Bto driftsutg'!L11-'2021 Avskrivning'!L11</f>
        <v>264386</v>
      </c>
      <c r="M11" s="1">
        <f>+'2021 Bto driftsutg'!M11-'2021 Avskrivning'!M11</f>
        <v>271215</v>
      </c>
      <c r="N11" s="1">
        <f>+'2021 Bto driftsutg'!N11-'2021 Avskrivning'!N11</f>
        <v>317973</v>
      </c>
      <c r="O11" s="1">
        <f>+'2021 Bto driftsutg'!O11-'2021 Avskrivning'!O11</f>
        <v>3889</v>
      </c>
      <c r="P11" s="1">
        <f>+'2021 Bto driftsutg'!P11-'2021 Avskrivning'!P11</f>
        <v>1936</v>
      </c>
      <c r="Q11" s="1">
        <f>+'2021 Bto driftsutg'!Q11-'2021 Avskrivning'!Q11</f>
        <v>0</v>
      </c>
      <c r="R11" s="1">
        <f>+'2021 Bto driftsutg'!R11-'2021 Avskrivning'!R11</f>
        <v>-57383</v>
      </c>
      <c r="T11" s="1"/>
      <c r="U11" s="1"/>
    </row>
    <row r="12" spans="1:21" x14ac:dyDescent="0.3">
      <c r="A12" s="43">
        <v>4200</v>
      </c>
      <c r="B12" s="44" t="s">
        <v>395</v>
      </c>
      <c r="C12" s="1">
        <f t="shared" si="1"/>
        <v>4906500</v>
      </c>
      <c r="D12" s="1">
        <f>+'2021 Bto driftsutg'!D12-'2021 Avskrivning'!D12</f>
        <v>2579826</v>
      </c>
      <c r="E12" s="1">
        <f>+'2021 Bto driftsutg'!E12-'2021 Avskrivning'!E12</f>
        <v>723081</v>
      </c>
      <c r="F12" s="1">
        <f>+'2021 Bto driftsutg'!F12-'2021 Avskrivning'!F12</f>
        <v>568076</v>
      </c>
      <c r="G12" s="1">
        <f>+'2021 Bto driftsutg'!G12-'2021 Avskrivning'!G12</f>
        <v>45437</v>
      </c>
      <c r="H12" s="1">
        <f>+'2021 Bto driftsutg'!H12-'2021 Avskrivning'!H12</f>
        <v>201340</v>
      </c>
      <c r="I12" s="11">
        <f>+'2021 Bto driftsutg'!I12-'2021 Avskrivning'!I12</f>
        <v>868313</v>
      </c>
      <c r="J12" s="1">
        <f>+'2021 Bto driftsutg'!J12-'2021 Avskrivning'!J12</f>
        <v>0</v>
      </c>
      <c r="K12" s="1">
        <f>+'2021 Bto driftsutg'!K12-'2021 Avskrivning'!K12</f>
        <v>289365</v>
      </c>
      <c r="L12" s="1">
        <f>+'2021 Bto driftsutg'!L12-'2021 Avskrivning'!L12</f>
        <v>243353</v>
      </c>
      <c r="M12" s="1">
        <f>+'2021 Bto driftsutg'!M12-'2021 Avskrivning'!M12</f>
        <v>83437</v>
      </c>
      <c r="N12" s="1">
        <f>+'2021 Bto driftsutg'!N12-'2021 Avskrivning'!N12</f>
        <v>252107</v>
      </c>
      <c r="O12" s="1">
        <f>+'2021 Bto driftsutg'!O12-'2021 Avskrivning'!O12</f>
        <v>0</v>
      </c>
      <c r="P12" s="1">
        <f>+'2021 Bto driftsutg'!P12-'2021 Avskrivning'!P12</f>
        <v>51</v>
      </c>
      <c r="Q12" s="1">
        <f>+'2021 Bto driftsutg'!Q12-'2021 Avskrivning'!Q12</f>
        <v>0</v>
      </c>
      <c r="R12" s="1">
        <f>+'2021 Bto driftsutg'!R12-'2021 Avskrivning'!R12</f>
        <v>-79573</v>
      </c>
      <c r="T12" s="1"/>
      <c r="U12" s="1"/>
    </row>
    <row r="13" spans="1:21" x14ac:dyDescent="0.3">
      <c r="A13" s="43">
        <v>4600</v>
      </c>
      <c r="B13" s="44" t="s">
        <v>396</v>
      </c>
      <c r="C13" s="1">
        <f t="shared" si="1"/>
        <v>12591758</v>
      </c>
      <c r="D13" s="1">
        <f>+'2021 Bto driftsutg'!D13-'2021 Avskrivning'!D13</f>
        <v>4599940</v>
      </c>
      <c r="E13" s="1">
        <f>+'2021 Bto driftsutg'!E13-'2021 Avskrivning'!E13</f>
        <v>1334685</v>
      </c>
      <c r="F13" s="1">
        <f>+'2021 Bto driftsutg'!F13-'2021 Avskrivning'!F13</f>
        <v>2821211</v>
      </c>
      <c r="G13" s="1">
        <f>+'2021 Bto driftsutg'!G13-'2021 Avskrivning'!G13</f>
        <v>1400441</v>
      </c>
      <c r="H13" s="1">
        <f>+'2021 Bto driftsutg'!H13-'2021 Avskrivning'!H13</f>
        <v>432747</v>
      </c>
      <c r="I13" s="11">
        <f>+'2021 Bto driftsutg'!I13-'2021 Avskrivning'!I13</f>
        <v>1947503</v>
      </c>
      <c r="J13" s="1">
        <f>+'2021 Bto driftsutg'!J13-'2021 Avskrivning'!J13</f>
        <v>0</v>
      </c>
      <c r="K13" s="1">
        <f>+'2021 Bto driftsutg'!K13-'2021 Avskrivning'!K13</f>
        <v>577331</v>
      </c>
      <c r="L13" s="1">
        <f>+'2021 Bto driftsutg'!L13-'2021 Avskrivning'!L13</f>
        <v>322345</v>
      </c>
      <c r="M13" s="1">
        <f>+'2021 Bto driftsutg'!M13-'2021 Avskrivning'!M13</f>
        <v>490055</v>
      </c>
      <c r="N13" s="1">
        <f>+'2021 Bto driftsutg'!N13-'2021 Avskrivning'!N13</f>
        <v>556080</v>
      </c>
      <c r="O13" s="1">
        <f>+'2021 Bto driftsutg'!O13-'2021 Avskrivning'!O13</f>
        <v>0</v>
      </c>
      <c r="P13" s="1">
        <f>+'2021 Bto driftsutg'!P13-'2021 Avskrivning'!P13</f>
        <v>1692</v>
      </c>
      <c r="Q13" s="1">
        <f>+'2021 Bto driftsutg'!Q13-'2021 Avskrivning'!Q13</f>
        <v>0</v>
      </c>
      <c r="R13" s="1">
        <f>+'2021 Bto driftsutg'!R13-'2021 Avskrivning'!R13</f>
        <v>55231</v>
      </c>
      <c r="T13" s="1"/>
      <c r="U13" s="1"/>
    </row>
    <row r="14" spans="1:21" x14ac:dyDescent="0.3">
      <c r="A14" s="43">
        <v>5000</v>
      </c>
      <c r="B14" s="44" t="s">
        <v>390</v>
      </c>
      <c r="C14" s="1">
        <f t="shared" si="1"/>
        <v>8242627</v>
      </c>
      <c r="D14" s="1">
        <f>+'2021 Bto driftsutg'!D14-'2021 Avskrivning'!D14</f>
        <v>3625964</v>
      </c>
      <c r="E14" s="1">
        <f>+'2021 Bto driftsutg'!E14-'2021 Avskrivning'!E14</f>
        <v>1081878</v>
      </c>
      <c r="F14" s="1">
        <f>+'2021 Bto driftsutg'!F14-'2021 Avskrivning'!F14</f>
        <v>1351082</v>
      </c>
      <c r="G14" s="1">
        <f>+'2021 Bto driftsutg'!G14-'2021 Avskrivning'!G14</f>
        <v>416550</v>
      </c>
      <c r="H14" s="1">
        <f>+'2021 Bto driftsutg'!H14-'2021 Avskrivning'!H14</f>
        <v>420978</v>
      </c>
      <c r="I14" s="11">
        <f>+'2021 Bto driftsutg'!I14-'2021 Avskrivning'!I14</f>
        <v>1420077</v>
      </c>
      <c r="J14" s="1">
        <f>+'2021 Bto driftsutg'!J14-'2021 Avskrivning'!J14</f>
        <v>0</v>
      </c>
      <c r="K14" s="1">
        <f>+'2021 Bto driftsutg'!K14-'2021 Avskrivning'!K14</f>
        <v>439457</v>
      </c>
      <c r="L14" s="1">
        <f>+'2021 Bto driftsutg'!L14-'2021 Avskrivning'!L14</f>
        <v>242507</v>
      </c>
      <c r="M14" s="1">
        <f>+'2021 Bto driftsutg'!M14-'2021 Avskrivning'!M14</f>
        <v>254614</v>
      </c>
      <c r="N14" s="1">
        <f>+'2021 Bto driftsutg'!N14-'2021 Avskrivning'!N14</f>
        <v>483499</v>
      </c>
      <c r="O14" s="1">
        <f>+'2021 Bto driftsutg'!O14-'2021 Avskrivning'!O14</f>
        <v>0</v>
      </c>
      <c r="P14" s="1">
        <f>+'2021 Bto driftsutg'!P14-'2021 Avskrivning'!P14</f>
        <v>0</v>
      </c>
      <c r="Q14" s="1">
        <f>+'2021 Bto driftsutg'!Q14-'2021 Avskrivning'!Q14</f>
        <v>0</v>
      </c>
      <c r="R14" s="1">
        <f>+'2021 Bto driftsutg'!R14-'2021 Avskrivning'!R14</f>
        <v>-73902</v>
      </c>
      <c r="T14" s="1"/>
      <c r="U14" s="1"/>
    </row>
    <row r="15" spans="1:21" x14ac:dyDescent="0.3">
      <c r="A15" s="43">
        <v>5400</v>
      </c>
      <c r="B15" s="44" t="s">
        <v>397</v>
      </c>
      <c r="C15" s="1">
        <f t="shared" si="1"/>
        <v>6601427</v>
      </c>
      <c r="D15" s="1">
        <f>+'2021 Bto driftsutg'!D15-'2021 Avskrivning'!D15</f>
        <v>2196157</v>
      </c>
      <c r="E15" s="1">
        <f>+'2021 Bto driftsutg'!E15-'2021 Avskrivning'!E15</f>
        <v>970665</v>
      </c>
      <c r="F15" s="1">
        <f>+'2021 Bto driftsutg'!F15-'2021 Avskrivning'!F15</f>
        <v>1161443</v>
      </c>
      <c r="G15" s="1">
        <f>+'2021 Bto driftsutg'!G15-'2021 Avskrivning'!G15</f>
        <v>733630</v>
      </c>
      <c r="H15" s="1">
        <f>+'2021 Bto driftsutg'!H15-'2021 Avskrivning'!H15</f>
        <v>371109</v>
      </c>
      <c r="I15" s="11">
        <f>+'2021 Bto driftsutg'!I15-'2021 Avskrivning'!I15</f>
        <v>1239920</v>
      </c>
      <c r="J15" s="1">
        <f>+'2021 Bto driftsutg'!J15-'2021 Avskrivning'!J15</f>
        <v>0</v>
      </c>
      <c r="K15" s="1">
        <f>+'2021 Bto driftsutg'!K15-'2021 Avskrivning'!K15</f>
        <v>379081</v>
      </c>
      <c r="L15" s="1">
        <f>+'2021 Bto driftsutg'!L15-'2021 Avskrivning'!L15</f>
        <v>222318</v>
      </c>
      <c r="M15" s="1">
        <f>+'2021 Bto driftsutg'!M15-'2021 Avskrivning'!M15</f>
        <v>236123</v>
      </c>
      <c r="N15" s="1">
        <f>+'2021 Bto driftsutg'!N15-'2021 Avskrivning'!N15</f>
        <v>339328</v>
      </c>
      <c r="O15" s="1">
        <f>+'2021 Bto driftsutg'!O15-'2021 Avskrivning'!O15</f>
        <v>0</v>
      </c>
      <c r="P15" s="1">
        <f>+'2021 Bto driftsutg'!P15-'2021 Avskrivning'!P15</f>
        <v>63070</v>
      </c>
      <c r="Q15" s="1">
        <f>+'2021 Bto driftsutg'!Q15-'2021 Avskrivning'!Q15</f>
        <v>0</v>
      </c>
      <c r="R15" s="1">
        <f>+'2021 Bto driftsutg'!R15-'2021 Avskrivning'!R15</f>
        <v>-71497</v>
      </c>
      <c r="T15" s="1"/>
      <c r="U15" s="1"/>
    </row>
    <row r="16" spans="1:21" x14ac:dyDescent="0.3">
      <c r="C16" s="1"/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3">
      <c r="B17" s="1" t="s">
        <v>3</v>
      </c>
      <c r="C17" s="1">
        <f>SUM(C5:C16)</f>
        <v>89212616.933937669</v>
      </c>
      <c r="D17" s="1">
        <f t="shared" ref="D17:R17" si="2">SUM(D5:D15)</f>
        <v>39384265</v>
      </c>
      <c r="E17" s="1">
        <f t="shared" si="2"/>
        <v>9765369</v>
      </c>
      <c r="F17" s="1">
        <f t="shared" si="2"/>
        <v>18006890</v>
      </c>
      <c r="G17" s="1">
        <f t="shared" si="2"/>
        <v>5641418</v>
      </c>
      <c r="H17" s="1">
        <f t="shared" si="2"/>
        <v>3657149</v>
      </c>
      <c r="I17" s="11">
        <f t="shared" si="2"/>
        <v>13692106</v>
      </c>
      <c r="J17" s="1">
        <f t="shared" si="2"/>
        <v>0</v>
      </c>
      <c r="K17" s="1">
        <f t="shared" si="2"/>
        <v>4474558</v>
      </c>
      <c r="L17" s="1">
        <f t="shared" si="2"/>
        <v>2418160</v>
      </c>
      <c r="M17" s="1">
        <f t="shared" si="2"/>
        <v>2545829</v>
      </c>
      <c r="N17" s="1">
        <f t="shared" si="2"/>
        <v>3966432</v>
      </c>
      <c r="O17" s="1">
        <f t="shared" si="2"/>
        <v>20747</v>
      </c>
      <c r="P17" s="1">
        <f t="shared" si="2"/>
        <v>266380</v>
      </c>
      <c r="Q17" s="1">
        <f t="shared" si="2"/>
        <v>0</v>
      </c>
      <c r="R17" s="1">
        <f t="shared" si="2"/>
        <v>-934580.06606233004</v>
      </c>
      <c r="S17" s="1"/>
      <c r="T17" s="1"/>
      <c r="U17" s="1"/>
    </row>
    <row r="18" spans="2:21" x14ac:dyDescent="0.3">
      <c r="C18" s="5"/>
      <c r="I18" s="5">
        <f>SUM(J17:Q17)</f>
        <v>13692106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Q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2" width="18.5546875" customWidth="1"/>
    <col min="3" max="3" width="13.109375" customWidth="1"/>
    <col min="6" max="7" width="12.5546875" customWidth="1"/>
    <col min="9" max="9" width="3.109375" customWidth="1"/>
    <col min="11" max="11" width="5.44140625" customWidth="1"/>
    <col min="14" max="14" width="12.109375" customWidth="1"/>
  </cols>
  <sheetData>
    <row r="2" spans="1:17" ht="42.75" customHeight="1" x14ac:dyDescent="0.35">
      <c r="A2" s="24" t="s">
        <v>2</v>
      </c>
      <c r="B2" s="24" t="s">
        <v>1</v>
      </c>
      <c r="C2" s="24" t="s">
        <v>5</v>
      </c>
      <c r="D2" s="24" t="s">
        <v>174</v>
      </c>
      <c r="E2" s="24" t="s">
        <v>175</v>
      </c>
      <c r="F2" s="24" t="s">
        <v>278</v>
      </c>
      <c r="G2" s="24" t="s">
        <v>279</v>
      </c>
      <c r="H2" s="24" t="s">
        <v>269</v>
      </c>
      <c r="J2" s="6" t="s">
        <v>321</v>
      </c>
      <c r="L2" s="55" t="s">
        <v>278</v>
      </c>
      <c r="M2" s="55" t="s">
        <v>279</v>
      </c>
      <c r="N2" s="55" t="s">
        <v>174</v>
      </c>
      <c r="O2" s="55" t="s">
        <v>269</v>
      </c>
      <c r="P2" s="55" t="s">
        <v>175</v>
      </c>
    </row>
    <row r="3" spans="1:17" ht="15.6" x14ac:dyDescent="0.4">
      <c r="A3" s="107">
        <v>1</v>
      </c>
      <c r="B3" s="107">
        <f t="shared" ref="B3:H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J3" s="107">
        <v>10</v>
      </c>
      <c r="L3" s="56">
        <v>0.16489654789568156</v>
      </c>
      <c r="M3" s="56">
        <v>6.9395989723856327E-2</v>
      </c>
      <c r="N3" s="56">
        <v>0.5257917876352628</v>
      </c>
      <c r="O3" s="56">
        <v>4.2073218087223863E-2</v>
      </c>
      <c r="P3" s="56">
        <v>0.19784245665797537</v>
      </c>
      <c r="Q3" s="103"/>
    </row>
    <row r="5" spans="1:17" x14ac:dyDescent="0.3">
      <c r="A5" s="43">
        <v>300</v>
      </c>
      <c r="B5" s="44" t="s">
        <v>0</v>
      </c>
      <c r="C5" s="3">
        <f>+'2021 Nøkkel revektet'!D5*'2021 Nto driftsutg landet'!$C$5/'2021 Nto driftsutg landet'!$C$10+'2021 Nøkkel revektet'!E5*'2021 Nto driftsutg landet'!$C$6/'2021 Nto driftsutg landet'!$C$10+'2021 Nøkkel revektet'!F5*'2021 Nto driftsutg landet'!$C$7/'2021 Nto driftsutg landet'!$C$10+'2021 Nøkkel revektet'!G5*'2021 Nto driftsutg landet'!$C$8/'2021 Nto driftsutg landet'!$C$10+'2021 Nøkkel revektet'!H5*'2021 Nto driftsutg landet'!$C$9/'2021 Nto driftsutg landet'!$C$10</f>
        <v>0.821858680948934</v>
      </c>
      <c r="D5" s="3">
        <f>+'2021 Revekting utgiftsbehov'!Z5</f>
        <v>0.69992741792473367</v>
      </c>
      <c r="E5" s="3">
        <f>+'2021 Revekting utgiftsbehov'!AA5</f>
        <v>0.27329987791232591</v>
      </c>
      <c r="F5" s="3">
        <f>+'2021 Revekting utgiftsbehov'!AB5</f>
        <v>1.7366784242575655</v>
      </c>
      <c r="G5" s="3">
        <f>+'2021 Revekting utgiftsbehov'!AC5</f>
        <v>1.3162579476841962E-3</v>
      </c>
      <c r="H5" s="3">
        <f>+'2021 Revekting utgiftsbehov'!AD5</f>
        <v>0.86214546100876743</v>
      </c>
      <c r="I5" s="4"/>
      <c r="J5" s="4">
        <f>+C5-'2021 Revekting utgiftsbehov'!I5</f>
        <v>7.6873780948934045E-2</v>
      </c>
      <c r="K5" s="4"/>
      <c r="L5" s="4"/>
      <c r="M5" s="4"/>
      <c r="N5" s="4"/>
      <c r="O5" s="4"/>
    </row>
    <row r="6" spans="1:17" x14ac:dyDescent="0.3">
      <c r="A6" s="43">
        <v>1100</v>
      </c>
      <c r="B6" s="44" t="s">
        <v>141</v>
      </c>
      <c r="C6" s="3">
        <f>+'2021 Nøkkel revektet'!D6*'2021 Nto driftsutg landet'!$C$5/'2021 Nto driftsutg landet'!$C$10+'2021 Nøkkel revektet'!E6*'2021 Nto driftsutg landet'!$C$6/'2021 Nto driftsutg landet'!$C$10+'2021 Nøkkel revektet'!F6*'2021 Nto driftsutg landet'!$C$7/'2021 Nto driftsutg landet'!$C$10+'2021 Nøkkel revektet'!G6*'2021 Nto driftsutg landet'!$C$8/'2021 Nto driftsutg landet'!$C$10+'2021 Nøkkel revektet'!H6*'2021 Nto driftsutg landet'!$C$9/'2021 Nto driftsutg landet'!$C$10</f>
        <v>1.0076082085102009</v>
      </c>
      <c r="D6" s="3">
        <f>+'2021 Revekting utgiftsbehov'!Z6</f>
        <v>1.0673194667707337</v>
      </c>
      <c r="E6" s="3">
        <f>+'2021 Revekting utgiftsbehov'!AA6</f>
        <v>0.81816777174632593</v>
      </c>
      <c r="F6" s="3">
        <f>+'2021 Revekting utgiftsbehov'!AB6</f>
        <v>1.0249622923455652</v>
      </c>
      <c r="G6" s="3">
        <f>+'2021 Revekting utgiftsbehov'!AC6</f>
        <v>0.84093635143568424</v>
      </c>
      <c r="H6" s="3">
        <f>+'2021 Revekting utgiftsbehov'!AD6</f>
        <v>1.0806156114827672</v>
      </c>
      <c r="I6" s="4"/>
      <c r="J6" s="4">
        <f>+C6-'2021 Revekting utgiftsbehov'!I6</f>
        <v>1.182371851020092E-2</v>
      </c>
      <c r="K6" s="4"/>
    </row>
    <row r="7" spans="1:17" x14ac:dyDescent="0.3">
      <c r="A7" s="43">
        <v>1500</v>
      </c>
      <c r="B7" s="44" t="s">
        <v>142</v>
      </c>
      <c r="C7" s="3">
        <f>+'2021 Nøkkel revektet'!D7*'2021 Nto driftsutg landet'!$C$5/'2021 Nto driftsutg landet'!$C$10+'2021 Nøkkel revektet'!E7*'2021 Nto driftsutg landet'!$C$6/'2021 Nto driftsutg landet'!$C$10+'2021 Nøkkel revektet'!F7*'2021 Nto driftsutg landet'!$C$7/'2021 Nto driftsutg landet'!$C$10+'2021 Nøkkel revektet'!G7*'2021 Nto driftsutg landet'!$C$8/'2021 Nto driftsutg landet'!$C$10+'2021 Nøkkel revektet'!H7*'2021 Nto driftsutg landet'!$C$9/'2021 Nto driftsutg landet'!$C$10</f>
        <v>1.2731589374959902</v>
      </c>
      <c r="D7" s="3">
        <f>+'2021 Revekting utgiftsbehov'!Z7</f>
        <v>1.1152289651167338</v>
      </c>
      <c r="E7" s="3">
        <f>+'2021 Revekting utgiftsbehov'!AA7</f>
        <v>1.4589049308723259</v>
      </c>
      <c r="F7" s="3">
        <f>+'2021 Revekting utgiftsbehov'!AB7</f>
        <v>0.99652723642556551</v>
      </c>
      <c r="G7" s="3">
        <f>+'2021 Revekting utgiftsbehov'!AC7</f>
        <v>3.1024151359976844</v>
      </c>
      <c r="H7" s="3">
        <f>+'2021 Revekting utgiftsbehov'!AD7</f>
        <v>1.0303618783517672</v>
      </c>
      <c r="I7" s="4"/>
      <c r="J7" s="4">
        <f>+C7-'2021 Revekting utgiftsbehov'!I7</f>
        <v>-2.4854342504009752E-2</v>
      </c>
      <c r="K7" s="4"/>
    </row>
    <row r="8" spans="1:17" x14ac:dyDescent="0.3">
      <c r="A8" s="43">
        <v>1800</v>
      </c>
      <c r="B8" s="44" t="s">
        <v>143</v>
      </c>
      <c r="C8" s="3">
        <f>+'2021 Nøkkel revektet'!D8*'2021 Nto driftsutg landet'!$C$5/'2021 Nto driftsutg landet'!$C$10+'2021 Nøkkel revektet'!E8*'2021 Nto driftsutg landet'!$C$6/'2021 Nto driftsutg landet'!$C$10+'2021 Nøkkel revektet'!F8*'2021 Nto driftsutg landet'!$C$7/'2021 Nto driftsutg landet'!$C$10+'2021 Nøkkel revektet'!G8*'2021 Nto driftsutg landet'!$C$8/'2021 Nto driftsutg landet'!$C$10+'2021 Nøkkel revektet'!H8*'2021 Nto driftsutg landet'!$C$9/'2021 Nto driftsutg landet'!$C$10</f>
        <v>1.4750003297770415</v>
      </c>
      <c r="D8" s="3">
        <f>+'2021 Revekting utgiftsbehov'!Z8</f>
        <v>1.0985606160047334</v>
      </c>
      <c r="E8" s="3">
        <f>+'2021 Revekting utgiftsbehov'!AA8</f>
        <v>1.7407988890863257</v>
      </c>
      <c r="F8" s="3">
        <f>+'2021 Revekting utgiftsbehov'!AB8</f>
        <v>1.0164832520175653</v>
      </c>
      <c r="G8" s="3">
        <f>+'2021 Revekting utgiftsbehov'!AC8</f>
        <v>5.5170510266876844</v>
      </c>
      <c r="H8" s="3">
        <f>+'2021 Revekting utgiftsbehov'!AD8</f>
        <v>0.98545390484276729</v>
      </c>
      <c r="I8" s="4"/>
      <c r="J8" s="4">
        <f>+C8-'2021 Revekting utgiftsbehov'!I8</f>
        <v>-3.8830280222958535E-2</v>
      </c>
      <c r="K8" s="4"/>
    </row>
    <row r="9" spans="1:17" x14ac:dyDescent="0.3">
      <c r="A9" s="43">
        <v>3000</v>
      </c>
      <c r="B9" s="44" t="s">
        <v>392</v>
      </c>
      <c r="C9" s="3">
        <f>+'2021 Nøkkel revektet'!D9*'2021 Nto driftsutg landet'!$C$5/'2021 Nto driftsutg landet'!$C$10+'2021 Nøkkel revektet'!E9*'2021 Nto driftsutg landet'!$C$6/'2021 Nto driftsutg landet'!$C$10+'2021 Nøkkel revektet'!F9*'2021 Nto driftsutg landet'!$C$7/'2021 Nto driftsutg landet'!$C$10+'2021 Nøkkel revektet'!G9*'2021 Nto driftsutg landet'!$C$8/'2021 Nto driftsutg landet'!$C$10+'2021 Nøkkel revektet'!H9*'2021 Nto driftsutg landet'!$C$9/'2021 Nto driftsutg landet'!$C$10</f>
        <v>0.82654777366632737</v>
      </c>
      <c r="D9" s="3">
        <f>+'2021 Revekting utgiftsbehov'!Z9</f>
        <v>1.0213270274347337</v>
      </c>
      <c r="E9" s="3">
        <f>+'2021 Revekting utgiftsbehov'!AA9</f>
        <v>0.64741047014432584</v>
      </c>
      <c r="F9" s="3">
        <f>+'2021 Revekting utgiftsbehov'!AB9</f>
        <v>0.67128453064956539</v>
      </c>
      <c r="G9" s="3">
        <f>+'2021 Revekting utgiftsbehov'!AC9</f>
        <v>6.3826615473684067E-2</v>
      </c>
      <c r="H9" s="3">
        <f>+'2021 Revekting utgiftsbehov'!AD9</f>
        <v>1.0371859456287673</v>
      </c>
      <c r="I9" s="4"/>
      <c r="J9" s="4">
        <f>+C9-'2021 Revekting utgiftsbehov'!I9</f>
        <v>2.9290436663274022E-3</v>
      </c>
      <c r="K9" s="4"/>
    </row>
    <row r="10" spans="1:17" x14ac:dyDescent="0.3">
      <c r="A10" s="43">
        <v>3400</v>
      </c>
      <c r="B10" s="44" t="s">
        <v>393</v>
      </c>
      <c r="C10" s="3">
        <f>+'2021 Nøkkel revektet'!D10*'2021 Nto driftsutg landet'!$C$5/'2021 Nto driftsutg landet'!$C$10+'2021 Nøkkel revektet'!E10*'2021 Nto driftsutg landet'!$C$6/'2021 Nto driftsutg landet'!$C$10+'2021 Nøkkel revektet'!F10*'2021 Nto driftsutg landet'!$C$7/'2021 Nto driftsutg landet'!$C$10+'2021 Nøkkel revektet'!G10*'2021 Nto driftsutg landet'!$C$8/'2021 Nto driftsutg landet'!$C$10+'2021 Nøkkel revektet'!H10*'2021 Nto driftsutg landet'!$C$9/'2021 Nto driftsutg landet'!$C$10</f>
        <v>1.021161835429286</v>
      </c>
      <c r="D10" s="3">
        <f>+'2021 Revekting utgiftsbehov'!Z10</f>
        <v>1.0261357863467335</v>
      </c>
      <c r="E10" s="3">
        <f>+'2021 Revekting utgiftsbehov'!AA10</f>
        <v>1.5201988442463259</v>
      </c>
      <c r="F10" s="3">
        <f>+'2021 Revekting utgiftsbehov'!AB10</f>
        <v>1.0097293367215654</v>
      </c>
      <c r="G10" s="3">
        <f>+'2021 Revekting utgiftsbehov'!AC10</f>
        <v>3.8547034611684072E-2</v>
      </c>
      <c r="H10" s="3">
        <f>+'2021 Revekting utgiftsbehov'!AD10</f>
        <v>0.96374535243076731</v>
      </c>
      <c r="I10" s="4"/>
      <c r="J10" s="4">
        <f>+C10-'2021 Revekting utgiftsbehov'!I10</f>
        <v>-2.8911754570714043E-2</v>
      </c>
      <c r="K10" s="4"/>
    </row>
    <row r="11" spans="1:17" x14ac:dyDescent="0.3">
      <c r="A11" s="43">
        <v>3800</v>
      </c>
      <c r="B11" s="44" t="s">
        <v>394</v>
      </c>
      <c r="C11" s="3">
        <f>+'2021 Nøkkel revektet'!D11*'2021 Nto driftsutg landet'!$C$5/'2021 Nto driftsutg landet'!$C$10+'2021 Nøkkel revektet'!E11*'2021 Nto driftsutg landet'!$C$6/'2021 Nto driftsutg landet'!$C$10+'2021 Nøkkel revektet'!F11*'2021 Nto driftsutg landet'!$C$7/'2021 Nto driftsutg landet'!$C$10+'2021 Nøkkel revektet'!G11*'2021 Nto driftsutg landet'!$C$8/'2021 Nto driftsutg landet'!$C$10+'2021 Nøkkel revektet'!H11*'2021 Nto driftsutg landet'!$C$9/'2021 Nto driftsutg landet'!$C$10</f>
        <v>0.88759317902253743</v>
      </c>
      <c r="D11" s="3">
        <f>+'2021 Revekting utgiftsbehov'!Z11</f>
        <v>1.0188882734107336</v>
      </c>
      <c r="E11" s="3">
        <f>+'2021 Revekting utgiftsbehov'!AA11</f>
        <v>0.96541871694032599</v>
      </c>
      <c r="F11" s="3">
        <f>+'2021 Revekting utgiftsbehov'!AB11</f>
        <v>0.72761217776956544</v>
      </c>
      <c r="G11" s="3">
        <f>+'2021 Revekting utgiftsbehov'!AC11</f>
        <v>0.16001458546168412</v>
      </c>
      <c r="H11" s="3">
        <f>+'2021 Revekting utgiftsbehov'!AD11</f>
        <v>0.99862059185776741</v>
      </c>
      <c r="I11" s="4"/>
      <c r="J11" s="4">
        <f>+C11-'2021 Revekting utgiftsbehov'!I11</f>
        <v>-1.2172060977462595E-2</v>
      </c>
      <c r="K11" s="4"/>
    </row>
    <row r="12" spans="1:17" x14ac:dyDescent="0.3">
      <c r="A12" s="43">
        <v>4200</v>
      </c>
      <c r="B12" s="44" t="s">
        <v>395</v>
      </c>
      <c r="C12" s="3">
        <f>+'2021 Nøkkel revektet'!D12*'2021 Nto driftsutg landet'!$C$5/'2021 Nto driftsutg landet'!$C$10+'2021 Nøkkel revektet'!E12*'2021 Nto driftsutg landet'!$C$6/'2021 Nto driftsutg landet'!$C$10+'2021 Nøkkel revektet'!F12*'2021 Nto driftsutg landet'!$C$7/'2021 Nto driftsutg landet'!$C$10+'2021 Nøkkel revektet'!G12*'2021 Nto driftsutg landet'!$C$8/'2021 Nto driftsutg landet'!$C$10+'2021 Nøkkel revektet'!H12*'2021 Nto driftsutg landet'!$C$9/'2021 Nto driftsutg landet'!$C$10</f>
        <v>0.95877326751652792</v>
      </c>
      <c r="D12" s="3">
        <f>+'2021 Revekting utgiftsbehov'!Z12</f>
        <v>1.0503006917547337</v>
      </c>
      <c r="E12" s="3">
        <f>+'2021 Revekting utgiftsbehov'!AA12</f>
        <v>1.1653561072683258</v>
      </c>
      <c r="F12" s="3">
        <f>+'2021 Revekting utgiftsbehov'!AB12</f>
        <v>0.81375635873756547</v>
      </c>
      <c r="G12" s="3">
        <f>+'2021 Revekting utgiftsbehov'!AC12</f>
        <v>0.23760515370768409</v>
      </c>
      <c r="H12" s="3">
        <f>+'2021 Revekting utgiftsbehov'!AD12</f>
        <v>1.0486821083187674</v>
      </c>
      <c r="I12" s="4"/>
      <c r="J12" s="4">
        <f>+C12-'2021 Revekting utgiftsbehov'!I12</f>
        <v>-1.8911152483472082E-2</v>
      </c>
      <c r="K12" s="4"/>
    </row>
    <row r="13" spans="1:17" x14ac:dyDescent="0.3">
      <c r="A13" s="43">
        <v>4600</v>
      </c>
      <c r="B13" s="44" t="s">
        <v>396</v>
      </c>
      <c r="C13" s="3">
        <f>+'2021 Nøkkel revektet'!D13*'2021 Nto driftsutg landet'!$C$5/'2021 Nto driftsutg landet'!$C$10+'2021 Nøkkel revektet'!E13*'2021 Nto driftsutg landet'!$C$6/'2021 Nto driftsutg landet'!$C$10+'2021 Nøkkel revektet'!F13*'2021 Nto driftsutg landet'!$C$7/'2021 Nto driftsutg landet'!$C$10+'2021 Nøkkel revektet'!G13*'2021 Nto driftsutg landet'!$C$8/'2021 Nto driftsutg landet'!$C$10+'2021 Nøkkel revektet'!H13*'2021 Nto driftsutg landet'!$C$9/'2021 Nto driftsutg landet'!$C$10</f>
        <v>1.1257997232889609</v>
      </c>
      <c r="D13" s="3">
        <f>+'2021 Revekting utgiftsbehov'!Z13</f>
        <v>1.0627111444147337</v>
      </c>
      <c r="E13" s="3">
        <f>+'2021 Revekting utgiftsbehov'!AA13</f>
        <v>1.1796744476343259</v>
      </c>
      <c r="F13" s="3">
        <f>+'2021 Revekting utgiftsbehov'!AB13</f>
        <v>1.0003785474175653</v>
      </c>
      <c r="G13" s="3">
        <f>+'2021 Revekting utgiftsbehov'!AC13</f>
        <v>1.9450823651376841</v>
      </c>
      <c r="H13" s="3">
        <f>+'2021 Revekting utgiftsbehov'!AD13</f>
        <v>1.0273527193617673</v>
      </c>
      <c r="I13" s="4"/>
      <c r="J13" s="4">
        <f>+C13-'2021 Revekting utgiftsbehov'!I13</f>
        <v>-9.5876167110391375E-3</v>
      </c>
      <c r="K13" s="4"/>
    </row>
    <row r="14" spans="1:17" x14ac:dyDescent="0.3">
      <c r="A14" s="43">
        <v>5000</v>
      </c>
      <c r="B14" s="44" t="s">
        <v>390</v>
      </c>
      <c r="C14" s="3">
        <f>+'2021 Nøkkel revektet'!D14*'2021 Nto driftsutg landet'!$C$5/'2021 Nto driftsutg landet'!$C$10+'2021 Nøkkel revektet'!E14*'2021 Nto driftsutg landet'!$C$6/'2021 Nto driftsutg landet'!$C$10+'2021 Nøkkel revektet'!F14*'2021 Nto driftsutg landet'!$C$7/'2021 Nto driftsutg landet'!$C$10+'2021 Nøkkel revektet'!G14*'2021 Nto driftsutg landet'!$C$8/'2021 Nto driftsutg landet'!$C$10+'2021 Nøkkel revektet'!H14*'2021 Nto driftsutg landet'!$C$9/'2021 Nto driftsutg landet'!$C$10</f>
        <v>1.069642294144614</v>
      </c>
      <c r="D14" s="3">
        <f>+'2021 Revekting utgiftsbehov'!Z14</f>
        <v>1.0125725469497338</v>
      </c>
      <c r="E14" s="3">
        <f>+'2021 Revekting utgiftsbehov'!AA14</f>
        <v>1.2942396963363261</v>
      </c>
      <c r="F14" s="3">
        <f>+'2021 Revekting utgiftsbehov'!AB14</f>
        <v>1.0551423826255655</v>
      </c>
      <c r="G14" s="3">
        <f>+'2021 Revekting utgiftsbehov'!AC14</f>
        <v>1.1381059234196842</v>
      </c>
      <c r="H14" s="3">
        <f>+'2021 Revekting utgiftsbehov'!AD14</f>
        <v>0.99297800175476725</v>
      </c>
      <c r="I14" s="4"/>
      <c r="J14" s="4">
        <f>+C14-'2021 Revekting utgiftsbehov'!I14</f>
        <v>-1.3829625855386052E-2</v>
      </c>
      <c r="K14" s="4"/>
    </row>
    <row r="15" spans="1:17" x14ac:dyDescent="0.3">
      <c r="A15" s="43">
        <v>5400</v>
      </c>
      <c r="B15" s="44" t="s">
        <v>397</v>
      </c>
      <c r="C15" s="3">
        <f>+'2021 Nøkkel revektet'!D15*'2021 Nto driftsutg landet'!$C$5/'2021 Nto driftsutg landet'!$C$10+'2021 Nøkkel revektet'!E15*'2021 Nto driftsutg landet'!$C$6/'2021 Nto driftsutg landet'!$C$10+'2021 Nøkkel revektet'!F15*'2021 Nto driftsutg landet'!$C$7/'2021 Nto driftsutg landet'!$C$10+'2021 Nøkkel revektet'!G15*'2021 Nto driftsutg landet'!$C$8/'2021 Nto driftsutg landet'!$C$10+'2021 Nøkkel revektet'!H15*'2021 Nto driftsutg landet'!$C$9/'2021 Nto driftsutg landet'!$C$10</f>
        <v>1.3789388762943178</v>
      </c>
      <c r="D15" s="3">
        <f>+'2021 Revekting utgiftsbehov'!Z15</f>
        <v>1.0657255153337337</v>
      </c>
      <c r="E15" s="3">
        <f>+'2021 Revekting utgiftsbehov'!AA15</f>
        <v>2.0580994936803263</v>
      </c>
      <c r="F15" s="3">
        <f>+'2021 Revekting utgiftsbehov'!AB15</f>
        <v>1.1223627891775654</v>
      </c>
      <c r="G15" s="3">
        <f>+'2021 Revekting utgiftsbehov'!AC15</f>
        <v>3.4295099221056851</v>
      </c>
      <c r="H15" s="3">
        <f>+'2021 Revekting utgiftsbehov'!AD15</f>
        <v>0.95977925900576744</v>
      </c>
      <c r="I15" s="4"/>
      <c r="J15" s="4">
        <f>+C15-'2021 Revekting utgiftsbehov'!I15</f>
        <v>-5.2280793705682171E-2</v>
      </c>
      <c r="K15" s="4"/>
    </row>
    <row r="16" spans="1:17" x14ac:dyDescent="0.3">
      <c r="C16" s="4"/>
      <c r="D16" s="4"/>
      <c r="E16" s="4"/>
      <c r="F16" s="4"/>
      <c r="G16" s="4"/>
      <c r="H16" s="4"/>
    </row>
    <row r="17" spans="2:8" x14ac:dyDescent="0.3">
      <c r="B17" s="1" t="s">
        <v>3</v>
      </c>
      <c r="C17" s="3"/>
      <c r="D17" s="3">
        <v>1</v>
      </c>
      <c r="E17" s="3">
        <v>1</v>
      </c>
      <c r="F17" s="3">
        <v>1</v>
      </c>
      <c r="G17" s="3">
        <v>1</v>
      </c>
      <c r="H17" s="3">
        <v>1</v>
      </c>
    </row>
  </sheetData>
  <sheetProtection algorithmName="SHA-512" hashValue="oq43qC367GuwaaRHPjA2Q6RB8DEFQ4MCRTkeNBqTXUIEOHwaD2VId86m3BGyHexrSoCkFe4YDtOtkWHBsVHdQA==" saltValue="RTt74ZShVplyWXORJkfhe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8FB9-B7CE-42F0-B704-D4811297D7A6}">
  <dimension ref="A2:B15"/>
  <sheetViews>
    <sheetView workbookViewId="0">
      <selection activeCell="B16" sqref="B16"/>
    </sheetView>
  </sheetViews>
  <sheetFormatPr baseColWidth="10" defaultRowHeight="14.4" x14ac:dyDescent="0.3"/>
  <cols>
    <col min="2" max="2" width="21.6640625" bestFit="1" customWidth="1"/>
  </cols>
  <sheetData>
    <row r="2" spans="1:2" x14ac:dyDescent="0.3">
      <c r="A2" s="24" t="s">
        <v>2</v>
      </c>
      <c r="B2" s="24" t="s">
        <v>1</v>
      </c>
    </row>
    <row r="3" spans="1:2" x14ac:dyDescent="0.3">
      <c r="A3" s="107">
        <v>1</v>
      </c>
      <c r="B3" s="107">
        <f>+A3+1</f>
        <v>2</v>
      </c>
    </row>
    <row r="5" spans="1:2" x14ac:dyDescent="0.3">
      <c r="A5" s="43">
        <v>300</v>
      </c>
      <c r="B5" s="44" t="s">
        <v>0</v>
      </c>
    </row>
    <row r="6" spans="1:2" x14ac:dyDescent="0.3">
      <c r="A6" s="43">
        <v>1100</v>
      </c>
      <c r="B6" s="44" t="s">
        <v>141</v>
      </c>
    </row>
    <row r="7" spans="1:2" x14ac:dyDescent="0.3">
      <c r="A7" s="43">
        <v>1500</v>
      </c>
      <c r="B7" s="44" t="s">
        <v>142</v>
      </c>
    </row>
    <row r="8" spans="1:2" x14ac:dyDescent="0.3">
      <c r="A8" s="43">
        <v>1800</v>
      </c>
      <c r="B8" s="44" t="s">
        <v>143</v>
      </c>
    </row>
    <row r="9" spans="1:2" x14ac:dyDescent="0.3">
      <c r="A9" s="43">
        <v>3000</v>
      </c>
      <c r="B9" s="44" t="s">
        <v>392</v>
      </c>
    </row>
    <row r="10" spans="1:2" x14ac:dyDescent="0.3">
      <c r="A10" s="43">
        <v>3400</v>
      </c>
      <c r="B10" s="44" t="s">
        <v>393</v>
      </c>
    </row>
    <row r="11" spans="1:2" x14ac:dyDescent="0.3">
      <c r="A11" s="43">
        <v>3800</v>
      </c>
      <c r="B11" s="44" t="s">
        <v>398</v>
      </c>
    </row>
    <row r="12" spans="1:2" x14ac:dyDescent="0.3">
      <c r="A12" s="43">
        <v>4200</v>
      </c>
      <c r="B12" s="44" t="s">
        <v>395</v>
      </c>
    </row>
    <row r="13" spans="1:2" x14ac:dyDescent="0.3">
      <c r="A13" s="43">
        <v>4600</v>
      </c>
      <c r="B13" s="44" t="s">
        <v>396</v>
      </c>
    </row>
    <row r="14" spans="1:2" x14ac:dyDescent="0.3">
      <c r="A14" s="43">
        <v>5000</v>
      </c>
      <c r="B14" s="44" t="s">
        <v>390</v>
      </c>
    </row>
    <row r="15" spans="1:2" x14ac:dyDescent="0.3">
      <c r="A15" s="43">
        <v>5400</v>
      </c>
      <c r="B15" s="44" t="s">
        <v>397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6"/>
  <dimension ref="B1:K78"/>
  <sheetViews>
    <sheetView showGridLines="0" workbookViewId="0"/>
  </sheetViews>
  <sheetFormatPr baseColWidth="10" defaultRowHeight="14.4" x14ac:dyDescent="0.3"/>
  <cols>
    <col min="2" max="2" width="39.5546875" customWidth="1"/>
    <col min="3" max="3" width="17.44140625" customWidth="1"/>
    <col min="4" max="4" width="24" customWidth="1"/>
    <col min="5" max="5" width="24.5546875" customWidth="1"/>
    <col min="6" max="6" width="22.88671875" customWidth="1"/>
    <col min="7" max="7" width="8.88671875" customWidth="1"/>
    <col min="8" max="8" width="30.5546875" customWidth="1"/>
    <col min="9" max="9" width="11.44140625" customWidth="1"/>
    <col min="10" max="10" width="9.5546875" customWidth="1"/>
  </cols>
  <sheetData>
    <row r="1" spans="2:8" ht="36" customHeight="1" x14ac:dyDescent="0.5">
      <c r="B1" s="79" t="str">
        <f>+Inngang!C9</f>
        <v/>
      </c>
      <c r="C1" s="106"/>
    </row>
    <row r="3" spans="2:8" x14ac:dyDescent="0.3">
      <c r="B3" s="7" t="s">
        <v>52</v>
      </c>
    </row>
    <row r="4" spans="2:8" x14ac:dyDescent="0.3">
      <c r="B4" s="7"/>
    </row>
    <row r="5" spans="2:8" ht="43.2" x14ac:dyDescent="0.3">
      <c r="B5" s="38"/>
      <c r="C5" s="18" t="s">
        <v>315</v>
      </c>
      <c r="D5" s="18" t="s">
        <v>131</v>
      </c>
    </row>
    <row r="6" spans="2:8" x14ac:dyDescent="0.3">
      <c r="B6" s="39"/>
      <c r="C6" s="37" t="s">
        <v>40</v>
      </c>
      <c r="D6" s="37" t="s">
        <v>40</v>
      </c>
    </row>
    <row r="7" spans="2:8" x14ac:dyDescent="0.3">
      <c r="B7" s="62" t="s">
        <v>139</v>
      </c>
      <c r="C7" s="64" t="e">
        <f>VLOOKUP(Inngang!$B$9,'2021 Inntektsnivå'!A5:D15,4)</f>
        <v>#N/A</v>
      </c>
      <c r="D7" s="101"/>
    </row>
    <row r="8" spans="2:8" x14ac:dyDescent="0.3">
      <c r="B8" s="62" t="s">
        <v>273</v>
      </c>
      <c r="C8" s="65" t="e">
        <f>+E31+E32+E33+E34+E35</f>
        <v>#N/A</v>
      </c>
      <c r="D8" s="74" t="e">
        <f>H31+H32+H33+H34+H35</f>
        <v>#N/A</v>
      </c>
    </row>
    <row r="9" spans="2:8" x14ac:dyDescent="0.3">
      <c r="B9" s="62" t="s">
        <v>272</v>
      </c>
      <c r="C9" s="65" t="e">
        <f>+E36</f>
        <v>#N/A</v>
      </c>
      <c r="D9" s="74" t="e">
        <f t="shared" ref="D9:D12" si="0">+H36</f>
        <v>#N/A</v>
      </c>
    </row>
    <row r="10" spans="2:8" x14ac:dyDescent="0.3">
      <c r="B10" s="62" t="s">
        <v>27</v>
      </c>
      <c r="C10" s="65" t="e">
        <f>+E37</f>
        <v>#N/A</v>
      </c>
      <c r="D10" s="74" t="e">
        <f t="shared" si="0"/>
        <v>#N/A</v>
      </c>
    </row>
    <row r="11" spans="2:8" x14ac:dyDescent="0.3">
      <c r="B11" s="62" t="s">
        <v>24</v>
      </c>
      <c r="C11" s="65" t="e">
        <f t="shared" ref="C11:C12" si="1">+E38</f>
        <v>#N/A</v>
      </c>
      <c r="D11" s="74" t="e">
        <f t="shared" si="0"/>
        <v>#N/A</v>
      </c>
    </row>
    <row r="12" spans="2:8" x14ac:dyDescent="0.3">
      <c r="B12" s="63" t="s">
        <v>25</v>
      </c>
      <c r="C12" s="66" t="e">
        <f t="shared" si="1"/>
        <v>#N/A</v>
      </c>
      <c r="D12" s="75" t="e">
        <f t="shared" si="0"/>
        <v>#N/A</v>
      </c>
    </row>
    <row r="13" spans="2:8" x14ac:dyDescent="0.3">
      <c r="B13" s="7"/>
      <c r="C13" s="5"/>
      <c r="D13" s="5"/>
    </row>
    <row r="14" spans="2:8" x14ac:dyDescent="0.3">
      <c r="B14" s="7"/>
    </row>
    <row r="16" spans="2:8" ht="43.2" x14ac:dyDescent="0.3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11" x14ac:dyDescent="0.3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11" x14ac:dyDescent="0.3">
      <c r="B18" s="62" t="s">
        <v>174</v>
      </c>
      <c r="C18" s="14" t="e">
        <f>VLOOKUP(Inngang!$B$9,'2021 Nto driftsutg eks avskriv'!$A$5:$T$15,4)*1000/VLOOKUP(Inngang!$B$9,'2021 Nto driftsutg'!$A$5:$W$15,23)*100/'2021 Nto driftsutg landet'!C5-100</f>
        <v>#N/A</v>
      </c>
      <c r="D18" s="5" t="e">
        <f>('2021 Nto driftsutg landet'!$C$5+VLOOKUP(Inngang!$B$9,'2021 Korreksjoner'!$A$5:$AS$15,3)+VLOOKUP(Inngang!$B$9,'2021 Korreksjoner'!$A$5:$AS$15,5)+VLOOKUP(Inngang!$B$9,'2021 Korreksjoner'!$A$5:$AS$15,12)+VLOOKUP(Inngang!$B$9,'2021 Korreksjoner'!$A$5:$AS$15,28))*100/'2021 Nto driftsutg landet'!C5-100</f>
        <v>#N/A</v>
      </c>
      <c r="E18" s="16" t="e">
        <f>+C18-D18</f>
        <v>#N/A</v>
      </c>
      <c r="F18" s="5" t="e">
        <f>('2021 Nto driftsutg landet'!$C$5*VLOOKUP(Inngang!$B$9,'2021 Inntektsnivå'!$A$5:$C$15,3)+VLOOKUP(Inngang!$B$9,'2021 Korreksjoner'!$A$5:$AS$15,5)+VLOOKUP(Inngang!$B$9,'2021 Korreksjoner'!$A$5:$AS$15,3)+VLOOKUP(Inngang!$B$9,'2021 Korreksjoner'!$A$5:$AS$15,12)+VLOOKUP(Inngang!$B$9,'2021 Korreksjoner'!$A$5:$AS$15,28))*100/'2021 Nto driftsutg landet'!C5-100</f>
        <v>#N/A</v>
      </c>
      <c r="G18" s="5"/>
      <c r="H18" s="16" t="e">
        <f>+C18-F18</f>
        <v>#N/A</v>
      </c>
    </row>
    <row r="19" spans="2:11" x14ac:dyDescent="0.3">
      <c r="B19" s="62" t="s">
        <v>175</v>
      </c>
      <c r="C19" s="14" t="e">
        <f>VLOOKUP(Inngang!$B$9,'2021 Nto driftsutg eks avskriv'!$A$5:$T$15,5)*1000/VLOOKUP(Inngang!$B$9,'2021 Nto driftsutg'!$A$5:$W$15,23)*100/'2021 Nto driftsutg landet'!C6-100</f>
        <v>#N/A</v>
      </c>
      <c r="D19" s="5" t="e">
        <f>('2021 Nto driftsutg landet'!$C$6+VLOOKUP(Inngang!$B$9,'2021 Korreksjoner'!$A$5:$AS$15,6)+VLOOKUP(Inngang!$B$9,'2021 Korreksjoner'!$A$5:$AS$15,13)+VLOOKUP(Inngang!$B$9,'2021 Korreksjoner'!$A$5:$AS$15,29))*100/'2021 Nto driftsutg landet'!C6-100</f>
        <v>#N/A</v>
      </c>
      <c r="E19" s="16" t="e">
        <f>+C19-D19</f>
        <v>#N/A</v>
      </c>
      <c r="F19" s="5" t="e">
        <f>('2021 Nto driftsutg landet'!$C$6*VLOOKUP(Inngang!$B$9,'2021 Inntektsnivå'!$A$5:$C$15,3)+VLOOKUP(Inngang!$B$9,'2021 Korreksjoner'!$A$5:$AS$15,6)+VLOOKUP(Inngang!$B$9,'2021 Korreksjoner'!$A$5:$AS$15,13)+VLOOKUP(Inngang!$B$9,'2021 Korreksjoner'!$A$5:$AS$15,29))*100/'2021 Nto driftsutg landet'!C6-100</f>
        <v>#N/A</v>
      </c>
      <c r="G19" s="5"/>
      <c r="H19" s="16" t="e">
        <f>+C19-F19</f>
        <v>#N/A</v>
      </c>
    </row>
    <row r="20" spans="2:11" x14ac:dyDescent="0.3">
      <c r="B20" s="62" t="s">
        <v>278</v>
      </c>
      <c r="C20" s="14" t="e">
        <f>VLOOKUP(Inngang!$B$9,'2021 Nto driftsutg eks avskriv'!$A$5:$T$15,6)*1000/VLOOKUP(Inngang!$B$9,'2021 Nto driftsutg'!$A$5:$W$15,23)*100/'2021 Nto driftsutg landet'!C7-100</f>
        <v>#N/A</v>
      </c>
      <c r="D20" s="5" t="e">
        <f>('2021 Nto driftsutg landet'!$C$7+VLOOKUP(Inngang!$B$9,'2021 Korreksjoner'!$A$5:$AS$15,7)+VLOOKUP(Inngang!$B$9,'2021 Korreksjoner'!$A$5:$AS$15,14)+VLOOKUP(Inngang!$B$9,'2021 Korreksjoner'!$A$5:$AS$15,30))*100/'2021 Nto driftsutg landet'!C7-100</f>
        <v>#N/A</v>
      </c>
      <c r="E20" s="16" t="e">
        <f>+C20-D20</f>
        <v>#N/A</v>
      </c>
      <c r="F20" s="5" t="e">
        <f>('2021 Nto driftsutg landet'!$C$7*VLOOKUP(Inngang!$B$9,'2021 Inntektsnivå'!$A$5:$C$15,3)+VLOOKUP(Inngang!$B$9,'2021 Korreksjoner'!$A$5:$AS$15,7)+VLOOKUP(Inngang!$B$9,'2021 Korreksjoner'!$A$5:$AS$15,14)+VLOOKUP(Inngang!$B$9,'2021 Korreksjoner'!$A$5:$AS$15,30))*100/'2021 Nto driftsutg landet'!C7-100</f>
        <v>#N/A</v>
      </c>
      <c r="G20" s="5"/>
      <c r="H20" s="16" t="e">
        <f>+C20-F20</f>
        <v>#N/A</v>
      </c>
    </row>
    <row r="21" spans="2:11" x14ac:dyDescent="0.3">
      <c r="B21" s="62" t="s">
        <v>279</v>
      </c>
      <c r="C21" s="14" t="e">
        <f>VLOOKUP(Inngang!$B$9,'2021 Nto driftsutg eks avskriv'!$A$5:$T$15,7)*1000/VLOOKUP(Inngang!$B$9,'2021 Nto driftsutg'!$A$5:$W$15,23)*100/'2021 Nto driftsutg landet'!C9-100</f>
        <v>#N/A</v>
      </c>
      <c r="D21" s="5" t="e">
        <f>('2021 Nto driftsutg landet'!$C$8+VLOOKUP(Inngang!$B$9,'2021 Korreksjoner'!$A$5:$AS$15,8)+VLOOKUP(Inngang!$B$9,'2021 Korreksjoner'!$A$5:$AS$15,15)+VLOOKUP(Inngang!$B$9,'2021 Korreksjoner'!$A$5:$AS$15,31))*100/'2021 Nto driftsutg landet'!C8-100</f>
        <v>#N/A</v>
      </c>
      <c r="E21" s="16" t="e">
        <f>+C21-D21</f>
        <v>#N/A</v>
      </c>
      <c r="F21" s="5" t="e">
        <f>('2021 Nto driftsutg landet'!$C$8*VLOOKUP(Inngang!$B$9,'2021 Inntektsnivå'!$A$5:$C$15,3)+VLOOKUP(Inngang!$B$9,'2021 Korreksjoner'!$A$5:$AS$15,8)+VLOOKUP(Inngang!$B$9,'2021 Korreksjoner'!$A$5:$AS$15,15)+VLOOKUP(Inngang!$B$9,'2021 Korreksjoner'!$A$5:$AS$15,31))*100/'2021 Nto driftsutg landet'!C8-100</f>
        <v>#N/A</v>
      </c>
      <c r="G21" s="5"/>
      <c r="H21" s="16" t="e">
        <f>+C21-F21</f>
        <v>#N/A</v>
      </c>
    </row>
    <row r="22" spans="2:11" x14ac:dyDescent="0.3">
      <c r="B22" s="63" t="s">
        <v>176</v>
      </c>
      <c r="C22" s="26" t="e">
        <f>VLOOKUP(Inngang!$B$9,'2021 Nto driftsutg eks avskriv'!$A$5:$T$15,8)*1000/VLOOKUP(Inngang!$B$9,'2021 Nto driftsutg'!$A$5:$W$15,23)*100/'2021 Nto driftsutg landet'!C9-100</f>
        <v>#N/A</v>
      </c>
      <c r="D22" s="22" t="e">
        <f>('2021 Nto driftsutg landet'!$C$9+VLOOKUP(Inngang!$B$9,'2021 Korreksjoner'!$A$5:$AS$15,9)+VLOOKUP(Inngang!$B$9,'2021 Korreksjoner'!$A$5:$AS$15,16)+VLOOKUP(Inngang!$B$9,'2021 Korreksjoner'!$A$5:$AS$15,32))*100/'2021 Nto driftsutg landet'!C9-100</f>
        <v>#N/A</v>
      </c>
      <c r="E22" s="27" t="e">
        <f t="shared" ref="E22" si="2">+C22-D22</f>
        <v>#N/A</v>
      </c>
      <c r="F22" s="22" t="e">
        <f>('2021 Nto driftsutg landet'!$C$9*VLOOKUP(Inngang!$B$9,'2021 Inntektsnivå'!$A$5:$C$15,3)+VLOOKUP(Inngang!$B$9,'2021 Korreksjoner'!$A$5:$AS$15,9)+VLOOKUP(Inngang!$B$9,'2021 Korreksjoner'!$A$5:$AS$15,16)+VLOOKUP(Inngang!$B$9,'2021 Korreksjoner'!$A$5:$AS$15,32))*100/'2021 Nto driftsutg landet'!C9-100</f>
        <v>#N/A</v>
      </c>
      <c r="G22" s="22"/>
      <c r="H22" s="27" t="e">
        <f t="shared" ref="H22" si="3">+C22-F22</f>
        <v>#N/A</v>
      </c>
    </row>
    <row r="26" spans="2:11" x14ac:dyDescent="0.3">
      <c r="B26" s="7" t="s">
        <v>35</v>
      </c>
    </row>
    <row r="27" spans="2:11" x14ac:dyDescent="0.3">
      <c r="K27" s="5"/>
    </row>
    <row r="28" spans="2:11" ht="43.2" x14ac:dyDescent="0.3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  <c r="I28" s="116" t="s">
        <v>134</v>
      </c>
      <c r="J28" s="116"/>
    </row>
    <row r="29" spans="2:11" x14ac:dyDescent="0.3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11" x14ac:dyDescent="0.3">
      <c r="B30" s="83" t="s">
        <v>140</v>
      </c>
      <c r="C30" s="84" t="e">
        <f>SUM(C31:C35)</f>
        <v>#N/A</v>
      </c>
      <c r="D30" s="84" t="e">
        <f>SUM(D31:D35)</f>
        <v>#N/A</v>
      </c>
      <c r="E30" s="85" t="e">
        <f>SUM(E31:E35)</f>
        <v>#N/A</v>
      </c>
      <c r="F30" s="87" t="e">
        <f>SUM(F31:F35)</f>
        <v>#N/A</v>
      </c>
      <c r="G30" s="84"/>
      <c r="H30" s="86" t="e">
        <f>SUM(H31:H35)</f>
        <v>#N/A</v>
      </c>
      <c r="I30">
        <v>-300</v>
      </c>
      <c r="J30">
        <v>300</v>
      </c>
    </row>
    <row r="31" spans="2:11" x14ac:dyDescent="0.3">
      <c r="B31" s="32" t="s">
        <v>174</v>
      </c>
      <c r="C31" s="5" t="e">
        <f>VLOOKUP(Inngang!$B$9,'2021 Nto driftsutg eks avskriv'!$A$5:$T$15,4)*1000/VLOOKUP(Inngang!$B$9,'2021 Nto driftsutg'!$A$5:$W$15,23)</f>
        <v>#N/A</v>
      </c>
      <c r="D31" s="5" t="e">
        <f>+'2021 Nto driftsutg landet'!$C$5+VLOOKUP(Inngang!$B$9,'2021 Korreksjoner'!$A$5:$AS$15,5)+VLOOKUP(Inngang!$B$9,'2021 Korreksjoner'!$A$5:$I$15,3)+VLOOKUP(Inngang!$B$9,'2021 Korreksjoner'!$A$5:$AS$15,12)+VLOOKUP(Inngang!$B$9,'2021 Korreksjoner'!$A$5:$AS$15,28)</f>
        <v>#N/A</v>
      </c>
      <c r="E31" s="17" t="e">
        <f>+C31-D31</f>
        <v>#N/A</v>
      </c>
      <c r="F31" s="14" t="e">
        <f>+'2021 Nto driftsutg landet'!$C$5*VLOOKUP(Inngang!$B$9,'2021 Inntektsnivå'!$A$5:$C$15,3)+VLOOKUP(Inngang!$B$9,'2021 Korreksjoner'!$A$5:$AS$15,5)+VLOOKUP(Inngang!$B$9,'2021 Korreksjoner'!$A$5:$I$15,3)+VLOOKUP(Inngang!$B$9,'2021 Korreksjoner'!$A$5:$AS$15,12)+VLOOKUP(Inngang!$B$9,'2021 Korreksjoner'!$A$5:$AS$15,28)</f>
        <v>#N/A</v>
      </c>
      <c r="G31" s="5"/>
      <c r="H31" s="16" t="e">
        <f>IF(F34=G34,C31-F31,(C31-F31)-(G34-F34)*C31/C30)</f>
        <v>#N/A</v>
      </c>
      <c r="I31">
        <v>-300</v>
      </c>
      <c r="J31">
        <v>300</v>
      </c>
    </row>
    <row r="32" spans="2:11" x14ac:dyDescent="0.3">
      <c r="B32" s="32" t="s">
        <v>175</v>
      </c>
      <c r="C32" s="5" t="e">
        <f>VLOOKUP(Inngang!$B$9,'2021 Nto driftsutg eks avskriv'!$A$5:$T$15,5)*1000/VLOOKUP(Inngang!$B$9,'2021 Nto driftsutg'!$A$5:$W$15,23)</f>
        <v>#N/A</v>
      </c>
      <c r="D32" s="5" t="e">
        <f>+'2021 Nto driftsutg landet'!$C$6+VLOOKUP(Inngang!$B$9,'2021 Korreksjoner'!$A$5:$AS$15,6)+VLOOKUP(Inngang!$B$9,'2021 Korreksjoner'!$A$5:$AS$15,13)+VLOOKUP(Inngang!$B$9,'2021 Korreksjoner'!$A$5:$AS$15,29)</f>
        <v>#N/A</v>
      </c>
      <c r="E32" s="17" t="e">
        <f>+C32-D32</f>
        <v>#N/A</v>
      </c>
      <c r="F32" s="14" t="e">
        <f>+'2021 Nto driftsutg landet'!$C$6*VLOOKUP(Inngang!$B$9,'2021 Inntektsnivå'!$A$5:$C$15,3)+VLOOKUP(Inngang!$B$9,'2021 Korreksjoner'!$A$5:$AS$15,6)+VLOOKUP(Inngang!$B$9,'2021 Korreksjoner'!$A$5:$AS$15,13)+VLOOKUP(Inngang!$B$9,'2021 Korreksjoner'!$A$5:$AS$15,29)</f>
        <v>#N/A</v>
      </c>
      <c r="G32" s="5"/>
      <c r="H32" s="16" t="e">
        <f>IF(F34=G34,C32-F32,(C32-F32)-(G34-F34)*C32/C30)</f>
        <v>#N/A</v>
      </c>
      <c r="I32">
        <v>-300</v>
      </c>
      <c r="J32">
        <v>300</v>
      </c>
    </row>
    <row r="33" spans="2:10" x14ac:dyDescent="0.3">
      <c r="B33" s="32" t="s">
        <v>278</v>
      </c>
      <c r="C33" s="5" t="e">
        <f>VLOOKUP(Inngang!$B$9,'2021 Nto driftsutg eks avskriv'!$A$5:$T$15,6)*1000/VLOOKUP(Inngang!$B$9,'2021 Nto driftsutg'!$A$5:$W$15,23)</f>
        <v>#N/A</v>
      </c>
      <c r="D33" s="5" t="e">
        <f>+'2021 Nto driftsutg landet'!$C$7+VLOOKUP(Inngang!$B$9,'2021 Korreksjoner'!$A$5:$AS$15,7)+VLOOKUP(Inngang!$B$9,'2021 Korreksjoner'!$A$5:$AS$15,14)+VLOOKUP(Inngang!$B$9,'2021 Korreksjoner'!$A$5:$AS$15,30)</f>
        <v>#N/A</v>
      </c>
      <c r="E33" s="17" t="e">
        <f>+C33-D33</f>
        <v>#N/A</v>
      </c>
      <c r="F33" s="14" t="e">
        <f>+'2021 Nto driftsutg landet'!$C$7*VLOOKUP(Inngang!$B$9,'2021 Inntektsnivå'!$A$5:$C$15,3)+VLOOKUP(Inngang!$B$9,'2021 Korreksjoner'!$A$5:$AS$15,7)+VLOOKUP(Inngang!$B$9,'2021 Korreksjoner'!$A$5:$AS$15,14)+VLOOKUP(Inngang!$B$9,'2021 Korreksjoner'!$A$5:$AS$15,30)</f>
        <v>#N/A</v>
      </c>
      <c r="G33" s="5"/>
      <c r="H33" s="16" t="e">
        <f>IF(F34=G34,C33-F33,(C33-F33)-(G34-F34)*(C33+C34)/C30)</f>
        <v>#N/A</v>
      </c>
      <c r="I33">
        <v>-300</v>
      </c>
      <c r="J33">
        <v>300</v>
      </c>
    </row>
    <row r="34" spans="2:10" x14ac:dyDescent="0.3">
      <c r="B34" s="32" t="s">
        <v>279</v>
      </c>
      <c r="C34" s="5" t="e">
        <f>VLOOKUP(Inngang!$B$9,'2021 Nto driftsutg eks avskriv'!$A$5:$T$15,7)*1000/VLOOKUP(Inngang!$B$9,'2021 Nto driftsutg'!$A$5:$W$15,23)</f>
        <v>#N/A</v>
      </c>
      <c r="D34" s="5" t="e">
        <f>+'2021 Nto driftsutg landet'!$C$8+VLOOKUP(Inngang!$B$9,'2021 Korreksjoner'!$A$5:$AS$15,8)+VLOOKUP(Inngang!$B$9,'2021 Korreksjoner'!$A$5:$AS$15,15)+VLOOKUP(Inngang!$B$9,'2021 Korreksjoner'!$A$5:$AS$15,31)</f>
        <v>#N/A</v>
      </c>
      <c r="E34" s="17" t="e">
        <f>+C34-D34</f>
        <v>#N/A</v>
      </c>
      <c r="F34" s="14" t="e">
        <f>IF(AND(C34&gt;=0.5,D34&gt;0),IF(G34&lt;5,C34,G34),0)</f>
        <v>#N/A</v>
      </c>
      <c r="G34" s="5" t="e">
        <f>+'2021 Nto driftsutg landet'!$C$8*VLOOKUP(Inngang!$B$9,'2021 Inntektsnivå'!$A$5:$C$15,3)+VLOOKUP(Inngang!$B$9,'2021 Korreksjoner'!$A$5:$AS$15,8)+VLOOKUP(Inngang!$B$9,'2021 Korreksjoner'!$A$5:$AS$15,15)+VLOOKUP(Inngang!$B$9,'2021 Korreksjoner'!$A$5:$AS$15,31)</f>
        <v>#N/A</v>
      </c>
      <c r="H34" s="16" t="e">
        <f>+C34-F34</f>
        <v>#N/A</v>
      </c>
      <c r="I34">
        <v>-300</v>
      </c>
      <c r="J34">
        <v>300</v>
      </c>
    </row>
    <row r="35" spans="2:10" x14ac:dyDescent="0.3">
      <c r="B35" s="33" t="s">
        <v>176</v>
      </c>
      <c r="C35" s="22" t="e">
        <f>VLOOKUP(Inngang!$B$9,'2021 Nto driftsutg eks avskriv'!$A$5:$T$15,8)*1000/VLOOKUP(Inngang!$B$9,'2021 Nto driftsutg'!$A$5:$W$15,23)</f>
        <v>#N/A</v>
      </c>
      <c r="D35" s="22" t="e">
        <f>+'2021 Nto driftsutg landet'!$C$9+VLOOKUP(Inngang!$B$9,'2021 Korreksjoner'!$A$5:$AS$15,9)+VLOOKUP(Inngang!$B$9,'2021 Korreksjoner'!$A$5:$AS$15,16)+VLOOKUP(Inngang!$B$9,'2021 Korreksjoner'!$A$5:$AS$15,32)</f>
        <v>#N/A</v>
      </c>
      <c r="E35" s="40" t="e">
        <f t="shared" ref="E35:E39" si="4">+C35-D35</f>
        <v>#N/A</v>
      </c>
      <c r="F35" s="26" t="e">
        <f>+'2021 Nto driftsutg landet'!$C$9*VLOOKUP(Inngang!$B$9,'2021 Inntektsnivå'!$A$5:$C$15,3)+VLOOKUP(Inngang!$B$9,'2021 Korreksjoner'!$A$5:$AS$15,9)+VLOOKUP(Inngang!$B$9,'2021 Korreksjoner'!$A$5:$AS$15,16)+VLOOKUP(Inngang!$B$9,'2021 Korreksjoner'!$A$5:$AS$15,32)</f>
        <v>#N/A</v>
      </c>
      <c r="G35" s="22"/>
      <c r="H35" s="27" t="e">
        <f>IF(F34=G34,C35-F35,(C35-F35)-(G34-F34)*C35/C30)</f>
        <v>#N/A</v>
      </c>
      <c r="I35">
        <v>-300</v>
      </c>
      <c r="J35">
        <v>300</v>
      </c>
    </row>
    <row r="36" spans="2:10" x14ac:dyDescent="0.3">
      <c r="B36" s="32" t="s">
        <v>272</v>
      </c>
      <c r="C36" s="5" t="e">
        <f>VLOOKUP(Inngang!$B$9,'2021 Nto driftsutg eks avskriv'!$A$5:$T$15,9)*1000/VLOOKUP(Inngang!$B$9,'2021 Nto driftsutg'!$A$5:$W$15,23)</f>
        <v>#N/A</v>
      </c>
      <c r="D36" s="5" t="e">
        <f>'2021 Nto driftsutg landet'!$C$13+VLOOKUP(Inngang!$B$9,'2021 Korreksjoner'!$A$5:$AS$15,17)+VLOOKUP(Inngang!$B$9,'2021 Korreksjoner'!$A$5:$AS$15,33)+VLOOKUP(Inngang!$B$9,'2021 Korreksjoner'!$A$5:$AW$15,46)</f>
        <v>#N/A</v>
      </c>
      <c r="E36" s="17" t="e">
        <f t="shared" si="4"/>
        <v>#N/A</v>
      </c>
      <c r="F36" s="14" t="e">
        <f>+'2021 Nto driftsutg landet'!$C$13*VLOOKUP(Inngang!$B$9,'2021 Inntektsnivå'!$A$5:$C$15,3)+VLOOKUP(Inngang!$B$9,'2021 Korreksjoner'!$A$5:$AS$15,17)+VLOOKUP(Inngang!$B$9,'2021 Korreksjoner'!$A$5:$AS$15,33)+VLOOKUP(Inngang!$B$9,'2021 Korreksjoner'!$A$5:$AV$15,46)</f>
        <v>#N/A</v>
      </c>
      <c r="G36" s="5"/>
      <c r="H36" s="16" t="e">
        <f>+C36-F36</f>
        <v>#N/A</v>
      </c>
      <c r="I36">
        <v>-300</v>
      </c>
      <c r="J36">
        <v>300</v>
      </c>
    </row>
    <row r="37" spans="2:10" x14ac:dyDescent="0.3">
      <c r="B37" s="32" t="s">
        <v>27</v>
      </c>
      <c r="C37" s="5" t="e">
        <f>VLOOKUP(Inngang!$B$9,'2021 Nto driftsutg eks avskriv'!$A$5:$T$15,18)*1000/VLOOKUP(Inngang!$B$9,'2021 Nto driftsutg'!$A$5:$W$15,23)</f>
        <v>#N/A</v>
      </c>
      <c r="D37" s="5" t="e">
        <f>'2021 Nto driftsutg landet'!$C$14+VLOOKUP(Inngang!$B$9,'2021 Korreksjoner'!$A$5:$AX$15,44)</f>
        <v>#N/A</v>
      </c>
      <c r="E37" s="17" t="e">
        <f t="shared" si="4"/>
        <v>#N/A</v>
      </c>
      <c r="F37" s="14" t="e">
        <f>+'2021 Nto driftsutg landet'!$C$14*VLOOKUP(Inngang!$B$9,'2021 Inntektsnivå'!$A$5:$C$15,3)+VLOOKUP(Inngang!$B$9,'2021 Korreksjoner'!$A$5:$AX$15,44)</f>
        <v>#N/A</v>
      </c>
      <c r="G37" s="5"/>
      <c r="H37" s="16" t="e">
        <f>+C37-F37</f>
        <v>#N/A</v>
      </c>
      <c r="I37">
        <v>-300</v>
      </c>
      <c r="J37">
        <v>300</v>
      </c>
    </row>
    <row r="38" spans="2:10" x14ac:dyDescent="0.3">
      <c r="B38" s="32" t="s">
        <v>24</v>
      </c>
      <c r="C38" s="5" t="e">
        <f>VLOOKUP(Inngang!$B$9,'2021 Nto driftsutg eks avskriv'!$A$5:$T$15,19)*1000/VLOOKUP(Inngang!$B$9,'2021 Nto driftsutg'!$A$5:$W$15,23)</f>
        <v>#N/A</v>
      </c>
      <c r="D38" s="93">
        <f>'2021 Nto driftsutg landet'!$C$15</f>
        <v>732.95448988877308</v>
      </c>
      <c r="E38" s="94" t="e">
        <f t="shared" si="4"/>
        <v>#N/A</v>
      </c>
      <c r="F38" s="95" t="e">
        <f>+'2021 Nto driftsutg landet'!$C$15*VLOOKUP(Inngang!$B$9,'2021 Inntektsnivå'!$A$5:$C$15,3)</f>
        <v>#N/A</v>
      </c>
      <c r="G38" s="93"/>
      <c r="H38" s="96" t="e">
        <f>+C38-F38</f>
        <v>#N/A</v>
      </c>
      <c r="I38">
        <v>-300</v>
      </c>
      <c r="J38">
        <v>300</v>
      </c>
    </row>
    <row r="39" spans="2:10" x14ac:dyDescent="0.3">
      <c r="B39" s="33" t="s">
        <v>25</v>
      </c>
      <c r="C39" s="22" t="e">
        <f>VLOOKUP(Inngang!$B$9,'2021 Nto driftsutg eks avskriv'!$A$5:$T$15,20)*1000/VLOOKUP(Inngang!$B$9,'2021 Nto driftsutg'!$A$5:$W$15,23)</f>
        <v>#N/A</v>
      </c>
      <c r="D39" s="97">
        <f>'2021 Nto driftsutg landet'!$C$16</f>
        <v>1436.8879182557412</v>
      </c>
      <c r="E39" s="98" t="e">
        <f t="shared" si="4"/>
        <v>#N/A</v>
      </c>
      <c r="F39" s="99" t="e">
        <f>+'2021 Nto driftsutg landet'!$C$16*VLOOKUP(Inngang!$B$9,'2021 Inntektsnivå'!$A$5:$C$15,3)</f>
        <v>#N/A</v>
      </c>
      <c r="G39" s="93"/>
      <c r="H39" s="96" t="e">
        <f>+C39-F39</f>
        <v>#N/A</v>
      </c>
      <c r="I39">
        <v>-300</v>
      </c>
      <c r="J39">
        <v>300</v>
      </c>
    </row>
    <row r="40" spans="2:10" x14ac:dyDescent="0.3">
      <c r="B40" s="28" t="s">
        <v>18</v>
      </c>
      <c r="C40" s="29" t="e">
        <f>SUM(C31:C39)</f>
        <v>#N/A</v>
      </c>
      <c r="D40" s="30" t="e">
        <f>SUM(D31:D39)</f>
        <v>#N/A</v>
      </c>
      <c r="E40" s="31" t="e">
        <f>SUM(E31:E39)</f>
        <v>#N/A</v>
      </c>
      <c r="F40" s="29" t="e">
        <f>SUM(F31:F39)</f>
        <v>#N/A</v>
      </c>
      <c r="G40" s="30"/>
      <c r="H40" s="34" t="e">
        <f>SUM(H31:H39)</f>
        <v>#N/A</v>
      </c>
    </row>
    <row r="41" spans="2:10" x14ac:dyDescent="0.3">
      <c r="C41" s="5"/>
      <c r="D41" s="5"/>
    </row>
    <row r="43" spans="2:10" x14ac:dyDescent="0.3">
      <c r="B43" s="7" t="s">
        <v>36</v>
      </c>
    </row>
    <row r="45" spans="2:10" ht="43.2" x14ac:dyDescent="0.3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  <c r="I45" s="116" t="s">
        <v>134</v>
      </c>
      <c r="J45" s="116"/>
    </row>
    <row r="46" spans="2:10" x14ac:dyDescent="0.3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10" x14ac:dyDescent="0.3">
      <c r="B47" s="83" t="s">
        <v>137</v>
      </c>
      <c r="C47" s="84" t="e">
        <f>SUM(C48:C53)</f>
        <v>#N/A</v>
      </c>
      <c r="D47" s="84" t="e">
        <f>SUM(D48:D53)</f>
        <v>#N/A</v>
      </c>
      <c r="E47" s="88" t="e">
        <f>SUM(E48:E53)</f>
        <v>#N/A</v>
      </c>
      <c r="F47" s="89" t="e">
        <f>SUM(F48:F53)</f>
        <v>#N/A</v>
      </c>
      <c r="G47" s="84"/>
      <c r="H47" s="90" t="e">
        <f>SUM(H48:H53)</f>
        <v>#N/A</v>
      </c>
      <c r="I47">
        <v>-300</v>
      </c>
      <c r="J47">
        <v>300</v>
      </c>
    </row>
    <row r="48" spans="2:10" x14ac:dyDescent="0.3">
      <c r="B48" s="32" t="s">
        <v>4</v>
      </c>
      <c r="C48" s="5" t="e">
        <f>VLOOKUP(Inngang!$B$9,'2021 Nto driftsutg eks avskriv'!$A$5:$T$15,11)*1000/VLOOKUP(Inngang!$B$9,'2021 Nto driftsutg'!$A$5:$W$15,23)</f>
        <v>#N/A</v>
      </c>
      <c r="D48" s="5" t="e">
        <f>'2021 Nto driftsutg eks avskriv'!K$17*1000/'2021 Nto driftsutg'!$W$17+VLOOKUP(Inngang!$B$9,'2021 Korreksjoner'!$A$5:$AS$15,19)+VLOOKUP(Inngang!$B$9,'2021 Korreksjoner'!$A$5:$AS$15,35)</f>
        <v>#N/A</v>
      </c>
      <c r="E48" s="17" t="e">
        <f t="shared" ref="E48:E53" si="5">+C48-D48</f>
        <v>#N/A</v>
      </c>
      <c r="F48" s="14" t="e">
        <f>+'2021 Nto driftsutg landet'!$C$23*VLOOKUP(Inngang!$B$9,'2021 Inntektsnivå'!$A$5:$C$15,3)+VLOOKUP(Inngang!$B$9,'2021 Korreksjoner'!$A$5:$AS$15,19)+VLOOKUP(Inngang!$B$9,'2021 Korreksjoner'!$A$5:$AS$15,35)</f>
        <v>#N/A</v>
      </c>
      <c r="G48" s="5"/>
      <c r="H48" s="16" t="e">
        <f t="shared" ref="H48:H53" si="6">+C48-F48</f>
        <v>#N/A</v>
      </c>
      <c r="I48">
        <v>-300</v>
      </c>
      <c r="J48">
        <v>300</v>
      </c>
    </row>
    <row r="49" spans="2:10" x14ac:dyDescent="0.3">
      <c r="B49" s="32" t="s">
        <v>271</v>
      </c>
      <c r="C49" s="5" t="e">
        <f>VLOOKUP(Inngang!$B$9,'2021 Nto driftsutg eks avskriv'!$A$5:$T$15,12)*1000/VLOOKUP(Inngang!$B$9,'2021 Nto driftsutg'!$A$5:$W$15,23)</f>
        <v>#N/A</v>
      </c>
      <c r="D49" s="5" t="e">
        <f>'2021 Nto driftsutg eks avskriv'!L$17*1000/'2021 Nto driftsutg'!$W$17+VLOOKUP(Inngang!$B$9,'2021 Korreksjoner'!$A$5:$AS$15,20)+VLOOKUP(Inngang!$B$9,'2021 Korreksjoner'!$A$5:$AS$15,36)</f>
        <v>#N/A</v>
      </c>
      <c r="E49" s="17" t="e">
        <f t="shared" si="5"/>
        <v>#N/A</v>
      </c>
      <c r="F49" s="14" t="e">
        <f>+'2021 Nto driftsutg landet'!$C$24*VLOOKUP(Inngang!$B$9,'2021 Inntektsnivå'!$A$5:$C$15,3)+VLOOKUP(Inngang!$B$9,'2021 Korreksjoner'!$A$5:$AS$15,20)+VLOOKUP(Inngang!$B$9,'2021 Korreksjoner'!$A$5:$AS$15,36)</f>
        <v>#N/A</v>
      </c>
      <c r="G49" s="5"/>
      <c r="H49" s="16" t="e">
        <f t="shared" si="6"/>
        <v>#N/A</v>
      </c>
      <c r="I49">
        <v>-300</v>
      </c>
      <c r="J49">
        <v>300</v>
      </c>
    </row>
    <row r="50" spans="2:10" x14ac:dyDescent="0.3">
      <c r="B50" s="32" t="s">
        <v>37</v>
      </c>
      <c r="C50" s="5" t="e">
        <f>VLOOKUP(Inngang!$B$9,'2021 Nto driftsutg eks avskriv'!$A$5:$T$15,13)*1000/VLOOKUP(Inngang!$B$9,'2021 Nto driftsutg'!$A$5:$W$15,23)</f>
        <v>#N/A</v>
      </c>
      <c r="D50" s="5" t="e">
        <f>'2021 Nto driftsutg eks avskriv'!M$17*1000/'2021 Nto driftsutg'!$W$17+VLOOKUP(Inngang!$B$9,'2021 Korreksjoner'!$A$5:$AS$15,21)+VLOOKUP(Inngang!$B$9,'2021 Korreksjoner'!$A$5:$AS$15,37)</f>
        <v>#N/A</v>
      </c>
      <c r="E50" s="17" t="e">
        <f t="shared" si="5"/>
        <v>#N/A</v>
      </c>
      <c r="F50" s="14" t="e">
        <f>+'2021 Nto driftsutg landet'!$C$25*VLOOKUP(Inngang!$B$9,'2021 Inntektsnivå'!$A$5:$C$15,3)+VLOOKUP(Inngang!$B$9,'2021 Korreksjoner'!$A$5:$AS$15,21)+VLOOKUP(Inngang!$B$9,'2021 Korreksjoner'!$A$5:$AS$15,37)</f>
        <v>#N/A</v>
      </c>
      <c r="G50" s="5"/>
      <c r="H50" s="16" t="e">
        <f t="shared" si="6"/>
        <v>#N/A</v>
      </c>
      <c r="I50">
        <v>-300</v>
      </c>
      <c r="J50">
        <v>300</v>
      </c>
    </row>
    <row r="51" spans="2:10" x14ac:dyDescent="0.3">
      <c r="B51" s="32" t="s">
        <v>178</v>
      </c>
      <c r="C51" s="5" t="e">
        <f>VLOOKUP(Inngang!$B$9,'2021 Nto driftsutg eks avskriv'!$A$5:$T$15,14)*1000/VLOOKUP(Inngang!$B$9,'2021 Nto driftsutg'!$A$5:$W$15,23)</f>
        <v>#N/A</v>
      </c>
      <c r="D51" s="5" t="e">
        <f>'2021 Nto driftsutg eks avskriv'!N$17*1000/'2021 Nto driftsutg'!$W$17+VLOOKUP(Inngang!$B$9,'2021 Korreksjoner'!$A$5:$AS$15,22)+VLOOKUP(Inngang!$B$9,'2021 Korreksjoner'!$A$5:$AS$15,38)</f>
        <v>#N/A</v>
      </c>
      <c r="E51" s="17" t="e">
        <f t="shared" si="5"/>
        <v>#N/A</v>
      </c>
      <c r="F51" s="14" t="e">
        <f>+'2021 Nto driftsutg landet'!$C$26*VLOOKUP(Inngang!$B$9,'2021 Inntektsnivå'!$A$5:$C$15,3)+VLOOKUP(Inngang!$B$9,'2021 Korreksjoner'!$A$5:$AS$15,22)+VLOOKUP(Inngang!$B$9,'2021 Korreksjoner'!$A$5:$AS$15,38)</f>
        <v>#N/A</v>
      </c>
      <c r="G51" s="5"/>
      <c r="H51" s="16" t="e">
        <f t="shared" si="6"/>
        <v>#N/A</v>
      </c>
      <c r="I51">
        <v>-300</v>
      </c>
      <c r="J51">
        <v>300</v>
      </c>
    </row>
    <row r="52" spans="2:10" x14ac:dyDescent="0.3">
      <c r="B52" s="32" t="s">
        <v>138</v>
      </c>
      <c r="C52" s="5" t="e">
        <f>VLOOKUP(Inngang!$B$9,'2021 Nto driftsutg eks avskriv'!$A$5:$T$15,15)*1000/VLOOKUP(Inngang!$B$9,'2021 Nto driftsutg'!$A$5:$W$15,23)</f>
        <v>#N/A</v>
      </c>
      <c r="D52" s="5" t="e">
        <f>'2021 Nto driftsutg eks avskriv'!O17*1000/'2021 Nto driftsutg'!$W$17+VLOOKUP(Inngang!$B$9,'2021 Korreksjoner'!$A$5:$AS$15,23)+VLOOKUP(Inngang!$B$9,'2021 Korreksjoner'!$A$5:$AS$15,39)</f>
        <v>#N/A</v>
      </c>
      <c r="E52" s="17" t="e">
        <f t="shared" si="5"/>
        <v>#N/A</v>
      </c>
      <c r="F52" s="14" t="e">
        <f>'2021 Nto driftsutg landet'!$C$27*VLOOKUP(Inngang!$B$9,'2021 Inntektsnivå'!$A$5:$C$15,3)+VLOOKUP(Inngang!$B$9,'2021 Korreksjoner'!$A$5:$AS$15,23)+VLOOKUP(Inngang!$B$9,'2021 Korreksjoner'!$A$5:$AS$15,39)</f>
        <v>#N/A</v>
      </c>
      <c r="G52" s="5"/>
      <c r="H52" s="16" t="e">
        <f t="shared" si="6"/>
        <v>#N/A</v>
      </c>
      <c r="I52">
        <v>-300</v>
      </c>
      <c r="J52">
        <v>300</v>
      </c>
    </row>
    <row r="53" spans="2:10" x14ac:dyDescent="0.3">
      <c r="B53" s="61" t="s">
        <v>129</v>
      </c>
      <c r="C53" s="22" t="e">
        <f>VLOOKUP(Inngang!$B$9,'2021 Nto driftsutg eks avskriv'!$A$5:$T$15,16)*1000/VLOOKUP(Inngang!$B$9,'2021 Nto driftsutg'!$A$5:$W$15,23)</f>
        <v>#N/A</v>
      </c>
      <c r="D53" s="22" t="e">
        <f>'2021 Nto driftsutg eks avskriv'!P17*1000/'2021 Nto driftsutg'!$W$17+VLOOKUP(Inngang!$B$9,'2021 Korreksjoner'!$A$5:$AS$15,24)+VLOOKUP(Inngang!$B$9,'2021 Korreksjoner'!$A$5:$AS$15,40)</f>
        <v>#N/A</v>
      </c>
      <c r="E53" s="40" t="e">
        <f t="shared" si="5"/>
        <v>#N/A</v>
      </c>
      <c r="F53" s="26" t="e">
        <f>'2021 Nto driftsutg landet'!$C$28*VLOOKUP(Inngang!$B$9,'2021 Inntektsnivå'!$A$5:$C$15,3)+VLOOKUP(Inngang!$B$9,'2021 Korreksjoner'!$A$5:$AS$15,24)+VLOOKUP(Inngang!$B$9,'2021 Korreksjoner'!$A$5:$AS$15,40)</f>
        <v>#N/A</v>
      </c>
      <c r="G53" s="22"/>
      <c r="H53" s="27" t="e">
        <f t="shared" si="6"/>
        <v>#N/A</v>
      </c>
      <c r="I53">
        <v>-300</v>
      </c>
      <c r="J53">
        <v>300</v>
      </c>
    </row>
    <row r="54" spans="2:10" x14ac:dyDescent="0.3">
      <c r="B54" s="28" t="s">
        <v>137</v>
      </c>
      <c r="C54" s="30" t="e">
        <f>SUM(C48:C53)</f>
        <v>#N/A</v>
      </c>
      <c r="D54" s="30" t="e">
        <f>SUM(D48:D53)</f>
        <v>#N/A</v>
      </c>
      <c r="E54" s="31" t="e">
        <f>SUM(E48:E53)</f>
        <v>#N/A</v>
      </c>
      <c r="F54" s="29" t="e">
        <f>SUM(F48:F53)</f>
        <v>#N/A</v>
      </c>
      <c r="G54" s="30"/>
      <c r="H54" s="34" t="e">
        <f>SUM(H48:H53)</f>
        <v>#N/A</v>
      </c>
    </row>
    <row r="58" spans="2:10" x14ac:dyDescent="0.3">
      <c r="B58" s="38" t="s">
        <v>128</v>
      </c>
      <c r="C58" s="20" t="s">
        <v>274</v>
      </c>
      <c r="D58" s="67" t="s">
        <v>3</v>
      </c>
    </row>
    <row r="59" spans="2:10" x14ac:dyDescent="0.3">
      <c r="B59" s="62" t="s">
        <v>174</v>
      </c>
      <c r="C59" s="70" t="e">
        <f>VLOOKUP(Inngang!$B$9,'2021 Revekting utgiftsbehov'!$A$5:$I$15,4)</f>
        <v>#N/A</v>
      </c>
      <c r="D59" s="68">
        <v>1</v>
      </c>
    </row>
    <row r="60" spans="2:10" x14ac:dyDescent="0.3">
      <c r="B60" s="62" t="s">
        <v>175</v>
      </c>
      <c r="C60" s="70" t="e">
        <f>VLOOKUP(Inngang!$B$9,'2021 Revekting utgiftsbehov'!$A$5:$I$15,5)</f>
        <v>#N/A</v>
      </c>
      <c r="D60" s="68">
        <v>1</v>
      </c>
    </row>
    <row r="61" spans="2:10" x14ac:dyDescent="0.3">
      <c r="B61" s="62" t="s">
        <v>278</v>
      </c>
      <c r="C61" s="70" t="e">
        <f>VLOOKUP(Inngang!$B$9,'2021 Revekting utgiftsbehov'!$A$5:$I$15,6)</f>
        <v>#N/A</v>
      </c>
      <c r="D61" s="68">
        <v>1</v>
      </c>
    </row>
    <row r="62" spans="2:10" x14ac:dyDescent="0.3">
      <c r="B62" s="62" t="s">
        <v>279</v>
      </c>
      <c r="C62" s="70" t="e">
        <f>VLOOKUP(Inngang!$B$9,'2021 Revekting utgiftsbehov'!$A$5:$I$15,7)</f>
        <v>#N/A</v>
      </c>
      <c r="D62" s="68">
        <v>1</v>
      </c>
    </row>
    <row r="63" spans="2:10" x14ac:dyDescent="0.3">
      <c r="B63" s="63" t="s">
        <v>176</v>
      </c>
      <c r="C63" s="71" t="e">
        <f>VLOOKUP(Inngang!$B$9,'2021 Revekting utgiftsbehov'!$A$5:$I$15,8)</f>
        <v>#N/A</v>
      </c>
      <c r="D63" s="69">
        <v>1</v>
      </c>
    </row>
    <row r="64" spans="2:10" x14ac:dyDescent="0.3">
      <c r="B64" s="80" t="s">
        <v>133</v>
      </c>
      <c r="C64" s="81" t="e">
        <f>+VLOOKUP(Inngang!$B$9,'2021 Revekting utgiftsbehov'!$A$5:$I$15,9)</f>
        <v>#N/A</v>
      </c>
      <c r="D64" s="82">
        <v>1</v>
      </c>
    </row>
    <row r="68" spans="2:4" ht="28.8" x14ac:dyDescent="0.3">
      <c r="B68" s="73" t="s">
        <v>130</v>
      </c>
      <c r="C68" s="76" t="s">
        <v>275</v>
      </c>
      <c r="D68" s="76" t="s">
        <v>276</v>
      </c>
    </row>
    <row r="69" spans="2:4" x14ac:dyDescent="0.3">
      <c r="B69" s="32" t="s">
        <v>139</v>
      </c>
      <c r="C69" s="74" t="e">
        <f>SUM(C70:C78)</f>
        <v>#N/A</v>
      </c>
    </row>
    <row r="70" spans="2:4" x14ac:dyDescent="0.3">
      <c r="B70" s="32" t="s">
        <v>174</v>
      </c>
      <c r="C70" s="74" t="e">
        <f>+C31-'2021 Nto driftsutg landet'!$C5</f>
        <v>#N/A</v>
      </c>
    </row>
    <row r="71" spans="2:4" x14ac:dyDescent="0.3">
      <c r="B71" s="32" t="s">
        <v>175</v>
      </c>
      <c r="C71" s="74" t="e">
        <f>+C32-'2021 Nto driftsutg landet'!$C6</f>
        <v>#N/A</v>
      </c>
    </row>
    <row r="72" spans="2:4" x14ac:dyDescent="0.3">
      <c r="B72" s="32" t="s">
        <v>278</v>
      </c>
      <c r="C72" s="74" t="e">
        <f>+C33-'2021 Nto driftsutg landet'!$C7</f>
        <v>#N/A</v>
      </c>
    </row>
    <row r="73" spans="2:4" x14ac:dyDescent="0.3">
      <c r="B73" s="32" t="s">
        <v>279</v>
      </c>
      <c r="C73" s="74" t="e">
        <f>+C34-'2021 Nto driftsutg landet'!$C8</f>
        <v>#N/A</v>
      </c>
    </row>
    <row r="74" spans="2:4" x14ac:dyDescent="0.3">
      <c r="B74" s="32" t="s">
        <v>176</v>
      </c>
      <c r="C74" s="74" t="e">
        <f>+C35-'2021 Nto driftsutg landet'!$C9</f>
        <v>#N/A</v>
      </c>
    </row>
    <row r="75" spans="2:4" x14ac:dyDescent="0.3">
      <c r="B75" s="32" t="s">
        <v>127</v>
      </c>
      <c r="C75" s="74" t="e">
        <f>+C36-'2021 Nto driftsutg landet'!$C13</f>
        <v>#N/A</v>
      </c>
    </row>
    <row r="76" spans="2:4" x14ac:dyDescent="0.3">
      <c r="B76" s="32" t="s">
        <v>27</v>
      </c>
      <c r="C76" s="74" t="e">
        <f>+C37-'2021 Nto driftsutg landet'!$C14</f>
        <v>#N/A</v>
      </c>
    </row>
    <row r="77" spans="2:4" x14ac:dyDescent="0.3">
      <c r="B77" s="32" t="s">
        <v>24</v>
      </c>
      <c r="C77" s="74" t="e">
        <f>+C38-'2021 Nto driftsutg landet'!$C15</f>
        <v>#N/A</v>
      </c>
    </row>
    <row r="78" spans="2:4" x14ac:dyDescent="0.3">
      <c r="B78" s="33" t="s">
        <v>25</v>
      </c>
      <c r="C78" s="75" t="e">
        <f>+C39-'2021 Nto driftsutg landet'!$C16</f>
        <v>#N/A</v>
      </c>
    </row>
  </sheetData>
  <sheetProtection password="F91D" sheet="1" objects="1" scenarios="1" selectLockedCells="1" selectUnlockedCells="1"/>
  <mergeCells count="2">
    <mergeCell ref="I28:J28"/>
    <mergeCell ref="I45:J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B1:I80"/>
  <sheetViews>
    <sheetView showGridLines="0" workbookViewId="0"/>
  </sheetViews>
  <sheetFormatPr baseColWidth="10" defaultRowHeight="14.4" x14ac:dyDescent="0.3"/>
  <cols>
    <col min="2" max="2" width="39.5546875" customWidth="1"/>
    <col min="3" max="3" width="17.44140625" customWidth="1"/>
    <col min="4" max="4" width="24" customWidth="1"/>
    <col min="5" max="5" width="24.5546875" customWidth="1"/>
    <col min="6" max="6" width="22.88671875" customWidth="1"/>
    <col min="7" max="7" width="8.88671875" customWidth="1"/>
    <col min="8" max="8" width="30.5546875" customWidth="1"/>
    <col min="9" max="9" width="16.5546875" bestFit="1" customWidth="1"/>
  </cols>
  <sheetData>
    <row r="1" spans="2:8" ht="33" customHeight="1" x14ac:dyDescent="0.5">
      <c r="B1" s="79" t="str">
        <f>+Inngang!C11</f>
        <v/>
      </c>
      <c r="C1" s="106"/>
    </row>
    <row r="3" spans="2:8" x14ac:dyDescent="0.3">
      <c r="B3" s="7" t="s">
        <v>52</v>
      </c>
    </row>
    <row r="4" spans="2:8" x14ac:dyDescent="0.3">
      <c r="B4" s="7"/>
    </row>
    <row r="5" spans="2:8" ht="43.2" x14ac:dyDescent="0.3">
      <c r="B5" s="38"/>
      <c r="C5" s="18" t="s">
        <v>315</v>
      </c>
      <c r="D5" s="18" t="s">
        <v>131</v>
      </c>
    </row>
    <row r="6" spans="2:8" x14ac:dyDescent="0.3">
      <c r="B6" s="39"/>
      <c r="C6" s="37" t="s">
        <v>40</v>
      </c>
      <c r="D6" s="37" t="s">
        <v>40</v>
      </c>
    </row>
    <row r="7" spans="2:8" x14ac:dyDescent="0.3">
      <c r="B7" s="62" t="s">
        <v>139</v>
      </c>
      <c r="C7" s="64" t="e">
        <f>VLOOKUP(Inngang!$B$11,'2021 Inntektsnivå'!A5:D15,4)</f>
        <v>#N/A</v>
      </c>
      <c r="D7" s="101"/>
    </row>
    <row r="8" spans="2:8" x14ac:dyDescent="0.3">
      <c r="B8" s="62" t="s">
        <v>273</v>
      </c>
      <c r="C8" s="65" t="e">
        <f>+E31+E32+E33+E34+E35</f>
        <v>#N/A</v>
      </c>
      <c r="D8" s="74" t="e">
        <f>H31+H32+H33+H34+H35</f>
        <v>#N/A</v>
      </c>
    </row>
    <row r="9" spans="2:8" x14ac:dyDescent="0.3">
      <c r="B9" s="62" t="s">
        <v>272</v>
      </c>
      <c r="C9" s="65" t="e">
        <f>+E36</f>
        <v>#N/A</v>
      </c>
      <c r="D9" s="74" t="e">
        <f t="shared" ref="D9:D12" si="0">+H36</f>
        <v>#N/A</v>
      </c>
    </row>
    <row r="10" spans="2:8" x14ac:dyDescent="0.3">
      <c r="B10" s="62" t="s">
        <v>27</v>
      </c>
      <c r="C10" s="65" t="e">
        <f>+E37</f>
        <v>#N/A</v>
      </c>
      <c r="D10" s="74" t="e">
        <f t="shared" si="0"/>
        <v>#N/A</v>
      </c>
    </row>
    <row r="11" spans="2:8" x14ac:dyDescent="0.3">
      <c r="B11" s="62" t="s">
        <v>24</v>
      </c>
      <c r="C11" s="65" t="e">
        <f t="shared" ref="C11:C12" si="1">+E38</f>
        <v>#N/A</v>
      </c>
      <c r="D11" s="74" t="e">
        <f t="shared" si="0"/>
        <v>#N/A</v>
      </c>
    </row>
    <row r="12" spans="2:8" x14ac:dyDescent="0.3">
      <c r="B12" s="63" t="s">
        <v>25</v>
      </c>
      <c r="C12" s="66" t="e">
        <f t="shared" si="1"/>
        <v>#N/A</v>
      </c>
      <c r="D12" s="75" t="e">
        <f t="shared" si="0"/>
        <v>#N/A</v>
      </c>
    </row>
    <row r="13" spans="2:8" x14ac:dyDescent="0.3">
      <c r="B13" s="7"/>
      <c r="C13" s="5"/>
      <c r="D13" s="5"/>
    </row>
    <row r="14" spans="2:8" x14ac:dyDescent="0.3">
      <c r="B14" s="7"/>
    </row>
    <row r="16" spans="2:8" ht="43.2" x14ac:dyDescent="0.3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9" x14ac:dyDescent="0.3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9" x14ac:dyDescent="0.3">
      <c r="B18" s="62" t="s">
        <v>174</v>
      </c>
      <c r="C18" s="14" t="e">
        <f>VLOOKUP(Inngang!$B$11,'2021 Nto driftsutg eks avskriv'!$A$5:$T$15,4)*1000/VLOOKUP(Inngang!$B$11,'2021 Nto driftsutg'!$A$5:$W$15,23)*100/'2021 Nto driftsutg landet'!C5-100</f>
        <v>#N/A</v>
      </c>
      <c r="D18" s="5" t="e">
        <f>('2021 Nto driftsutg landet'!$C$5+VLOOKUP(Inngang!$B$11,'2021 Korreksjoner'!$A$5:$AS$15,3)+VLOOKUP(Inngang!$B$11,'2021 Korreksjoner'!$A$5:$AS$15,5)+VLOOKUP(Inngang!$B$11,'2021 Korreksjoner'!$A$5:$AS$15,12)+VLOOKUP(Inngang!$B$11,'2021 Korreksjoner'!$A$5:$AS$15,28))*100/'2021 Nto driftsutg landet'!C5-100</f>
        <v>#N/A</v>
      </c>
      <c r="E18" s="16" t="e">
        <f>+C18-D18</f>
        <v>#N/A</v>
      </c>
      <c r="F18" s="5" t="e">
        <f>('2021 Nto driftsutg landet'!$C$5*VLOOKUP(Inngang!$B$11,'2021 Inntektsnivå'!$A$5:$C$15,3)+VLOOKUP(Inngang!$B$11,'2021 Korreksjoner'!$A$5:$AS$15,5)+VLOOKUP(Inngang!$B$11,'2021 Korreksjoner'!$A$5:$AS$15,3)+VLOOKUP(Inngang!$B$11,'2021 Korreksjoner'!$A$5:$AS$15,12)+VLOOKUP(Inngang!$B$11,'2021 Korreksjoner'!$A$5:$AS$15,28))*100/'2021 Nto driftsutg landet'!C5-100</f>
        <v>#N/A</v>
      </c>
      <c r="G18" s="5"/>
      <c r="H18" s="16" t="e">
        <f>+C18-F18</f>
        <v>#N/A</v>
      </c>
    </row>
    <row r="19" spans="2:9" x14ac:dyDescent="0.3">
      <c r="B19" s="62" t="s">
        <v>175</v>
      </c>
      <c r="C19" s="14" t="e">
        <f>VLOOKUP(Inngang!$B$11,'2021 Nto driftsutg eks avskriv'!$A$5:$T$15,5)*1000/VLOOKUP(Inngang!$B$11,'2021 Nto driftsutg'!$A$5:$W$15,23)*100/'2021 Nto driftsutg landet'!C6-100</f>
        <v>#N/A</v>
      </c>
      <c r="D19" s="5" t="e">
        <f>('2021 Nto driftsutg landet'!$C$6+VLOOKUP(Inngang!$B$11,'2021 Korreksjoner'!$A$5:$AS$15,6)+VLOOKUP(Inngang!$B$11,'2021 Korreksjoner'!$A$5:$AS$15,13)+VLOOKUP(Inngang!$B$11,'2021 Korreksjoner'!$A$5:$AS$15,29))*100/'2021 Nto driftsutg landet'!C6-100</f>
        <v>#N/A</v>
      </c>
      <c r="E19" s="16" t="e">
        <f>+C19-D19</f>
        <v>#N/A</v>
      </c>
      <c r="F19" s="5" t="e">
        <f>('2021 Nto driftsutg landet'!$C$6*VLOOKUP(Inngang!$B$11,'2021 Inntektsnivå'!$A$5:$C$15,3)+VLOOKUP(Inngang!$B$11,'2021 Korreksjoner'!$A$5:$AS$15,6)+VLOOKUP(Inngang!$B$11,'2021 Korreksjoner'!$A$5:$AS$15,13)+VLOOKUP(Inngang!$B$11,'2021 Korreksjoner'!$A$5:$AS$15,29))*100/'2021 Nto driftsutg landet'!C6-100</f>
        <v>#N/A</v>
      </c>
      <c r="G19" s="5"/>
      <c r="H19" s="16" t="e">
        <f>+C19-F19</f>
        <v>#N/A</v>
      </c>
    </row>
    <row r="20" spans="2:9" x14ac:dyDescent="0.3">
      <c r="B20" s="32" t="s">
        <v>278</v>
      </c>
      <c r="C20" s="14" t="e">
        <f>VLOOKUP(Inngang!$B$11,'2021 Nto driftsutg eks avskriv'!$A$5:$T$15,6)*1000/VLOOKUP(Inngang!$B$11,'2021 Nto driftsutg'!$A$5:$W$15,23)*100/'2021 Nto driftsutg landet'!C7-100</f>
        <v>#N/A</v>
      </c>
      <c r="D20" s="5" t="e">
        <f>('2021 Nto driftsutg landet'!$C$7+VLOOKUP(Inngang!$B$11,'2021 Korreksjoner'!$A$5:$AS$15,7)+VLOOKUP(Inngang!$B$11,'2021 Korreksjoner'!$A$5:$AS$15,14)+VLOOKUP(Inngang!$B$11,'2021 Korreksjoner'!$A$5:$AS$15,30))*100/'2021 Nto driftsutg landet'!C7-100</f>
        <v>#N/A</v>
      </c>
      <c r="E20" s="16" t="e">
        <f>+C20-D20</f>
        <v>#N/A</v>
      </c>
      <c r="F20" s="5" t="e">
        <f>('2021 Nto driftsutg landet'!$C$7*VLOOKUP(Inngang!$B$11,'2021 Inntektsnivå'!$A$5:$C$15,3)+VLOOKUP(Inngang!$B$11,'2021 Korreksjoner'!$A$5:$AS$15,7)+VLOOKUP(Inngang!$B$11,'2021 Korreksjoner'!$A$5:$AS$15,14)+VLOOKUP(Inngang!$B$11,'2021 Korreksjoner'!$A$5:$AS$15,30))*100/'2021 Nto driftsutg landet'!C7-100</f>
        <v>#N/A</v>
      </c>
      <c r="G20" s="5"/>
      <c r="H20" s="16" t="e">
        <f>+C20-F20</f>
        <v>#N/A</v>
      </c>
    </row>
    <row r="21" spans="2:9" x14ac:dyDescent="0.3">
      <c r="B21" s="32" t="s">
        <v>279</v>
      </c>
      <c r="C21" s="14" t="e">
        <f>VLOOKUP(Inngang!$B$11,'2021 Nto driftsutg eks avskriv'!$A$5:$T$15,7)*1000/VLOOKUP(Inngang!$B$11,'2021 Nto driftsutg'!$A$5:$W$15,23)*100/'2021 Nto driftsutg landet'!C9-100</f>
        <v>#N/A</v>
      </c>
      <c r="D21" s="5" t="e">
        <f>('2021 Nto driftsutg landet'!$C$8+VLOOKUP(Inngang!$B$11,'2021 Korreksjoner'!$A$5:$AS$15,8)+VLOOKUP(Inngang!$B$11,'2021 Korreksjoner'!$A$5:$AS$15,15)+VLOOKUP(Inngang!$B$11,'2021 Korreksjoner'!$A$5:$AS$15,31))*100/'2021 Nto driftsutg landet'!C8-100</f>
        <v>#N/A</v>
      </c>
      <c r="E21" s="16" t="e">
        <f>+C21-D21</f>
        <v>#N/A</v>
      </c>
      <c r="F21" s="5" t="e">
        <f>('2021 Nto driftsutg landet'!$C$8*VLOOKUP(Inngang!$B$11,'2021 Inntektsnivå'!$A$5:$C$15,3)+VLOOKUP(Inngang!$B$11,'2021 Korreksjoner'!$A$5:$AS$15,8)+VLOOKUP(Inngang!$B$11,'2021 Korreksjoner'!$A$5:$AS$15,15)+VLOOKUP(Inngang!$B$11,'2021 Korreksjoner'!$A$5:$AS$15,31))*100/'2021 Nto driftsutg landet'!C8-100</f>
        <v>#N/A</v>
      </c>
      <c r="G21" s="5"/>
      <c r="H21" s="16" t="e">
        <f>+C21-F21</f>
        <v>#N/A</v>
      </c>
    </row>
    <row r="22" spans="2:9" x14ac:dyDescent="0.3">
      <c r="B22" s="63" t="s">
        <v>176</v>
      </c>
      <c r="C22" s="26" t="e">
        <f>VLOOKUP(Inngang!$B$11,'2021 Nto driftsutg eks avskriv'!$A$5:$T$15,8)*1000/VLOOKUP(Inngang!$B$11,'2021 Nto driftsutg'!$A$5:$W$15,23)*100/'2021 Nto driftsutg landet'!C9-100</f>
        <v>#N/A</v>
      </c>
      <c r="D22" s="22" t="e">
        <f>('2021 Nto driftsutg landet'!$C$9+VLOOKUP(Inngang!$B$11,'2021 Korreksjoner'!$A$5:$AS$15,9)+VLOOKUP(Inngang!$B$11,'2021 Korreksjoner'!$A$5:$AS$15,16)+VLOOKUP(Inngang!$B$11,'2021 Korreksjoner'!$A$5:$AS$15,32))*100/'2021 Nto driftsutg landet'!C9-100</f>
        <v>#N/A</v>
      </c>
      <c r="E22" s="27" t="e">
        <f t="shared" ref="E22" si="2">+C22-D22</f>
        <v>#N/A</v>
      </c>
      <c r="F22" s="22" t="e">
        <f>('2021 Nto driftsutg landet'!$C$9*VLOOKUP(Inngang!$B$11,'2021 Inntektsnivå'!$A$5:$C$15,3)+VLOOKUP(Inngang!$B$11,'2021 Korreksjoner'!$A$5:$AS$15,9)+VLOOKUP(Inngang!$B$11,'2021 Korreksjoner'!$A$5:$AS$15,16)+VLOOKUP(Inngang!$B$11,'2021 Korreksjoner'!$A$5:$AS$15,32))*100/'2021 Nto driftsutg landet'!C9-100</f>
        <v>#N/A</v>
      </c>
      <c r="G22" s="22"/>
      <c r="H22" s="27" t="e">
        <f t="shared" ref="H22" si="3">+C22-F22</f>
        <v>#N/A</v>
      </c>
    </row>
    <row r="26" spans="2:9" x14ac:dyDescent="0.3">
      <c r="B26" s="7" t="s">
        <v>35</v>
      </c>
    </row>
    <row r="28" spans="2:9" ht="43.2" x14ac:dyDescent="0.3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</row>
    <row r="29" spans="2:9" x14ac:dyDescent="0.3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9" x14ac:dyDescent="0.3">
      <c r="B30" s="83" t="s">
        <v>140</v>
      </c>
      <c r="C30" s="84" t="e">
        <f>SUM(C31:C35)</f>
        <v>#N/A</v>
      </c>
      <c r="D30" s="84" t="e">
        <f>SUM(D31:D35)</f>
        <v>#N/A</v>
      </c>
      <c r="E30" s="85" t="e">
        <f>SUM(E31:E35)</f>
        <v>#N/A</v>
      </c>
      <c r="F30" s="87" t="e">
        <f>SUM(F31:F35)</f>
        <v>#N/A</v>
      </c>
      <c r="G30" s="84"/>
      <c r="H30" s="86" t="e">
        <f>SUM(H31:H35)</f>
        <v>#N/A</v>
      </c>
    </row>
    <row r="31" spans="2:9" x14ac:dyDescent="0.3">
      <c r="B31" s="32" t="s">
        <v>174</v>
      </c>
      <c r="C31" s="5" t="e">
        <f>VLOOKUP(Inngang!$B$11,'2021 Nto driftsutg eks avskriv'!$A$5:$T$15,4)*1000/VLOOKUP(Inngang!$B$11,'2021 Nto driftsutg'!$A$5:$W$15,23)</f>
        <v>#N/A</v>
      </c>
      <c r="D31" s="5" t="e">
        <f>+'2021 Nto driftsutg landet'!$C$5+VLOOKUP(Inngang!$B$11,'2021 Korreksjoner'!$A$5:$AS$15,5)+VLOOKUP(Inngang!$B$11,'2021 Korreksjoner'!$A$5:$I$15,3)+VLOOKUP(Inngang!$B$11,'2021 Korreksjoner'!$A$5:$AS$15,12)+VLOOKUP(Inngang!$B$11,'2021 Korreksjoner'!$A$5:$AS$15,28)</f>
        <v>#N/A</v>
      </c>
      <c r="E31" s="17" t="e">
        <f>+C31-D31</f>
        <v>#N/A</v>
      </c>
      <c r="F31" s="14" t="e">
        <f>+'2021 Nto driftsutg landet'!$C$5*VLOOKUP(Inngang!$B$11,'2021 Inntektsnivå'!$A$5:$C$15,3)+VLOOKUP(Inngang!$B$11,'2021 Korreksjoner'!$A$5:$AS$15,5)+VLOOKUP(Inngang!$B$11,'2021 Korreksjoner'!$A$5:$AS$15,3)+VLOOKUP(Inngang!$B$11,'2021 Korreksjoner'!$A$5:$AS$15,12)+VLOOKUP(Inngang!$B$11,'2021 Korreksjoner'!$A$5:$AS$15,28)</f>
        <v>#N/A</v>
      </c>
      <c r="G31" s="5"/>
      <c r="H31" s="16" t="e">
        <f>IF(F34=G34,C31-F31,(C31-F31)-(G34-F34)*C31/C30)</f>
        <v>#N/A</v>
      </c>
      <c r="I31" s="105"/>
    </row>
    <row r="32" spans="2:9" x14ac:dyDescent="0.3">
      <c r="B32" s="32" t="s">
        <v>175</v>
      </c>
      <c r="C32" s="5" t="e">
        <f>VLOOKUP(Inngang!$B$11,'2021 Nto driftsutg eks avskriv'!$A$5:$T$15,5)*1000/VLOOKUP(Inngang!$B$11,'2021 Nto driftsutg'!$A$5:$W$15,23)</f>
        <v>#N/A</v>
      </c>
      <c r="D32" s="5" t="e">
        <f>+'2021 Nto driftsutg landet'!$C$6+VLOOKUP(Inngang!$B$11,'2021 Korreksjoner'!$A$5:$AS$15,6)+VLOOKUP(Inngang!$B$11,'2021 Korreksjoner'!$A$5:$AS$15,13)+VLOOKUP(Inngang!$B$11,'2021 Korreksjoner'!$A$5:$AS$15,29)</f>
        <v>#N/A</v>
      </c>
      <c r="E32" s="17" t="e">
        <f>+C32-D32</f>
        <v>#N/A</v>
      </c>
      <c r="F32" s="14" t="e">
        <f>+'2021 Nto driftsutg landet'!$C$6*VLOOKUP(Inngang!$B$11,'2021 Inntektsnivå'!$A$5:$C$15,3)+VLOOKUP(Inngang!$B$11,'2021 Korreksjoner'!$A$5:$AS$15,6)+VLOOKUP(Inngang!$B$11,'2021 Korreksjoner'!$A$5:$AS$15,13)+VLOOKUP(Inngang!$B$11,'2021 Korreksjoner'!$A$5:$AS$15,29)</f>
        <v>#N/A</v>
      </c>
      <c r="G32" s="5"/>
      <c r="H32" s="16" t="e">
        <f>IF(F34=G34,C32-F32,(C32-F32)-(G34-F34)*C32/C30)</f>
        <v>#N/A</v>
      </c>
      <c r="I32" s="105"/>
    </row>
    <row r="33" spans="2:9" x14ac:dyDescent="0.3">
      <c r="B33" s="32" t="s">
        <v>278</v>
      </c>
      <c r="C33" s="5" t="e">
        <f>VLOOKUP(Inngang!$B$11,'2021 Nto driftsutg eks avskriv'!$A$5:$T$15,6)*1000/VLOOKUP(Inngang!$B$11,'2021 Nto driftsutg'!$A$5:$W$15,23)</f>
        <v>#N/A</v>
      </c>
      <c r="D33" s="5" t="e">
        <f>+'2021 Nto driftsutg landet'!$C$7+VLOOKUP(Inngang!$B$11,'2021 Korreksjoner'!$A$5:$AS$15,7)+VLOOKUP(Inngang!$B$11,'2021 Korreksjoner'!$A$5:$AS$15,14)+VLOOKUP(Inngang!$B$11,'2021 Korreksjoner'!$A$5:$AS$15,30)</f>
        <v>#N/A</v>
      </c>
      <c r="E33" s="17" t="e">
        <f>+C33-D33</f>
        <v>#N/A</v>
      </c>
      <c r="F33" s="14" t="e">
        <f>+'2021 Nto driftsutg landet'!$C$7*VLOOKUP(Inngang!$B$11,'2021 Inntektsnivå'!$A$5:$C$15,3)+VLOOKUP(Inngang!$B$11,'2021 Korreksjoner'!$A$5:$AS$15,7)+VLOOKUP(Inngang!$B$11,'2021 Korreksjoner'!$A$5:$AS$15,14)+VLOOKUP(Inngang!$B$11,'2021 Korreksjoner'!$A$5:$AS$15,30)</f>
        <v>#N/A</v>
      </c>
      <c r="G33" s="5"/>
      <c r="H33" s="16" t="e">
        <f>IF(F34=G34,C33-F33,(C33-F33)-(G34-F34)*(C33+C34)/C30)</f>
        <v>#N/A</v>
      </c>
      <c r="I33" s="105"/>
    </row>
    <row r="34" spans="2:9" x14ac:dyDescent="0.3">
      <c r="B34" s="32" t="s">
        <v>279</v>
      </c>
      <c r="C34" s="5" t="e">
        <f>VLOOKUP(Inngang!$B$11,'2021 Nto driftsutg eks avskriv'!$A$5:$T$15,7)*1000/VLOOKUP(Inngang!$B$11,'2021 Nto driftsutg'!$A$5:$W$15,23)</f>
        <v>#N/A</v>
      </c>
      <c r="D34" s="5" t="e">
        <f>+'2021 Nto driftsutg landet'!$C$8+VLOOKUP(Inngang!$B$11,'2021 Korreksjoner'!$A$5:$AS$15,8)+VLOOKUP(Inngang!$B$11,'2021 Korreksjoner'!$A$5:$AS$15,15)+VLOOKUP(Inngang!$B$11,'2021 Korreksjoner'!$A$5:$AS$15,31)</f>
        <v>#N/A</v>
      </c>
      <c r="E34" s="17" t="e">
        <f>+C34-D34</f>
        <v>#N/A</v>
      </c>
      <c r="F34" s="14" t="e">
        <f>IF(AND(C34&gt;=0.5,D34&gt;0),IF(G34&lt;10,C34,G34),0)</f>
        <v>#N/A</v>
      </c>
      <c r="G34" s="5" t="e">
        <f>+'2021 Nto driftsutg landet'!$C$8*VLOOKUP(Inngang!$B$11,'2021 Inntektsnivå'!$A$5:$C$15,3)+VLOOKUP(Inngang!$B$11,'2021 Korreksjoner'!$A$5:$AS$15,8)+VLOOKUP(Inngang!$B$11,'2021 Korreksjoner'!$A$5:$AS$15,15)+VLOOKUP(Inngang!$B$11,'2021 Korreksjoner'!$A$5:$AS$15,31)</f>
        <v>#N/A</v>
      </c>
      <c r="H34" s="16" t="e">
        <f>+C34-F34</f>
        <v>#N/A</v>
      </c>
      <c r="I34" s="105"/>
    </row>
    <row r="35" spans="2:9" x14ac:dyDescent="0.3">
      <c r="B35" s="33" t="s">
        <v>176</v>
      </c>
      <c r="C35" s="22" t="e">
        <f>VLOOKUP(Inngang!$B$11,'2021 Nto driftsutg eks avskriv'!$A$5:$T$15,8)*1000/VLOOKUP(Inngang!$B$11,'2021 Nto driftsutg'!$A$5:$W$15,23)</f>
        <v>#N/A</v>
      </c>
      <c r="D35" s="22" t="e">
        <f>+'2021 Nto driftsutg landet'!$C$9+VLOOKUP(Inngang!$B$11,'2021 Korreksjoner'!$A$5:$AS$15,9)+VLOOKUP(Inngang!$B$11,'2021 Korreksjoner'!$A$5:$AS$15,16)+VLOOKUP(Inngang!$B$11,'2021 Korreksjoner'!$A$5:$AS$15,32)</f>
        <v>#N/A</v>
      </c>
      <c r="E35" s="40" t="e">
        <f t="shared" ref="E35:E39" si="4">+C35-D35</f>
        <v>#N/A</v>
      </c>
      <c r="F35" s="26" t="e">
        <f>+'2021 Nto driftsutg landet'!$C$9*VLOOKUP(Inngang!$B$11,'2021 Inntektsnivå'!$A$5:$C$15,3)+VLOOKUP(Inngang!$B$11,'2021 Korreksjoner'!$A$5:$AS$15,9)+VLOOKUP(Inngang!$B$11,'2021 Korreksjoner'!$A$5:$AS$15,16)+VLOOKUP(Inngang!$B$11,'2021 Korreksjoner'!$A$5:$AS$15,32)</f>
        <v>#N/A</v>
      </c>
      <c r="G35" s="22"/>
      <c r="H35" s="27" t="e">
        <f>IF(F34=G34,C35-F35,(C35-F35)-(G34-F34)*C35/C30)</f>
        <v>#N/A</v>
      </c>
      <c r="I35" s="105"/>
    </row>
    <row r="36" spans="2:9" x14ac:dyDescent="0.3">
      <c r="B36" s="32" t="s">
        <v>272</v>
      </c>
      <c r="C36" s="5" t="e">
        <f>VLOOKUP(Inngang!$B$11,'2021 Nto driftsutg eks avskriv'!$A$5:$T$15,9)*1000/VLOOKUP(Inngang!$B$11,'2021 Nto driftsutg'!$A$5:$W$15,23)</f>
        <v>#N/A</v>
      </c>
      <c r="D36" s="5" t="e">
        <f>'2021 Nto driftsutg landet'!$C$13+VLOOKUP(Inngang!$B$11,'2021 Korreksjoner'!$A$5:$AS$15,17)+VLOOKUP(Inngang!$B$11,'2021 Korreksjoner'!$A$5:$AS$15,33)+VLOOKUP(Inngang!$B$11,'2021 Korreksjoner'!$A$5:$AW$15,46)</f>
        <v>#N/A</v>
      </c>
      <c r="E36" s="17" t="e">
        <f t="shared" si="4"/>
        <v>#N/A</v>
      </c>
      <c r="F36" s="14" t="e">
        <f>+'2021 Nto driftsutg landet'!$C$13*VLOOKUP(Inngang!$B$11,'2021 Inntektsnivå'!$A$5:$C$15,3)+VLOOKUP(Inngang!$B$11,'2021 Korreksjoner'!$A$5:$AS$15,17)+VLOOKUP(Inngang!$B$11,'2021 Korreksjoner'!$A$5:$AS$15,33)+VLOOKUP(Inngang!$B$11,'2021 Korreksjoner'!$A$5:$AV$15,46)</f>
        <v>#N/A</v>
      </c>
      <c r="G36" s="5"/>
      <c r="H36" s="16" t="e">
        <f t="shared" ref="H36:H39" si="5">+C36-F36</f>
        <v>#N/A</v>
      </c>
    </row>
    <row r="37" spans="2:9" x14ac:dyDescent="0.3">
      <c r="B37" s="32" t="s">
        <v>27</v>
      </c>
      <c r="C37" s="5" t="e">
        <f>VLOOKUP(Inngang!$B$11,'2021 Nto driftsutg eks avskriv'!$A$5:$T$15,18)*1000/VLOOKUP(Inngang!$B$11,'2021 Nto driftsutg'!$A$5:$W$15,23)</f>
        <v>#N/A</v>
      </c>
      <c r="D37" s="5" t="e">
        <f>'2021 Nto driftsutg landet'!$C$14+VLOOKUP(Inngang!$B$11,'2021 Korreksjoner'!$A$5:$AX$15,44)</f>
        <v>#N/A</v>
      </c>
      <c r="E37" s="17" t="e">
        <f t="shared" si="4"/>
        <v>#N/A</v>
      </c>
      <c r="F37" s="14" t="e">
        <f>+'2021 Nto driftsutg landet'!$C$14*VLOOKUP(Inngang!$B$11,'2021 Inntektsnivå'!$A$5:$C$15,3)+VLOOKUP(Inngang!$B$11,'2021 Korreksjoner'!$A$5:$AX$15,44)</f>
        <v>#N/A</v>
      </c>
      <c r="G37" s="5"/>
      <c r="H37" s="16" t="e">
        <f t="shared" si="5"/>
        <v>#N/A</v>
      </c>
    </row>
    <row r="38" spans="2:9" x14ac:dyDescent="0.3">
      <c r="B38" s="32" t="s">
        <v>24</v>
      </c>
      <c r="C38" s="5" t="e">
        <f>VLOOKUP(Inngang!$B$11,'2021 Nto driftsutg eks avskriv'!$A$5:$T$15,19)*1000/VLOOKUP(Inngang!$B$11,'2021 Nto driftsutg'!$A$5:$W$15,23)</f>
        <v>#N/A</v>
      </c>
      <c r="D38" s="93">
        <f>'2021 Nto driftsutg landet'!$C$15</f>
        <v>732.95448988877308</v>
      </c>
      <c r="E38" s="94" t="e">
        <f t="shared" si="4"/>
        <v>#N/A</v>
      </c>
      <c r="F38" s="95" t="e">
        <f>+'2021 Nto driftsutg landet'!$C$15*VLOOKUP(Inngang!$B$11,'2021 Inntektsnivå'!$A$5:$C$15,3)</f>
        <v>#N/A</v>
      </c>
      <c r="G38" s="93"/>
      <c r="H38" s="96" t="e">
        <f t="shared" si="5"/>
        <v>#N/A</v>
      </c>
      <c r="I38" s="5"/>
    </row>
    <row r="39" spans="2:9" x14ac:dyDescent="0.3">
      <c r="B39" s="33" t="s">
        <v>25</v>
      </c>
      <c r="C39" s="22" t="e">
        <f>VLOOKUP(Inngang!$B$11,'2021 Nto driftsutg eks avskriv'!$A$5:$T$15,20)*1000/VLOOKUP(Inngang!$B$11,'2021 Nto driftsutg'!$A$5:$W$15,23)</f>
        <v>#N/A</v>
      </c>
      <c r="D39" s="97">
        <f>'2021 Nto driftsutg landet'!$C$16</f>
        <v>1436.8879182557412</v>
      </c>
      <c r="E39" s="98" t="e">
        <f t="shared" si="4"/>
        <v>#N/A</v>
      </c>
      <c r="F39" s="99" t="e">
        <f>+'2021 Nto driftsutg landet'!$C$16*VLOOKUP(Inngang!$B$11,'2021 Inntektsnivå'!$A$5:$C$15,3)</f>
        <v>#N/A</v>
      </c>
      <c r="G39" s="93"/>
      <c r="H39" s="96" t="e">
        <f t="shared" si="5"/>
        <v>#N/A</v>
      </c>
    </row>
    <row r="40" spans="2:9" x14ac:dyDescent="0.3">
      <c r="B40" s="28" t="s">
        <v>18</v>
      </c>
      <c r="C40" s="29" t="e">
        <f>SUM(C31:C39)</f>
        <v>#N/A</v>
      </c>
      <c r="D40" s="30" t="e">
        <f>SUM(D31:D39)</f>
        <v>#N/A</v>
      </c>
      <c r="E40" s="31" t="e">
        <f>SUM(E31:E39)</f>
        <v>#N/A</v>
      </c>
      <c r="F40" s="29" t="e">
        <f>SUM(F31:F39)</f>
        <v>#N/A</v>
      </c>
      <c r="G40" s="30"/>
      <c r="H40" s="34" t="e">
        <f>SUM(H31:H39)</f>
        <v>#N/A</v>
      </c>
    </row>
    <row r="41" spans="2:9" x14ac:dyDescent="0.3">
      <c r="C41" s="5"/>
    </row>
    <row r="42" spans="2:9" x14ac:dyDescent="0.3">
      <c r="I42" s="5"/>
    </row>
    <row r="43" spans="2:9" x14ac:dyDescent="0.3">
      <c r="B43" s="7" t="s">
        <v>36</v>
      </c>
      <c r="I43" s="5"/>
    </row>
    <row r="45" spans="2:9" ht="43.2" x14ac:dyDescent="0.3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</row>
    <row r="46" spans="2:9" x14ac:dyDescent="0.3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9" x14ac:dyDescent="0.3">
      <c r="B47" s="83" t="s">
        <v>137</v>
      </c>
      <c r="C47" s="84" t="e">
        <f>SUM(C48:C53)</f>
        <v>#N/A</v>
      </c>
      <c r="D47" s="84" t="e">
        <f>SUM(D48:D53)</f>
        <v>#N/A</v>
      </c>
      <c r="E47" s="88" t="e">
        <f>SUM(E48:E53)</f>
        <v>#N/A</v>
      </c>
      <c r="F47" s="89" t="e">
        <f>SUM(F48:F53)</f>
        <v>#N/A</v>
      </c>
      <c r="G47" s="84"/>
      <c r="H47" s="90" t="e">
        <f>SUM(H48:H53)</f>
        <v>#N/A</v>
      </c>
    </row>
    <row r="48" spans="2:9" x14ac:dyDescent="0.3">
      <c r="B48" s="32" t="s">
        <v>4</v>
      </c>
      <c r="C48" s="5" t="e">
        <f>VLOOKUP(Inngang!$B$11,'2021 Nto driftsutg eks avskriv'!$A$5:$T$15,11)*1000/VLOOKUP(Inngang!$B$11,'2021 Nto driftsutg'!$A$5:$W$15,23)</f>
        <v>#N/A</v>
      </c>
      <c r="D48" s="5" t="e">
        <f>'2021 Nto driftsutg eks avskriv'!K$17*1000/'2021 Nto driftsutg'!$W$17+VLOOKUP(Inngang!$B$11,'2021 Korreksjoner'!$A$5:$AS$15,19)+VLOOKUP(Inngang!$B$11,'2021 Korreksjoner'!$A$5:$AS$15,35)</f>
        <v>#N/A</v>
      </c>
      <c r="E48" s="17" t="e">
        <f t="shared" ref="E48:E53" si="6">+C48-D48</f>
        <v>#N/A</v>
      </c>
      <c r="F48" s="14" t="e">
        <f>+'2021 Nto driftsutg landet'!$C$23*VLOOKUP(Inngang!$B$11,'2021 Inntektsnivå'!$A$5:$C$15,3)+VLOOKUP(Inngang!$B$11,'2021 Korreksjoner'!$A$5:$AS$15,19)+VLOOKUP(Inngang!$B$11,'2021 Korreksjoner'!$A$5:$AS$15,35)</f>
        <v>#N/A</v>
      </c>
      <c r="G48" s="5"/>
      <c r="H48" s="16" t="e">
        <f>+C48-F48</f>
        <v>#N/A</v>
      </c>
    </row>
    <row r="49" spans="2:9" x14ac:dyDescent="0.3">
      <c r="B49" s="32" t="s">
        <v>271</v>
      </c>
      <c r="C49" s="5" t="e">
        <f>VLOOKUP(Inngang!$B$11,'2021 Nto driftsutg eks avskriv'!$A$5:$T$15,12)*1000/VLOOKUP(Inngang!$B$11,'2021 Nto driftsutg'!$A$5:$W$15,23)</f>
        <v>#N/A</v>
      </c>
      <c r="D49" s="5" t="e">
        <f>'2021 Nto driftsutg eks avskriv'!L$17*1000/'2021 Nto driftsutg'!$W$17+VLOOKUP(Inngang!$B$11,'2021 Korreksjoner'!$A$5:$AS$15,20)+VLOOKUP(Inngang!$B$11,'2021 Korreksjoner'!$A$5:$AS$15,36)</f>
        <v>#N/A</v>
      </c>
      <c r="E49" s="17" t="e">
        <f t="shared" si="6"/>
        <v>#N/A</v>
      </c>
      <c r="F49" s="14" t="e">
        <f>+'2021 Nto driftsutg landet'!$C$24*VLOOKUP(Inngang!$B$11,'2021 Inntektsnivå'!$A$5:$C$15,3)+VLOOKUP(Inngang!$B$11,'2021 Korreksjoner'!$A$5:$AS$15,20)+VLOOKUP(Inngang!$B$11,'2021 Korreksjoner'!$A$5:$AS$15,36)</f>
        <v>#N/A</v>
      </c>
      <c r="G49" s="5"/>
      <c r="H49" s="16" t="e">
        <f t="shared" ref="H49:H53" si="7">+C49-F49</f>
        <v>#N/A</v>
      </c>
    </row>
    <row r="50" spans="2:9" x14ac:dyDescent="0.3">
      <c r="B50" s="32" t="s">
        <v>37</v>
      </c>
      <c r="C50" s="5" t="e">
        <f>VLOOKUP(Inngang!$B$11,'2021 Nto driftsutg eks avskriv'!$A$5:$T$15,13)*1000/VLOOKUP(Inngang!$B$11,'2021 Nto driftsutg'!$A$5:$W$15,23)</f>
        <v>#N/A</v>
      </c>
      <c r="D50" s="5" t="e">
        <f>'2021 Nto driftsutg eks avskriv'!M$17*1000/'2021 Nto driftsutg'!$W$17+VLOOKUP(Inngang!$B$11,'2021 Korreksjoner'!$A$5:$AS$15,21)+VLOOKUP(Inngang!$B$11,'2021 Korreksjoner'!$A$5:$AS$15,37)</f>
        <v>#N/A</v>
      </c>
      <c r="E50" s="17" t="e">
        <f t="shared" si="6"/>
        <v>#N/A</v>
      </c>
      <c r="F50" s="14" t="e">
        <f>+'2021 Nto driftsutg landet'!$C$25*VLOOKUP(Inngang!$B$11,'2021 Inntektsnivå'!$A$5:$C$15,3)+VLOOKUP(Inngang!$B$11,'2021 Korreksjoner'!$A$5:$AS$15,21)+VLOOKUP(Inngang!$B$11,'2021 Korreksjoner'!$A$5:$AS$15,37)</f>
        <v>#N/A</v>
      </c>
      <c r="G50" s="5"/>
      <c r="H50" s="16" t="e">
        <f t="shared" si="7"/>
        <v>#N/A</v>
      </c>
    </row>
    <row r="51" spans="2:9" x14ac:dyDescent="0.3">
      <c r="B51" s="32" t="s">
        <v>178</v>
      </c>
      <c r="C51" s="5" t="e">
        <f>VLOOKUP(Inngang!$B$11,'2021 Nto driftsutg eks avskriv'!$A$5:$T$15,14)*1000/VLOOKUP(Inngang!$B$11,'2021 Nto driftsutg'!$A$5:$W$15,23)</f>
        <v>#N/A</v>
      </c>
      <c r="D51" s="5" t="e">
        <f>'2021 Nto driftsutg eks avskriv'!N$17*1000/'2021 Nto driftsutg'!$W$17+VLOOKUP(Inngang!$B$11,'2021 Korreksjoner'!$A$5:$AS$15,22)+VLOOKUP(Inngang!$B$11,'2021 Korreksjoner'!$A$5:$AS$15,38)</f>
        <v>#N/A</v>
      </c>
      <c r="E51" s="17" t="e">
        <f t="shared" si="6"/>
        <v>#N/A</v>
      </c>
      <c r="F51" s="14" t="e">
        <f>+'2021 Nto driftsutg landet'!$C$26*VLOOKUP(Inngang!$B$11,'2021 Inntektsnivå'!$A$5:$C$15,3)+VLOOKUP(Inngang!$B$11,'2021 Korreksjoner'!$A$5:$AS$15,22)+VLOOKUP(Inngang!$B$11,'2021 Korreksjoner'!$A$5:$AS$15,38)</f>
        <v>#N/A</v>
      </c>
      <c r="G51" s="5"/>
      <c r="H51" s="16" t="e">
        <f t="shared" si="7"/>
        <v>#N/A</v>
      </c>
    </row>
    <row r="52" spans="2:9" x14ac:dyDescent="0.3">
      <c r="B52" s="32" t="s">
        <v>138</v>
      </c>
      <c r="C52" s="5" t="e">
        <f>VLOOKUP(Inngang!$B$11,'2021 Nto driftsutg eks avskriv'!$A$5:$T$15,15)*1000/VLOOKUP(Inngang!$B$11,'2021 Nto driftsutg'!$A$5:$W$15,23)</f>
        <v>#N/A</v>
      </c>
      <c r="D52" s="5" t="e">
        <f>'2021 Nto driftsutg eks avskriv'!O17*1000/'2021 Nto driftsutg'!$W$17+VLOOKUP(Inngang!$B$11,'2021 Korreksjoner'!$A$5:$AS$15,23)+VLOOKUP(Inngang!$B$11,'2021 Korreksjoner'!$A$5:$AS$15,39)</f>
        <v>#N/A</v>
      </c>
      <c r="E52" s="17" t="e">
        <f t="shared" si="6"/>
        <v>#N/A</v>
      </c>
      <c r="F52" s="14" t="e">
        <f>'2021 Nto driftsutg landet'!$C$27*VLOOKUP(Inngang!$B$11,'2021 Inntektsnivå'!$A$5:$C$15,3)+VLOOKUP(Inngang!$B$11,'2021 Korreksjoner'!$A$5:$AS$15,23)+VLOOKUP(Inngang!$B$11,'2021 Korreksjoner'!$A$5:$AS$15,39)</f>
        <v>#N/A</v>
      </c>
      <c r="G52" s="5"/>
      <c r="H52" s="16" t="e">
        <f t="shared" si="7"/>
        <v>#N/A</v>
      </c>
    </row>
    <row r="53" spans="2:9" x14ac:dyDescent="0.3">
      <c r="B53" s="61" t="s">
        <v>129</v>
      </c>
      <c r="C53" s="22" t="e">
        <f>VLOOKUP(Inngang!$B$11,'2021 Nto driftsutg eks avskriv'!$A$5:$T$15,16)*1000/VLOOKUP(Inngang!$B$11,'2021 Nto driftsutg'!$A$5:$W$15,23)</f>
        <v>#N/A</v>
      </c>
      <c r="D53" s="22" t="e">
        <f>'2021 Nto driftsutg eks avskriv'!P17*1000/'2021 Nto driftsutg'!$W$17+VLOOKUP(Inngang!$B$11,'2021 Korreksjoner'!$A$5:$AS$15,24)+VLOOKUP(Inngang!$B$11,'2021 Korreksjoner'!$A$5:$AS$15,40)</f>
        <v>#N/A</v>
      </c>
      <c r="E53" s="40" t="e">
        <f t="shared" si="6"/>
        <v>#N/A</v>
      </c>
      <c r="F53" s="26" t="e">
        <f>'2021 Nto driftsutg landet'!$C$28*VLOOKUP(Inngang!$B$11,'2021 Inntektsnivå'!$A$5:$C$15,3)+VLOOKUP(Inngang!$B$11,'2021 Korreksjoner'!$A$5:$AS$15,24)+VLOOKUP(Inngang!$B$11,'2021 Korreksjoner'!$A$5:$AS$15,40)</f>
        <v>#N/A</v>
      </c>
      <c r="G53" s="22"/>
      <c r="H53" s="27" t="e">
        <f t="shared" si="7"/>
        <v>#N/A</v>
      </c>
    </row>
    <row r="54" spans="2:9" x14ac:dyDescent="0.3">
      <c r="B54" s="28" t="s">
        <v>137</v>
      </c>
      <c r="C54" s="30" t="e">
        <f>SUM(C48:C53)</f>
        <v>#N/A</v>
      </c>
      <c r="D54" s="30" t="e">
        <f>SUM(D48:D53)</f>
        <v>#N/A</v>
      </c>
      <c r="E54" s="31" t="e">
        <f>SUM(E48:E53)</f>
        <v>#N/A</v>
      </c>
      <c r="F54" s="29" t="e">
        <f>SUM(F48:F53)</f>
        <v>#N/A</v>
      </c>
      <c r="G54" s="30"/>
      <c r="H54" s="34" t="e">
        <f>SUM(H48:H53)</f>
        <v>#N/A</v>
      </c>
      <c r="I54" s="5"/>
    </row>
    <row r="55" spans="2:9" x14ac:dyDescent="0.3">
      <c r="I55" s="5"/>
    </row>
    <row r="56" spans="2:9" x14ac:dyDescent="0.3">
      <c r="I56" s="5"/>
    </row>
    <row r="57" spans="2:9" x14ac:dyDescent="0.3">
      <c r="I57" s="5"/>
    </row>
    <row r="58" spans="2:9" x14ac:dyDescent="0.3">
      <c r="B58" s="38" t="s">
        <v>128</v>
      </c>
      <c r="C58" s="20" t="s">
        <v>274</v>
      </c>
      <c r="D58" s="67" t="s">
        <v>3</v>
      </c>
      <c r="I58" s="5"/>
    </row>
    <row r="59" spans="2:9" x14ac:dyDescent="0.3">
      <c r="B59" s="62" t="s">
        <v>174</v>
      </c>
      <c r="C59" s="70" t="e">
        <f>VLOOKUP(Inngang!$B$11,'2021 Revekting utgiftsbehov'!$A$5:$I$15,4)</f>
        <v>#N/A</v>
      </c>
      <c r="D59" s="68">
        <v>1</v>
      </c>
      <c r="I59" s="5"/>
    </row>
    <row r="60" spans="2:9" x14ac:dyDescent="0.3">
      <c r="B60" s="62" t="s">
        <v>175</v>
      </c>
      <c r="C60" s="70" t="e">
        <f>VLOOKUP(Inngang!$B$11,'2021 Revekting utgiftsbehov'!$A$5:$I$15,5)</f>
        <v>#N/A</v>
      </c>
      <c r="D60" s="68">
        <v>1</v>
      </c>
      <c r="I60" s="5"/>
    </row>
    <row r="61" spans="2:9" x14ac:dyDescent="0.3">
      <c r="B61" s="32" t="s">
        <v>278</v>
      </c>
      <c r="C61" s="70" t="e">
        <f>VLOOKUP(Inngang!$B$11,'2021 Revekting utgiftsbehov'!$A$5:$I$15,6)</f>
        <v>#N/A</v>
      </c>
      <c r="D61" s="68">
        <v>1</v>
      </c>
      <c r="I61" s="5"/>
    </row>
    <row r="62" spans="2:9" x14ac:dyDescent="0.3">
      <c r="B62" s="32" t="s">
        <v>279</v>
      </c>
      <c r="C62" s="70" t="e">
        <f>VLOOKUP(Inngang!$B$11,'2021 Revekting utgiftsbehov'!$A$5:$I$15,7)</f>
        <v>#N/A</v>
      </c>
      <c r="D62" s="68">
        <v>1</v>
      </c>
      <c r="I62" s="5"/>
    </row>
    <row r="63" spans="2:9" x14ac:dyDescent="0.3">
      <c r="B63" s="63" t="s">
        <v>176</v>
      </c>
      <c r="C63" s="71" t="e">
        <f>VLOOKUP(Inngang!$B$11,'2021 Revekting utgiftsbehov'!$A$5:$I$15,8)</f>
        <v>#N/A</v>
      </c>
      <c r="D63" s="69">
        <v>1</v>
      </c>
      <c r="I63" s="5"/>
    </row>
    <row r="64" spans="2:9" x14ac:dyDescent="0.3">
      <c r="B64" s="80" t="s">
        <v>133</v>
      </c>
      <c r="C64" s="81" t="e">
        <f>+VLOOKUP(Inngang!$B$11,'2021 Revekting utgiftsbehov'!$A$5:$I$15,9)</f>
        <v>#N/A</v>
      </c>
      <c r="D64" s="82">
        <v>1</v>
      </c>
      <c r="I64" s="5"/>
    </row>
    <row r="65" spans="2:9" x14ac:dyDescent="0.3">
      <c r="I65" s="5"/>
    </row>
    <row r="66" spans="2:9" x14ac:dyDescent="0.3">
      <c r="I66" s="5"/>
    </row>
    <row r="67" spans="2:9" x14ac:dyDescent="0.3">
      <c r="I67" s="5"/>
    </row>
    <row r="68" spans="2:9" ht="28.8" x14ac:dyDescent="0.3">
      <c r="B68" s="73" t="s">
        <v>130</v>
      </c>
      <c r="C68" s="76" t="s">
        <v>275</v>
      </c>
      <c r="D68" s="76" t="s">
        <v>276</v>
      </c>
    </row>
    <row r="69" spans="2:9" x14ac:dyDescent="0.3">
      <c r="B69" s="32" t="s">
        <v>139</v>
      </c>
      <c r="C69" s="74" t="e">
        <f>SUM(C70:C78)</f>
        <v>#N/A</v>
      </c>
    </row>
    <row r="70" spans="2:9" x14ac:dyDescent="0.3">
      <c r="B70" s="32" t="s">
        <v>174</v>
      </c>
      <c r="C70" s="74" t="e">
        <f>+C31-'2021 Nto driftsutg landet'!$C5</f>
        <v>#N/A</v>
      </c>
    </row>
    <row r="71" spans="2:9" x14ac:dyDescent="0.3">
      <c r="B71" s="32" t="s">
        <v>175</v>
      </c>
      <c r="C71" s="74" t="e">
        <f>+C32-'2021 Nto driftsutg landet'!$C6</f>
        <v>#N/A</v>
      </c>
    </row>
    <row r="72" spans="2:9" x14ac:dyDescent="0.3">
      <c r="B72" s="32" t="s">
        <v>278</v>
      </c>
      <c r="C72" s="74" t="e">
        <f>+C33-'2021 Nto driftsutg landet'!$C7</f>
        <v>#N/A</v>
      </c>
    </row>
    <row r="73" spans="2:9" x14ac:dyDescent="0.3">
      <c r="B73" s="32" t="s">
        <v>279</v>
      </c>
      <c r="C73" s="74" t="e">
        <f>+C34-'2021 Nto driftsutg landet'!$C8</f>
        <v>#N/A</v>
      </c>
    </row>
    <row r="74" spans="2:9" x14ac:dyDescent="0.3">
      <c r="B74" s="32" t="s">
        <v>176</v>
      </c>
      <c r="C74" s="74" t="e">
        <f>+C35-'2021 Nto driftsutg landet'!$C9</f>
        <v>#N/A</v>
      </c>
    </row>
    <row r="75" spans="2:9" x14ac:dyDescent="0.3">
      <c r="B75" s="32" t="s">
        <v>127</v>
      </c>
      <c r="C75" s="74" t="e">
        <f>+C36-'2021 Nto driftsutg landet'!$C13</f>
        <v>#N/A</v>
      </c>
    </row>
    <row r="76" spans="2:9" x14ac:dyDescent="0.3">
      <c r="B76" s="32" t="s">
        <v>27</v>
      </c>
      <c r="C76" s="74" t="e">
        <f>+C37-'2021 Nto driftsutg landet'!$C14</f>
        <v>#N/A</v>
      </c>
    </row>
    <row r="77" spans="2:9" x14ac:dyDescent="0.3">
      <c r="B77" s="32" t="s">
        <v>24</v>
      </c>
      <c r="C77" s="74" t="e">
        <f>+C38-'2021 Nto driftsutg landet'!$C15</f>
        <v>#N/A</v>
      </c>
    </row>
    <row r="78" spans="2:9" x14ac:dyDescent="0.3">
      <c r="B78" s="33" t="s">
        <v>25</v>
      </c>
      <c r="C78" s="75" t="e">
        <f>+C39-'2021 Nto driftsutg landet'!$C16</f>
        <v>#N/A</v>
      </c>
    </row>
    <row r="80" spans="2:9" x14ac:dyDescent="0.3">
      <c r="E80" s="5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I80"/>
  <sheetViews>
    <sheetView showGridLines="0" workbookViewId="0"/>
  </sheetViews>
  <sheetFormatPr baseColWidth="10" defaultRowHeight="14.4" x14ac:dyDescent="0.3"/>
  <cols>
    <col min="2" max="2" width="39.5546875" customWidth="1"/>
    <col min="3" max="3" width="17.44140625" customWidth="1"/>
    <col min="4" max="4" width="24" customWidth="1"/>
    <col min="5" max="5" width="24.5546875" customWidth="1"/>
    <col min="6" max="6" width="22.88671875" customWidth="1"/>
    <col min="7" max="7" width="8.88671875" customWidth="1"/>
    <col min="8" max="8" width="30.5546875" customWidth="1"/>
    <col min="9" max="9" width="16.5546875" bestFit="1" customWidth="1"/>
  </cols>
  <sheetData>
    <row r="1" spans="2:8" ht="33" customHeight="1" x14ac:dyDescent="0.5">
      <c r="B1" s="79" t="str">
        <f>+Inngang!C13</f>
        <v/>
      </c>
      <c r="C1" s="106"/>
    </row>
    <row r="3" spans="2:8" x14ac:dyDescent="0.3">
      <c r="B3" s="7" t="s">
        <v>52</v>
      </c>
    </row>
    <row r="4" spans="2:8" x14ac:dyDescent="0.3">
      <c r="B4" s="7"/>
    </row>
    <row r="5" spans="2:8" ht="43.2" x14ac:dyDescent="0.3">
      <c r="B5" s="38"/>
      <c r="C5" s="18" t="s">
        <v>315</v>
      </c>
      <c r="D5" s="18" t="s">
        <v>131</v>
      </c>
    </row>
    <row r="6" spans="2:8" x14ac:dyDescent="0.3">
      <c r="B6" s="39"/>
      <c r="C6" s="37" t="s">
        <v>40</v>
      </c>
      <c r="D6" s="37" t="s">
        <v>40</v>
      </c>
    </row>
    <row r="7" spans="2:8" x14ac:dyDescent="0.3">
      <c r="B7" s="62" t="s">
        <v>139</v>
      </c>
      <c r="C7" s="64" t="e">
        <f>VLOOKUP(Inngang!$B$13,'2021 Inntektsnivå'!A5:D15,4)</f>
        <v>#N/A</v>
      </c>
      <c r="D7" s="101"/>
    </row>
    <row r="8" spans="2:8" x14ac:dyDescent="0.3">
      <c r="B8" s="62" t="s">
        <v>273</v>
      </c>
      <c r="C8" s="65" t="e">
        <f>+E31+E32+E33+E34+E35</f>
        <v>#N/A</v>
      </c>
      <c r="D8" s="74" t="e">
        <f>H31+H32+H33+H34+H35</f>
        <v>#N/A</v>
      </c>
    </row>
    <row r="9" spans="2:8" x14ac:dyDescent="0.3">
      <c r="B9" s="62" t="s">
        <v>272</v>
      </c>
      <c r="C9" s="65" t="e">
        <f>+E36</f>
        <v>#N/A</v>
      </c>
      <c r="D9" s="74" t="e">
        <f t="shared" ref="D9:D12" si="0">+H36</f>
        <v>#N/A</v>
      </c>
    </row>
    <row r="10" spans="2:8" x14ac:dyDescent="0.3">
      <c r="B10" s="62" t="s">
        <v>27</v>
      </c>
      <c r="C10" s="65" t="e">
        <f>+E37</f>
        <v>#N/A</v>
      </c>
      <c r="D10" s="74" t="e">
        <f t="shared" si="0"/>
        <v>#N/A</v>
      </c>
    </row>
    <row r="11" spans="2:8" x14ac:dyDescent="0.3">
      <c r="B11" s="62" t="s">
        <v>24</v>
      </c>
      <c r="C11" s="65" t="e">
        <f t="shared" ref="C11:C12" si="1">+E38</f>
        <v>#N/A</v>
      </c>
      <c r="D11" s="74" t="e">
        <f t="shared" si="0"/>
        <v>#N/A</v>
      </c>
    </row>
    <row r="12" spans="2:8" x14ac:dyDescent="0.3">
      <c r="B12" s="63" t="s">
        <v>25</v>
      </c>
      <c r="C12" s="66" t="e">
        <f t="shared" si="1"/>
        <v>#N/A</v>
      </c>
      <c r="D12" s="75" t="e">
        <f t="shared" si="0"/>
        <v>#N/A</v>
      </c>
    </row>
    <row r="13" spans="2:8" x14ac:dyDescent="0.3">
      <c r="B13" s="7"/>
      <c r="C13" s="5"/>
      <c r="D13" s="5"/>
    </row>
    <row r="14" spans="2:8" x14ac:dyDescent="0.3">
      <c r="B14" s="7"/>
    </row>
    <row r="16" spans="2:8" ht="43.2" x14ac:dyDescent="0.3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9" x14ac:dyDescent="0.3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9" x14ac:dyDescent="0.3">
      <c r="B18" s="62" t="s">
        <v>174</v>
      </c>
      <c r="C18" s="14" t="e">
        <f>VLOOKUP(Inngang!$B$13,'2021 Nto driftsutg eks avskriv'!$A$5:$T$15,4)*1000/VLOOKUP(Inngang!$B$13,'2021 Nto driftsutg'!$A$5:$W$15,23)*100/'2021 Nto driftsutg landet'!C5-100</f>
        <v>#N/A</v>
      </c>
      <c r="D18" s="5" t="e">
        <f>('2021 Nto driftsutg landet'!$C$5+VLOOKUP(Inngang!$B$13,'2021 Korreksjoner'!$A$5:$AS$15,3)+VLOOKUP(Inngang!$B$13,'2021 Korreksjoner'!$A$5:$AS$15,5)+VLOOKUP(Inngang!$B$13,'2021 Korreksjoner'!$A$5:$AS$15,12)+VLOOKUP(Inngang!$B$13,'2021 Korreksjoner'!$A$5:$AS$15,28))*100/'2021 Nto driftsutg landet'!C5-100</f>
        <v>#N/A</v>
      </c>
      <c r="E18" s="16" t="e">
        <f>+C18-D18</f>
        <v>#N/A</v>
      </c>
      <c r="F18" s="5" t="e">
        <f>('2021 Nto driftsutg landet'!$C$5*VLOOKUP(Inngang!$B$13,'2021 Inntektsnivå'!$A$5:$C$15,3)+VLOOKUP(Inngang!$B$13,'2021 Korreksjoner'!$A$5:$AS$15,5)+VLOOKUP(Inngang!$B$13,'2021 Korreksjoner'!$A$5:$AS$15,3)+VLOOKUP(Inngang!$B$13,'2021 Korreksjoner'!$A$5:$AS$15,12)+VLOOKUP(Inngang!$B$13,'2021 Korreksjoner'!$A$5:$AS$15,28))*100/'2021 Nto driftsutg landet'!C5-100</f>
        <v>#N/A</v>
      </c>
      <c r="G18" s="5"/>
      <c r="H18" s="16" t="e">
        <f>+C18-F18</f>
        <v>#N/A</v>
      </c>
    </row>
    <row r="19" spans="2:9" x14ac:dyDescent="0.3">
      <c r="B19" s="62" t="s">
        <v>175</v>
      </c>
      <c r="C19" s="14" t="e">
        <f>VLOOKUP(Inngang!$B$13,'2021 Nto driftsutg eks avskriv'!$A$5:$T$15,5)*1000/VLOOKUP(Inngang!$B$13,'2021 Nto driftsutg'!$A$5:$W$15,23)*100/'2021 Nto driftsutg landet'!C6-100</f>
        <v>#N/A</v>
      </c>
      <c r="D19" s="5" t="e">
        <f>('2021 Nto driftsutg landet'!$C$6+VLOOKUP(Inngang!$B$13,'2021 Korreksjoner'!$A$5:$AS$15,6)+VLOOKUP(Inngang!$B$13,'2021 Korreksjoner'!$A$5:$AS$15,13)+VLOOKUP(Inngang!$B$13,'2021 Korreksjoner'!$A$5:$AS$15,29))*100/'2021 Nto driftsutg landet'!C6-100</f>
        <v>#N/A</v>
      </c>
      <c r="E19" s="16" t="e">
        <f>+C19-D19</f>
        <v>#N/A</v>
      </c>
      <c r="F19" s="5" t="e">
        <f>('2021 Nto driftsutg landet'!$C$6*VLOOKUP(Inngang!$B$13,'2021 Inntektsnivå'!$A$5:$C$15,3)+VLOOKUP(Inngang!$B$13,'2021 Korreksjoner'!$A$5:$AS$15,6)+VLOOKUP(Inngang!$B$13,'2021 Korreksjoner'!$A$5:$AS$15,13)+VLOOKUP(Inngang!$B$13,'2021 Korreksjoner'!$A$5:$AS$15,29))*100/'2021 Nto driftsutg landet'!C6-100</f>
        <v>#N/A</v>
      </c>
      <c r="G19" s="5"/>
      <c r="H19" s="16" t="e">
        <f>+C19-F19</f>
        <v>#N/A</v>
      </c>
    </row>
    <row r="20" spans="2:9" x14ac:dyDescent="0.3">
      <c r="B20" s="32" t="s">
        <v>278</v>
      </c>
      <c r="C20" s="14" t="e">
        <f>VLOOKUP(Inngang!$B$13,'2021 Nto driftsutg eks avskriv'!$A$5:$T$15,6)*1000/VLOOKUP(Inngang!$B$13,'2021 Nto driftsutg'!$A$5:$W$15,23)*100/'2021 Nto driftsutg landet'!C7-100</f>
        <v>#N/A</v>
      </c>
      <c r="D20" s="5" t="e">
        <f>('2021 Nto driftsutg landet'!$C$7+VLOOKUP(Inngang!$B$13,'2021 Korreksjoner'!$A$5:$AS$15,7)+VLOOKUP(Inngang!$B$13,'2021 Korreksjoner'!$A$5:$AS$15,14)+VLOOKUP(Inngang!$B$13,'2021 Korreksjoner'!$A$5:$AS$15,30))*100/'2021 Nto driftsutg landet'!C7-100</f>
        <v>#N/A</v>
      </c>
      <c r="E20" s="16" t="e">
        <f>+C20-D20</f>
        <v>#N/A</v>
      </c>
      <c r="F20" s="5" t="e">
        <f>('2021 Nto driftsutg landet'!$C$7*VLOOKUP(Inngang!$B$13,'2021 Inntektsnivå'!$A$5:$C$15,3)+VLOOKUP(Inngang!$B$13,'2021 Korreksjoner'!$A$5:$AS$15,7)+VLOOKUP(Inngang!$B$13,'2021 Korreksjoner'!$A$5:$AS$15,14)+VLOOKUP(Inngang!$B$13,'2021 Korreksjoner'!$A$5:$AS$15,30))*100/'2021 Nto driftsutg landet'!C7-100</f>
        <v>#N/A</v>
      </c>
      <c r="G20" s="5"/>
      <c r="H20" s="16" t="e">
        <f>+C20-F20</f>
        <v>#N/A</v>
      </c>
    </row>
    <row r="21" spans="2:9" x14ac:dyDescent="0.3">
      <c r="B21" s="32" t="s">
        <v>279</v>
      </c>
      <c r="C21" s="14" t="e">
        <f>VLOOKUP(Inngang!$B$13,'2021 Nto driftsutg eks avskriv'!$A$5:$T$15,7)*1000/VLOOKUP(Inngang!$B$13,'2021 Nto driftsutg'!$A$5:$W$15,23)*100/'2021 Nto driftsutg landet'!C9-100</f>
        <v>#N/A</v>
      </c>
      <c r="D21" s="5" t="e">
        <f>('2021 Nto driftsutg landet'!$C$8+VLOOKUP(Inngang!$B$13,'2021 Korreksjoner'!$A$5:$AS$15,8)+VLOOKUP(Inngang!$B$13,'2021 Korreksjoner'!$A$5:$AS$15,15)+VLOOKUP(Inngang!$B$13,'2021 Korreksjoner'!$A$5:$AS$15,31))*100/'2021 Nto driftsutg landet'!C8-100</f>
        <v>#N/A</v>
      </c>
      <c r="E21" s="16" t="e">
        <f>+C21-D21</f>
        <v>#N/A</v>
      </c>
      <c r="F21" s="5" t="e">
        <f>('2021 Nto driftsutg landet'!$C$8*VLOOKUP(Inngang!$B$13,'2021 Inntektsnivå'!$A$5:$C$15,3)+VLOOKUP(Inngang!$B$13,'2021 Korreksjoner'!$A$5:$AS$15,8)+VLOOKUP(Inngang!$B$13,'2021 Korreksjoner'!$A$5:$AS$15,15)+VLOOKUP(Inngang!$B$13,'2021 Korreksjoner'!$A$5:$AS$15,31))*100/'2021 Nto driftsutg landet'!C8-100</f>
        <v>#N/A</v>
      </c>
      <c r="G21" s="5"/>
      <c r="H21" s="16" t="e">
        <f>+C21-F21</f>
        <v>#N/A</v>
      </c>
    </row>
    <row r="22" spans="2:9" x14ac:dyDescent="0.3">
      <c r="B22" s="63" t="s">
        <v>176</v>
      </c>
      <c r="C22" s="26" t="e">
        <f>VLOOKUP(Inngang!$B$13,'2021 Nto driftsutg eks avskriv'!$A$5:$T$15,8)*1000/VLOOKUP(Inngang!$B$13,'2021 Nto driftsutg'!$A$5:$W$15,23)*100/'2021 Nto driftsutg landet'!C9-100</f>
        <v>#N/A</v>
      </c>
      <c r="D22" s="22" t="e">
        <f>('2021 Nto driftsutg landet'!$C$9+VLOOKUP(Inngang!$B$13,'2021 Korreksjoner'!$A$5:$AS$15,9)+VLOOKUP(Inngang!$B$13,'2021 Korreksjoner'!$A$5:$AS$15,16)+VLOOKUP(Inngang!$B$13,'2021 Korreksjoner'!$A$5:$AS$15,32))*100/'2021 Nto driftsutg landet'!C9-100</f>
        <v>#N/A</v>
      </c>
      <c r="E22" s="27" t="e">
        <f t="shared" ref="E22" si="2">+C22-D22</f>
        <v>#N/A</v>
      </c>
      <c r="F22" s="22" t="e">
        <f>('2021 Nto driftsutg landet'!$C$9*VLOOKUP(Inngang!$B$13,'2021 Inntektsnivå'!$A$5:$C$15,3)+VLOOKUP(Inngang!$B$13,'2021 Korreksjoner'!$A$5:$AS$15,9)+VLOOKUP(Inngang!$B$13,'2021 Korreksjoner'!$A$5:$AS$15,16)+VLOOKUP(Inngang!$B$13,'2021 Korreksjoner'!$A$5:$AS$15,32))*100/'2021 Nto driftsutg landet'!C9-100</f>
        <v>#N/A</v>
      </c>
      <c r="G22" s="22"/>
      <c r="H22" s="27" t="e">
        <f t="shared" ref="H22" si="3">+C22-F22</f>
        <v>#N/A</v>
      </c>
    </row>
    <row r="26" spans="2:9" x14ac:dyDescent="0.3">
      <c r="B26" s="7" t="s">
        <v>35</v>
      </c>
    </row>
    <row r="28" spans="2:9" ht="43.2" x14ac:dyDescent="0.3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</row>
    <row r="29" spans="2:9" x14ac:dyDescent="0.3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9" x14ac:dyDescent="0.3">
      <c r="B30" s="83" t="s">
        <v>140</v>
      </c>
      <c r="C30" s="84" t="e">
        <f>SUM(C31:C35)</f>
        <v>#N/A</v>
      </c>
      <c r="D30" s="84" t="e">
        <f>SUM(D31:D35)</f>
        <v>#N/A</v>
      </c>
      <c r="E30" s="85" t="e">
        <f>SUM(E31:E35)</f>
        <v>#N/A</v>
      </c>
      <c r="F30" s="87" t="e">
        <f>SUM(F31:F35)</f>
        <v>#N/A</v>
      </c>
      <c r="G30" s="84"/>
      <c r="H30" s="86" t="e">
        <f>SUM(H31:H35)</f>
        <v>#N/A</v>
      </c>
    </row>
    <row r="31" spans="2:9" x14ac:dyDescent="0.3">
      <c r="B31" s="32" t="s">
        <v>174</v>
      </c>
      <c r="C31" s="5" t="e">
        <f>VLOOKUP(Inngang!$B$13,'2021 Nto driftsutg eks avskriv'!$A$5:$T$15,4)*1000/VLOOKUP(Inngang!$B$13,'2021 Nto driftsutg'!$A$5:$W$15,23)</f>
        <v>#N/A</v>
      </c>
      <c r="D31" s="5" t="e">
        <f>+'2021 Nto driftsutg landet'!$C$5+VLOOKUP(Inngang!$B$13,'2021 Korreksjoner'!$A$5:$AS$15,5)+VLOOKUP(Inngang!$B$13,'2021 Korreksjoner'!$A$5:$I$15,3)+VLOOKUP(Inngang!$B$13,'2021 Korreksjoner'!$A$5:$AS$15,12)+VLOOKUP(Inngang!$B$13,'2021 Korreksjoner'!$A$5:$AS$15,28)</f>
        <v>#N/A</v>
      </c>
      <c r="E31" s="17" t="e">
        <f>+C31-D31</f>
        <v>#N/A</v>
      </c>
      <c r="F31" s="14" t="e">
        <f>+'2021 Nto driftsutg landet'!$C$5*VLOOKUP(Inngang!$B$13,'2021 Inntektsnivå'!$A$5:$C$15,3)+VLOOKUP(Inngang!$B$13,'2021 Korreksjoner'!$A$5:$AS$15,5)+VLOOKUP(Inngang!$B$13,'2021 Korreksjoner'!$A$5:$AS$15,3)+VLOOKUP(Inngang!$B$13,'2021 Korreksjoner'!$A$5:$AS$15,12)+VLOOKUP(Inngang!$B$13,'2021 Korreksjoner'!$A$5:$AS$15,28)</f>
        <v>#N/A</v>
      </c>
      <c r="G31" s="5"/>
      <c r="H31" s="16" t="e">
        <f>IF(F34=G34,C31-F31,(C31-F31)-(G34-F34)*C31/C30)</f>
        <v>#N/A</v>
      </c>
      <c r="I31" s="105"/>
    </row>
    <row r="32" spans="2:9" x14ac:dyDescent="0.3">
      <c r="B32" s="32" t="s">
        <v>175</v>
      </c>
      <c r="C32" s="5" t="e">
        <f>VLOOKUP(Inngang!$B$13,'2021 Nto driftsutg eks avskriv'!$A$5:$T$15,5)*1000/VLOOKUP(Inngang!$B$13,'2021 Nto driftsutg'!$A$5:$W$15,23)</f>
        <v>#N/A</v>
      </c>
      <c r="D32" s="5" t="e">
        <f>+'2021 Nto driftsutg landet'!$C$6+VLOOKUP(Inngang!$B$13,'2021 Korreksjoner'!$A$5:$AS$15,6)+VLOOKUP(Inngang!$B$13,'2021 Korreksjoner'!$A$5:$AS$15,13)+VLOOKUP(Inngang!$B$13,'2021 Korreksjoner'!$A$5:$AS$15,29)</f>
        <v>#N/A</v>
      </c>
      <c r="E32" s="17" t="e">
        <f>+C32-D32</f>
        <v>#N/A</v>
      </c>
      <c r="F32" s="14" t="e">
        <f>+'2021 Nto driftsutg landet'!$C$6*VLOOKUP(Inngang!$B$13,'2021 Inntektsnivå'!$A$5:$C$15,3)+VLOOKUP(Inngang!$B$13,'2021 Korreksjoner'!$A$5:$AS$15,6)+VLOOKUP(Inngang!$B$13,'2021 Korreksjoner'!$A$5:$AS$15,13)+VLOOKUP(Inngang!$B$13,'2021 Korreksjoner'!$A$5:$AS$15,29)</f>
        <v>#N/A</v>
      </c>
      <c r="G32" s="5"/>
      <c r="H32" s="16" t="e">
        <f>IF(F34=G34,C32-F32,(C32-F32)-(G34-F34)*C32/C30)</f>
        <v>#N/A</v>
      </c>
      <c r="I32" s="105"/>
    </row>
    <row r="33" spans="2:9" x14ac:dyDescent="0.3">
      <c r="B33" s="32" t="s">
        <v>278</v>
      </c>
      <c r="C33" s="5" t="e">
        <f>VLOOKUP(Inngang!$B$13,'2021 Nto driftsutg eks avskriv'!$A$5:$T$15,6)*1000/VLOOKUP(Inngang!$B$13,'2021 Nto driftsutg'!$A$5:$W$15,23)</f>
        <v>#N/A</v>
      </c>
      <c r="D33" s="5" t="e">
        <f>+'2021 Nto driftsutg landet'!$C$7+VLOOKUP(Inngang!$B$13,'2021 Korreksjoner'!$A$5:$AS$15,7)+VLOOKUP(Inngang!$B$13,'2021 Korreksjoner'!$A$5:$AS$15,14)+VLOOKUP(Inngang!$B$13,'2021 Korreksjoner'!$A$5:$AS$15,30)</f>
        <v>#N/A</v>
      </c>
      <c r="E33" s="17" t="e">
        <f>+C33-D33</f>
        <v>#N/A</v>
      </c>
      <c r="F33" s="14" t="e">
        <f>+'2021 Nto driftsutg landet'!$C$7*VLOOKUP(Inngang!$B$13,'2021 Inntektsnivå'!$A$5:$C$15,3)+VLOOKUP(Inngang!$B$13,'2021 Korreksjoner'!$A$5:$AS$15,7)+VLOOKUP(Inngang!$B$13,'2021 Korreksjoner'!$A$5:$AS$15,14)+VLOOKUP(Inngang!$B$13,'2021 Korreksjoner'!$A$5:$AS$15,30)</f>
        <v>#N/A</v>
      </c>
      <c r="G33" s="5"/>
      <c r="H33" s="16" t="e">
        <f>IF(F34=G34,C33-F33,(C33-F33)-(G34-F34)*(C33+C34)/C30)</f>
        <v>#N/A</v>
      </c>
      <c r="I33" s="105"/>
    </row>
    <row r="34" spans="2:9" x14ac:dyDescent="0.3">
      <c r="B34" s="32" t="s">
        <v>279</v>
      </c>
      <c r="C34" s="5" t="e">
        <f>VLOOKUP(Inngang!$B$13,'2021 Nto driftsutg eks avskriv'!$A$5:$T$15,7)*1000/VLOOKUP(Inngang!$B$13,'2021 Nto driftsutg'!$A$5:$W$15,23)</f>
        <v>#N/A</v>
      </c>
      <c r="D34" s="5" t="e">
        <f>+'2021 Nto driftsutg landet'!$C$8+VLOOKUP(Inngang!$B$13,'2021 Korreksjoner'!$A$5:$AS$15,8)+VLOOKUP(Inngang!$B$13,'2021 Korreksjoner'!$A$5:$AS$15,15)+VLOOKUP(Inngang!$B$13,'2021 Korreksjoner'!$A$5:$AS$15,31)</f>
        <v>#N/A</v>
      </c>
      <c r="E34" s="17" t="e">
        <f>+C34-D34</f>
        <v>#N/A</v>
      </c>
      <c r="F34" s="14" t="e">
        <f>IF(AND(C34&gt;=0.5,D34&gt;0),IF(G34&lt;10,C34,G34),0)</f>
        <v>#N/A</v>
      </c>
      <c r="G34" s="5" t="e">
        <f>+'2021 Nto driftsutg landet'!$C$8*VLOOKUP(Inngang!$B$13,'2021 Inntektsnivå'!$A$5:$C$15,3)+VLOOKUP(Inngang!$B$13,'2021 Korreksjoner'!$A$5:$AS$15,8)+VLOOKUP(Inngang!$B$13,'2021 Korreksjoner'!$A$5:$AS$15,15)+VLOOKUP(Inngang!$B$13,'2021 Korreksjoner'!$A$5:$AS$15,31)</f>
        <v>#N/A</v>
      </c>
      <c r="H34" s="16" t="e">
        <f>+C34-F34</f>
        <v>#N/A</v>
      </c>
      <c r="I34" s="105"/>
    </row>
    <row r="35" spans="2:9" x14ac:dyDescent="0.3">
      <c r="B35" s="33" t="s">
        <v>176</v>
      </c>
      <c r="C35" s="22" t="e">
        <f>VLOOKUP(Inngang!$B$13,'2021 Nto driftsutg eks avskriv'!$A$5:$T$15,8)*1000/VLOOKUP(Inngang!$B$13,'2021 Nto driftsutg'!$A$5:$W$15,23)</f>
        <v>#N/A</v>
      </c>
      <c r="D35" s="22" t="e">
        <f>+'2021 Nto driftsutg landet'!$C$9+VLOOKUP(Inngang!$B$13,'2021 Korreksjoner'!$A$5:$AS$15,9)+VLOOKUP(Inngang!$B$13,'2021 Korreksjoner'!$A$5:$AS$15,16)+VLOOKUP(Inngang!$B$13,'2021 Korreksjoner'!$A$5:$AS$15,32)</f>
        <v>#N/A</v>
      </c>
      <c r="E35" s="40" t="e">
        <f t="shared" ref="E35:E39" si="4">+C35-D35</f>
        <v>#N/A</v>
      </c>
      <c r="F35" s="26" t="e">
        <f>+'2021 Nto driftsutg landet'!$C$9*VLOOKUP(Inngang!$B$13,'2021 Inntektsnivå'!$A$5:$C$15,3)+VLOOKUP(Inngang!$B$13,'2021 Korreksjoner'!$A$5:$AS$15,9)+VLOOKUP(Inngang!$B$13,'2021 Korreksjoner'!$A$5:$AS$15,16)+VLOOKUP(Inngang!$B$13,'2021 Korreksjoner'!$A$5:$AS$15,32)</f>
        <v>#N/A</v>
      </c>
      <c r="G35" s="22"/>
      <c r="H35" s="27" t="e">
        <f>IF(F34=G34,C35-F35,(C35-F35)-(G34-F34)*C35/C30)</f>
        <v>#N/A</v>
      </c>
      <c r="I35" s="105"/>
    </row>
    <row r="36" spans="2:9" x14ac:dyDescent="0.3">
      <c r="B36" s="32" t="s">
        <v>272</v>
      </c>
      <c r="C36" s="5" t="e">
        <f>VLOOKUP(Inngang!$B$13,'2021 Nto driftsutg eks avskriv'!$A$5:$T$15,9)*1000/VLOOKUP(Inngang!$B$13,'2021 Nto driftsutg'!$A$5:$W$15,23)</f>
        <v>#N/A</v>
      </c>
      <c r="D36" s="5" t="e">
        <f>'2021 Nto driftsutg landet'!$C$13+VLOOKUP(Inngang!$B$13,'2021 Korreksjoner'!$A$5:$AS$15,17)+VLOOKUP(Inngang!$B$13,'2021 Korreksjoner'!$A$5:$AS$15,33)+VLOOKUP(Inngang!$B$13,'2021 Korreksjoner'!$A$5:$AW$15,46)</f>
        <v>#N/A</v>
      </c>
      <c r="E36" s="17" t="e">
        <f t="shared" si="4"/>
        <v>#N/A</v>
      </c>
      <c r="F36" s="14" t="e">
        <f>+'2021 Nto driftsutg landet'!$C$13*VLOOKUP(Inngang!$B$13,'2021 Inntektsnivå'!$A$5:$C$15,3)+VLOOKUP(Inngang!$B$13,'2021 Korreksjoner'!$A$5:$AS$15,17)+VLOOKUP(Inngang!$B$13,'2021 Korreksjoner'!$A$5:$AS$15,33)+VLOOKUP(Inngang!$B$13,'2021 Korreksjoner'!$A$5:$AV$15,46)</f>
        <v>#N/A</v>
      </c>
      <c r="G36" s="5"/>
      <c r="H36" s="16" t="e">
        <f t="shared" ref="H36:H39" si="5">+C36-F36</f>
        <v>#N/A</v>
      </c>
    </row>
    <row r="37" spans="2:9" x14ac:dyDescent="0.3">
      <c r="B37" s="32" t="s">
        <v>27</v>
      </c>
      <c r="C37" s="5" t="e">
        <f>VLOOKUP(Inngang!$B$13,'2021 Nto driftsutg eks avskriv'!$A$5:$T$15,18)*1000/VLOOKUP(Inngang!$B$13,'2021 Nto driftsutg'!$A$5:$W$15,23)</f>
        <v>#N/A</v>
      </c>
      <c r="D37" s="5" t="e">
        <f>'2021 Nto driftsutg landet'!$C$14+VLOOKUP(Inngang!$B$13,'2021 Korreksjoner'!$A$5:$AX$15,44)</f>
        <v>#N/A</v>
      </c>
      <c r="E37" s="17" t="e">
        <f t="shared" si="4"/>
        <v>#N/A</v>
      </c>
      <c r="F37" s="14" t="e">
        <f>+'2021 Nto driftsutg landet'!$C$14*VLOOKUP(Inngang!$B$13,'2021 Inntektsnivå'!$A$5:$C$15,3)+VLOOKUP(Inngang!$B$13,'2021 Korreksjoner'!$A$5:$AX$15,44)</f>
        <v>#N/A</v>
      </c>
      <c r="G37" s="5"/>
      <c r="H37" s="16" t="e">
        <f t="shared" si="5"/>
        <v>#N/A</v>
      </c>
    </row>
    <row r="38" spans="2:9" x14ac:dyDescent="0.3">
      <c r="B38" s="32" t="s">
        <v>24</v>
      </c>
      <c r="C38" s="5" t="e">
        <f>VLOOKUP(Inngang!$B$13,'2021 Nto driftsutg eks avskriv'!$A$5:$T$15,19)*1000/VLOOKUP(Inngang!$B$13,'2021 Nto driftsutg'!$A$5:$W$15,23)</f>
        <v>#N/A</v>
      </c>
      <c r="D38" s="93">
        <f>'2021 Nto driftsutg landet'!$C$15</f>
        <v>732.95448988877308</v>
      </c>
      <c r="E38" s="94" t="e">
        <f t="shared" si="4"/>
        <v>#N/A</v>
      </c>
      <c r="F38" s="95" t="e">
        <f>+'2021 Nto driftsutg landet'!$C$15*VLOOKUP(Inngang!$B$13,'2021 Inntektsnivå'!$A$5:$C$15,3)</f>
        <v>#N/A</v>
      </c>
      <c r="G38" s="93"/>
      <c r="H38" s="96" t="e">
        <f t="shared" si="5"/>
        <v>#N/A</v>
      </c>
      <c r="I38" s="5"/>
    </row>
    <row r="39" spans="2:9" x14ac:dyDescent="0.3">
      <c r="B39" s="33" t="s">
        <v>25</v>
      </c>
      <c r="C39" s="22" t="e">
        <f>VLOOKUP(Inngang!$B$13,'2021 Nto driftsutg eks avskriv'!$A$5:$T$15,20)*1000/VLOOKUP(Inngang!$B$13,'2021 Nto driftsutg'!$A$5:$W$15,23)</f>
        <v>#N/A</v>
      </c>
      <c r="D39" s="97">
        <f>'2021 Nto driftsutg landet'!$C$16</f>
        <v>1436.8879182557412</v>
      </c>
      <c r="E39" s="98" t="e">
        <f t="shared" si="4"/>
        <v>#N/A</v>
      </c>
      <c r="F39" s="99" t="e">
        <f>+'2021 Nto driftsutg landet'!$C$16*VLOOKUP(Inngang!$B$13,'2021 Inntektsnivå'!$A$5:$C$15,3)</f>
        <v>#N/A</v>
      </c>
      <c r="G39" s="93"/>
      <c r="H39" s="96" t="e">
        <f t="shared" si="5"/>
        <v>#N/A</v>
      </c>
    </row>
    <row r="40" spans="2:9" x14ac:dyDescent="0.3">
      <c r="B40" s="28" t="s">
        <v>18</v>
      </c>
      <c r="C40" s="29" t="e">
        <f>SUM(C31:C39)</f>
        <v>#N/A</v>
      </c>
      <c r="D40" s="30" t="e">
        <f>SUM(D31:D39)</f>
        <v>#N/A</v>
      </c>
      <c r="E40" s="31" t="e">
        <f>SUM(E31:E39)</f>
        <v>#N/A</v>
      </c>
      <c r="F40" s="29" t="e">
        <f>SUM(F31:F39)</f>
        <v>#N/A</v>
      </c>
      <c r="G40" s="30"/>
      <c r="H40" s="34" t="e">
        <f>SUM(H31:H39)</f>
        <v>#N/A</v>
      </c>
    </row>
    <row r="41" spans="2:9" x14ac:dyDescent="0.3">
      <c r="C41" s="5"/>
    </row>
    <row r="42" spans="2:9" x14ac:dyDescent="0.3">
      <c r="I42" s="5"/>
    </row>
    <row r="43" spans="2:9" x14ac:dyDescent="0.3">
      <c r="B43" s="7" t="s">
        <v>36</v>
      </c>
      <c r="I43" s="5"/>
    </row>
    <row r="45" spans="2:9" ht="43.2" x14ac:dyDescent="0.3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</row>
    <row r="46" spans="2:9" x14ac:dyDescent="0.3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9" x14ac:dyDescent="0.3">
      <c r="B47" s="83" t="s">
        <v>137</v>
      </c>
      <c r="C47" s="84" t="e">
        <f>SUM(C48:C53)</f>
        <v>#N/A</v>
      </c>
      <c r="D47" s="84" t="e">
        <f>SUM(D48:D53)</f>
        <v>#N/A</v>
      </c>
      <c r="E47" s="88" t="e">
        <f>SUM(E48:E53)</f>
        <v>#N/A</v>
      </c>
      <c r="F47" s="89" t="e">
        <f>SUM(F48:F53)</f>
        <v>#N/A</v>
      </c>
      <c r="G47" s="84"/>
      <c r="H47" s="90" t="e">
        <f>SUM(H48:H53)</f>
        <v>#N/A</v>
      </c>
    </row>
    <row r="48" spans="2:9" x14ac:dyDescent="0.3">
      <c r="B48" s="32" t="s">
        <v>4</v>
      </c>
      <c r="C48" s="5" t="e">
        <f>VLOOKUP(Inngang!$B$13,'2021 Nto driftsutg eks avskriv'!$A$5:$T$15,11)*1000/VLOOKUP(Inngang!$B$13,'2021 Nto driftsutg'!$A$5:$W$15,23)</f>
        <v>#N/A</v>
      </c>
      <c r="D48" s="5" t="e">
        <f>'2021 Nto driftsutg eks avskriv'!K$17*1000/'2021 Nto driftsutg'!$W$17+VLOOKUP(Inngang!$B$13,'2021 Korreksjoner'!$A$5:$AS$15,19)+VLOOKUP(Inngang!$B$13,'2021 Korreksjoner'!$A$5:$AS$15,35)</f>
        <v>#N/A</v>
      </c>
      <c r="E48" s="17" t="e">
        <f t="shared" ref="E48:E53" si="6">+C48-D48</f>
        <v>#N/A</v>
      </c>
      <c r="F48" s="14" t="e">
        <f>+'2021 Nto driftsutg landet'!$C$23*VLOOKUP(Inngang!$B$13,'2021 Inntektsnivå'!$A$5:$C$15,3)+VLOOKUP(Inngang!$B$13,'2021 Korreksjoner'!$A$5:$AS$15,19)+VLOOKUP(Inngang!$B$13,'2021 Korreksjoner'!$A$5:$AS$15,35)</f>
        <v>#N/A</v>
      </c>
      <c r="G48" s="5"/>
      <c r="H48" s="16" t="e">
        <f t="shared" ref="H48:H53" si="7">+C48-F48</f>
        <v>#N/A</v>
      </c>
    </row>
    <row r="49" spans="2:9" x14ac:dyDescent="0.3">
      <c r="B49" s="32" t="s">
        <v>271</v>
      </c>
      <c r="C49" s="5" t="e">
        <f>VLOOKUP(Inngang!$B$13,'2021 Nto driftsutg eks avskriv'!$A$5:$T$15,12)*1000/VLOOKUP(Inngang!$B$13,'2021 Nto driftsutg'!$A$5:$W$15,23)</f>
        <v>#N/A</v>
      </c>
      <c r="D49" s="5" t="e">
        <f>'2021 Nto driftsutg eks avskriv'!L$17*1000/'2021 Nto driftsutg'!$W$17+VLOOKUP(Inngang!$B$13,'2021 Korreksjoner'!$A$5:$AS$15,20)+VLOOKUP(Inngang!$B$13,'2021 Korreksjoner'!$A$5:$AS$15,36)</f>
        <v>#N/A</v>
      </c>
      <c r="E49" s="17" t="e">
        <f t="shared" si="6"/>
        <v>#N/A</v>
      </c>
      <c r="F49" s="14" t="e">
        <f>+'2021 Nto driftsutg landet'!$C$24*VLOOKUP(Inngang!$B$13,'2021 Inntektsnivå'!$A$5:$C$15,3)+VLOOKUP(Inngang!$B$13,'2021 Korreksjoner'!$A$5:$AS$15,20)+VLOOKUP(Inngang!$B$13,'2021 Korreksjoner'!$A$5:$AS$15,36)</f>
        <v>#N/A</v>
      </c>
      <c r="G49" s="5"/>
      <c r="H49" s="16" t="e">
        <f t="shared" si="7"/>
        <v>#N/A</v>
      </c>
    </row>
    <row r="50" spans="2:9" x14ac:dyDescent="0.3">
      <c r="B50" s="32" t="s">
        <v>37</v>
      </c>
      <c r="C50" s="5" t="e">
        <f>VLOOKUP(Inngang!$B$13,'2021 Nto driftsutg eks avskriv'!$A$5:$T$15,13)*1000/VLOOKUP(Inngang!$B$13,'2021 Nto driftsutg'!$A$5:$W$15,23)</f>
        <v>#N/A</v>
      </c>
      <c r="D50" s="5" t="e">
        <f>'2021 Nto driftsutg eks avskriv'!M$17*1000/'2021 Nto driftsutg'!$W$17+VLOOKUP(Inngang!$B$13,'2021 Korreksjoner'!$A$5:$AS$15,21)+VLOOKUP(Inngang!$B$13,'2021 Korreksjoner'!$A$5:$AS$15,37)</f>
        <v>#N/A</v>
      </c>
      <c r="E50" s="17" t="e">
        <f t="shared" si="6"/>
        <v>#N/A</v>
      </c>
      <c r="F50" s="14" t="e">
        <f>+'2021 Nto driftsutg landet'!$C$25*VLOOKUP(Inngang!$B$13,'2021 Inntektsnivå'!$A$5:$C$15,3)+VLOOKUP(Inngang!$B$13,'2021 Korreksjoner'!$A$5:$AS$15,21)+VLOOKUP(Inngang!$B$13,'2021 Korreksjoner'!$A$5:$AS$15,37)</f>
        <v>#N/A</v>
      </c>
      <c r="G50" s="5"/>
      <c r="H50" s="16" t="e">
        <f t="shared" si="7"/>
        <v>#N/A</v>
      </c>
    </row>
    <row r="51" spans="2:9" x14ac:dyDescent="0.3">
      <c r="B51" s="32" t="s">
        <v>178</v>
      </c>
      <c r="C51" s="5" t="e">
        <f>VLOOKUP(Inngang!$B$13,'2021 Nto driftsutg eks avskriv'!$A$5:$T$15,14)*1000/VLOOKUP(Inngang!$B$13,'2021 Nto driftsutg'!$A$5:$W$15,23)</f>
        <v>#N/A</v>
      </c>
      <c r="D51" s="5" t="e">
        <f>'2021 Nto driftsutg eks avskriv'!N$17*1000/'2021 Nto driftsutg'!$W$17+VLOOKUP(Inngang!$B$13,'2021 Korreksjoner'!$A$5:$AS$15,22)+VLOOKUP(Inngang!$B$13,'2021 Korreksjoner'!$A$5:$AS$15,38)</f>
        <v>#N/A</v>
      </c>
      <c r="E51" s="17" t="e">
        <f t="shared" si="6"/>
        <v>#N/A</v>
      </c>
      <c r="F51" s="14" t="e">
        <f>+'2021 Nto driftsutg landet'!$C$26*VLOOKUP(Inngang!$B$13,'2021 Inntektsnivå'!$A$5:$C$15,3)+VLOOKUP(Inngang!$B$13,'2021 Korreksjoner'!$A$5:$AS$15,22)+VLOOKUP(Inngang!$B$13,'2021 Korreksjoner'!$A$5:$AS$15,38)</f>
        <v>#N/A</v>
      </c>
      <c r="G51" s="5"/>
      <c r="H51" s="16" t="e">
        <f t="shared" si="7"/>
        <v>#N/A</v>
      </c>
    </row>
    <row r="52" spans="2:9" x14ac:dyDescent="0.3">
      <c r="B52" s="32" t="s">
        <v>138</v>
      </c>
      <c r="C52" s="5" t="e">
        <f>VLOOKUP(Inngang!$B$13,'2021 Nto driftsutg eks avskriv'!$A$5:$T$15,15)*1000/VLOOKUP(Inngang!$B$13,'2021 Nto driftsutg'!$A$5:$W$15,23)</f>
        <v>#N/A</v>
      </c>
      <c r="D52" s="5" t="e">
        <f>'2021 Nto driftsutg eks avskriv'!O17*1000/'2021 Nto driftsutg'!$W$17+VLOOKUP(Inngang!$B$13,'2021 Korreksjoner'!$A$5:$AS$15,23)+VLOOKUP(Inngang!$B$13,'2021 Korreksjoner'!$A$5:$AS$15,39)</f>
        <v>#N/A</v>
      </c>
      <c r="E52" s="17" t="e">
        <f t="shared" si="6"/>
        <v>#N/A</v>
      </c>
      <c r="F52" s="14" t="e">
        <f>'2021 Nto driftsutg landet'!$C$27*VLOOKUP(Inngang!$B$13,'2021 Inntektsnivå'!$A$5:$C$15,3)+VLOOKUP(Inngang!$B$13,'2021 Korreksjoner'!$A$5:$AS$15,23)+VLOOKUP(Inngang!$B$13,'2021 Korreksjoner'!$A$5:$AS$15,39)</f>
        <v>#N/A</v>
      </c>
      <c r="G52" s="5"/>
      <c r="H52" s="16" t="e">
        <f t="shared" si="7"/>
        <v>#N/A</v>
      </c>
    </row>
    <row r="53" spans="2:9" x14ac:dyDescent="0.3">
      <c r="B53" s="61" t="s">
        <v>129</v>
      </c>
      <c r="C53" s="22" t="e">
        <f>VLOOKUP(Inngang!$B$13,'2021 Nto driftsutg eks avskriv'!$A$5:$T$15,16)*1000/VLOOKUP(Inngang!$B$13,'2021 Nto driftsutg'!$A$5:$W$15,23)</f>
        <v>#N/A</v>
      </c>
      <c r="D53" s="22" t="e">
        <f>'2021 Nto driftsutg eks avskriv'!P17*1000/'2021 Nto driftsutg'!$W$17+VLOOKUP(Inngang!$B$13,'2021 Korreksjoner'!$A$5:$AS$15,24)+VLOOKUP(Inngang!$B$13,'2021 Korreksjoner'!$A$5:$AS$15,40)</f>
        <v>#N/A</v>
      </c>
      <c r="E53" s="40" t="e">
        <f t="shared" si="6"/>
        <v>#N/A</v>
      </c>
      <c r="F53" s="26" t="e">
        <f>'2021 Nto driftsutg landet'!$C$28*VLOOKUP(Inngang!$B$13,'2021 Inntektsnivå'!$A$5:$C$15,3)+VLOOKUP(Inngang!$B$13,'2021 Korreksjoner'!$A$5:$AS$15,24)+VLOOKUP(Inngang!$B$13,'2021 Korreksjoner'!$A$5:$AS$15,40)</f>
        <v>#N/A</v>
      </c>
      <c r="G53" s="22"/>
      <c r="H53" s="27" t="e">
        <f t="shared" si="7"/>
        <v>#N/A</v>
      </c>
    </row>
    <row r="54" spans="2:9" x14ac:dyDescent="0.3">
      <c r="B54" s="28" t="s">
        <v>137</v>
      </c>
      <c r="C54" s="30" t="e">
        <f>SUM(C48:C53)</f>
        <v>#N/A</v>
      </c>
      <c r="D54" s="30" t="e">
        <f>SUM(D48:D53)</f>
        <v>#N/A</v>
      </c>
      <c r="E54" s="31" t="e">
        <f>SUM(E48:E53)</f>
        <v>#N/A</v>
      </c>
      <c r="F54" s="29" t="e">
        <f>SUM(F48:F53)</f>
        <v>#N/A</v>
      </c>
      <c r="G54" s="30"/>
      <c r="H54" s="34" t="e">
        <f>SUM(H48:H53)</f>
        <v>#N/A</v>
      </c>
      <c r="I54" s="5"/>
    </row>
    <row r="55" spans="2:9" x14ac:dyDescent="0.3">
      <c r="I55" s="5"/>
    </row>
    <row r="56" spans="2:9" x14ac:dyDescent="0.3">
      <c r="I56" s="5"/>
    </row>
    <row r="57" spans="2:9" x14ac:dyDescent="0.3">
      <c r="I57" s="5"/>
    </row>
    <row r="58" spans="2:9" x14ac:dyDescent="0.3">
      <c r="B58" s="38" t="s">
        <v>128</v>
      </c>
      <c r="C58" s="20" t="s">
        <v>274</v>
      </c>
      <c r="D58" s="67" t="s">
        <v>3</v>
      </c>
      <c r="I58" s="5"/>
    </row>
    <row r="59" spans="2:9" x14ac:dyDescent="0.3">
      <c r="B59" s="62" t="s">
        <v>174</v>
      </c>
      <c r="C59" s="70" t="e">
        <f>VLOOKUP(Inngang!$B$13,'2021 Revekting utgiftsbehov'!$A$5:$I$15,4)</f>
        <v>#N/A</v>
      </c>
      <c r="D59" s="68">
        <v>1</v>
      </c>
      <c r="I59" s="5"/>
    </row>
    <row r="60" spans="2:9" x14ac:dyDescent="0.3">
      <c r="B60" s="62" t="s">
        <v>175</v>
      </c>
      <c r="C60" s="70" t="e">
        <f>VLOOKUP(Inngang!$B$13,'2021 Revekting utgiftsbehov'!$A$5:$I$15,5)</f>
        <v>#N/A</v>
      </c>
      <c r="D60" s="68">
        <v>1</v>
      </c>
      <c r="I60" s="5"/>
    </row>
    <row r="61" spans="2:9" x14ac:dyDescent="0.3">
      <c r="B61" s="32" t="s">
        <v>278</v>
      </c>
      <c r="C61" s="70" t="e">
        <f>VLOOKUP(Inngang!$B$13,'2021 Revekting utgiftsbehov'!$A$5:$I$15,6)</f>
        <v>#N/A</v>
      </c>
      <c r="D61" s="68">
        <v>1</v>
      </c>
      <c r="I61" s="5"/>
    </row>
    <row r="62" spans="2:9" x14ac:dyDescent="0.3">
      <c r="B62" s="32" t="s">
        <v>279</v>
      </c>
      <c r="C62" s="70" t="e">
        <f>VLOOKUP(Inngang!$B$13,'2021 Revekting utgiftsbehov'!$A$5:$I$15,7)</f>
        <v>#N/A</v>
      </c>
      <c r="D62" s="68">
        <v>1</v>
      </c>
      <c r="I62" s="5"/>
    </row>
    <row r="63" spans="2:9" x14ac:dyDescent="0.3">
      <c r="B63" s="63" t="s">
        <v>176</v>
      </c>
      <c r="C63" s="71" t="e">
        <f>VLOOKUP(Inngang!$B$13,'2021 Revekting utgiftsbehov'!$A$5:$I$15,8)</f>
        <v>#N/A</v>
      </c>
      <c r="D63" s="69">
        <v>1</v>
      </c>
      <c r="I63" s="5"/>
    </row>
    <row r="64" spans="2:9" x14ac:dyDescent="0.3">
      <c r="B64" s="80" t="s">
        <v>133</v>
      </c>
      <c r="C64" s="81" t="e">
        <f>+VLOOKUP(Inngang!$B$13,'2021 Revekting utgiftsbehov'!$A$5:$I$15,9)</f>
        <v>#N/A</v>
      </c>
      <c r="D64" s="82">
        <v>1</v>
      </c>
      <c r="I64" s="5"/>
    </row>
    <row r="65" spans="2:9" x14ac:dyDescent="0.3">
      <c r="I65" s="5"/>
    </row>
    <row r="66" spans="2:9" x14ac:dyDescent="0.3">
      <c r="I66" s="5"/>
    </row>
    <row r="67" spans="2:9" x14ac:dyDescent="0.3">
      <c r="I67" s="5"/>
    </row>
    <row r="68" spans="2:9" ht="28.8" x14ac:dyDescent="0.3">
      <c r="B68" s="73" t="s">
        <v>130</v>
      </c>
      <c r="C68" s="76" t="s">
        <v>275</v>
      </c>
      <c r="D68" s="76" t="s">
        <v>276</v>
      </c>
    </row>
    <row r="69" spans="2:9" x14ac:dyDescent="0.3">
      <c r="B69" s="32" t="s">
        <v>139</v>
      </c>
      <c r="C69" s="74" t="e">
        <f>SUM(C70:C78)</f>
        <v>#N/A</v>
      </c>
    </row>
    <row r="70" spans="2:9" x14ac:dyDescent="0.3">
      <c r="B70" s="32" t="s">
        <v>174</v>
      </c>
      <c r="C70" s="74" t="e">
        <f>+C31-'2021 Nto driftsutg landet'!$C5</f>
        <v>#N/A</v>
      </c>
    </row>
    <row r="71" spans="2:9" x14ac:dyDescent="0.3">
      <c r="B71" s="32" t="s">
        <v>175</v>
      </c>
      <c r="C71" s="74" t="e">
        <f>+C32-'2021 Nto driftsutg landet'!$C6</f>
        <v>#N/A</v>
      </c>
    </row>
    <row r="72" spans="2:9" x14ac:dyDescent="0.3">
      <c r="B72" s="32" t="s">
        <v>278</v>
      </c>
      <c r="C72" s="74" t="e">
        <f>+C33-'2021 Nto driftsutg landet'!$C7</f>
        <v>#N/A</v>
      </c>
    </row>
    <row r="73" spans="2:9" x14ac:dyDescent="0.3">
      <c r="B73" s="32" t="s">
        <v>279</v>
      </c>
      <c r="C73" s="74" t="e">
        <f>+C34-'2021 Nto driftsutg landet'!$C8</f>
        <v>#N/A</v>
      </c>
    </row>
    <row r="74" spans="2:9" x14ac:dyDescent="0.3">
      <c r="B74" s="32" t="s">
        <v>176</v>
      </c>
      <c r="C74" s="74" t="e">
        <f>+C35-'2021 Nto driftsutg landet'!$C9</f>
        <v>#N/A</v>
      </c>
    </row>
    <row r="75" spans="2:9" x14ac:dyDescent="0.3">
      <c r="B75" s="32" t="s">
        <v>127</v>
      </c>
      <c r="C75" s="74" t="e">
        <f>+C36-'2021 Nto driftsutg landet'!$C13</f>
        <v>#N/A</v>
      </c>
    </row>
    <row r="76" spans="2:9" x14ac:dyDescent="0.3">
      <c r="B76" s="32" t="s">
        <v>27</v>
      </c>
      <c r="C76" s="74" t="e">
        <f>+C37-'2021 Nto driftsutg landet'!$C14</f>
        <v>#N/A</v>
      </c>
    </row>
    <row r="77" spans="2:9" x14ac:dyDescent="0.3">
      <c r="B77" s="32" t="s">
        <v>24</v>
      </c>
      <c r="C77" s="74" t="e">
        <f>+C38-'2021 Nto driftsutg landet'!$C15</f>
        <v>#N/A</v>
      </c>
    </row>
    <row r="78" spans="2:9" x14ac:dyDescent="0.3">
      <c r="B78" s="33" t="s">
        <v>25</v>
      </c>
      <c r="C78" s="75" t="e">
        <f>+C39-'2021 Nto driftsutg landet'!$C16</f>
        <v>#N/A</v>
      </c>
    </row>
    <row r="80" spans="2:9" x14ac:dyDescent="0.3">
      <c r="E80" s="5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AW22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2" width="18.5546875" customWidth="1"/>
    <col min="3" max="3" width="14.5546875" customWidth="1"/>
    <col min="4" max="4" width="4" customWidth="1"/>
    <col min="5" max="9" width="13.109375" customWidth="1"/>
    <col min="10" max="10" width="14.5546875" customWidth="1"/>
    <col min="11" max="11" width="3.5546875" customWidth="1"/>
    <col min="17" max="17" width="14.5546875" customWidth="1"/>
    <col min="26" max="26" width="14.5546875" customWidth="1"/>
    <col min="27" max="27" width="4.88671875" customWidth="1"/>
    <col min="33" max="33" width="14.5546875" customWidth="1"/>
    <col min="42" max="42" width="14.5546875" customWidth="1"/>
    <col min="43" max="43" width="5.44140625" customWidth="1"/>
    <col min="44" max="44" width="14.5546875" customWidth="1"/>
    <col min="45" max="45" width="6" customWidth="1"/>
    <col min="46" max="46" width="14.5546875" customWidth="1"/>
    <col min="47" max="47" width="6" customWidth="1"/>
    <col min="48" max="48" width="14.5546875" customWidth="1"/>
    <col min="49" max="49" width="16.44140625" customWidth="1"/>
  </cols>
  <sheetData>
    <row r="2" spans="1:49" ht="104.25" customHeight="1" x14ac:dyDescent="0.3">
      <c r="A2" s="24" t="s">
        <v>2</v>
      </c>
      <c r="B2" s="24" t="s">
        <v>1</v>
      </c>
      <c r="C2" s="13" t="s">
        <v>17</v>
      </c>
      <c r="D2" s="24"/>
      <c r="E2" s="24" t="s">
        <v>179</v>
      </c>
      <c r="F2" s="24" t="s">
        <v>180</v>
      </c>
      <c r="G2" s="24" t="s">
        <v>280</v>
      </c>
      <c r="H2" s="24" t="s">
        <v>281</v>
      </c>
      <c r="I2" s="24" t="s">
        <v>181</v>
      </c>
      <c r="J2" s="13" t="s">
        <v>90</v>
      </c>
      <c r="K2" s="24"/>
      <c r="L2" s="24" t="s">
        <v>182</v>
      </c>
      <c r="M2" s="24" t="s">
        <v>183</v>
      </c>
      <c r="N2" s="24" t="s">
        <v>282</v>
      </c>
      <c r="O2" s="24" t="s">
        <v>283</v>
      </c>
      <c r="P2" s="24" t="s">
        <v>184</v>
      </c>
      <c r="Q2" s="47" t="s">
        <v>83</v>
      </c>
      <c r="R2" s="24" t="s">
        <v>85</v>
      </c>
      <c r="S2" s="24" t="s">
        <v>185</v>
      </c>
      <c r="T2" s="24" t="s">
        <v>186</v>
      </c>
      <c r="U2" s="24" t="s">
        <v>86</v>
      </c>
      <c r="V2" s="24" t="s">
        <v>187</v>
      </c>
      <c r="W2" s="24" t="s">
        <v>87</v>
      </c>
      <c r="X2" s="24" t="s">
        <v>88</v>
      </c>
      <c r="Y2" s="24"/>
      <c r="Z2" s="13" t="s">
        <v>91</v>
      </c>
      <c r="AA2" s="24"/>
      <c r="AB2" s="24" t="s">
        <v>188</v>
      </c>
      <c r="AC2" s="24" t="s">
        <v>189</v>
      </c>
      <c r="AD2" s="24" t="s">
        <v>284</v>
      </c>
      <c r="AE2" s="24" t="s">
        <v>285</v>
      </c>
      <c r="AF2" s="24" t="s">
        <v>190</v>
      </c>
      <c r="AG2" s="47" t="s">
        <v>100</v>
      </c>
      <c r="AH2" s="24"/>
      <c r="AI2" s="24" t="s">
        <v>191</v>
      </c>
      <c r="AJ2" s="24" t="s">
        <v>192</v>
      </c>
      <c r="AK2" s="24" t="s">
        <v>101</v>
      </c>
      <c r="AL2" s="24" t="s">
        <v>193</v>
      </c>
      <c r="AM2" s="24" t="s">
        <v>102</v>
      </c>
      <c r="AN2" s="24" t="s">
        <v>103</v>
      </c>
      <c r="AO2" s="24"/>
      <c r="AP2" s="13" t="s">
        <v>104</v>
      </c>
      <c r="AQ2" s="52"/>
      <c r="AR2" s="13" t="s">
        <v>121</v>
      </c>
      <c r="AS2" s="52"/>
      <c r="AT2" s="13"/>
      <c r="AU2" s="52"/>
      <c r="AV2" s="13" t="s">
        <v>105</v>
      </c>
    </row>
    <row r="3" spans="1:49" x14ac:dyDescent="0.3">
      <c r="A3" s="107">
        <v>1</v>
      </c>
      <c r="B3" s="107">
        <f>+A3+1</f>
        <v>2</v>
      </c>
      <c r="C3" s="12">
        <f>+B3+1</f>
        <v>3</v>
      </c>
      <c r="D3" s="107">
        <f t="shared" ref="D3:AV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2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48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2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  <c r="AE3" s="107">
        <f t="shared" si="0"/>
        <v>31</v>
      </c>
      <c r="AF3" s="107">
        <f t="shared" si="0"/>
        <v>32</v>
      </c>
      <c r="AG3" s="48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7">
        <f t="shared" si="0"/>
        <v>39</v>
      </c>
      <c r="AN3" s="107">
        <f t="shared" si="0"/>
        <v>40</v>
      </c>
      <c r="AO3" s="107">
        <f t="shared" si="0"/>
        <v>41</v>
      </c>
      <c r="AP3" s="12">
        <f t="shared" si="0"/>
        <v>42</v>
      </c>
      <c r="AQ3" s="53">
        <f t="shared" si="0"/>
        <v>43</v>
      </c>
      <c r="AR3" s="12">
        <f t="shared" si="0"/>
        <v>44</v>
      </c>
      <c r="AS3" s="53">
        <f t="shared" si="0"/>
        <v>45</v>
      </c>
      <c r="AT3" s="12">
        <f t="shared" si="0"/>
        <v>46</v>
      </c>
      <c r="AU3" s="53">
        <f t="shared" si="0"/>
        <v>47</v>
      </c>
      <c r="AV3" s="12">
        <f t="shared" si="0"/>
        <v>48</v>
      </c>
    </row>
    <row r="4" spans="1:49" x14ac:dyDescent="0.3">
      <c r="C4" s="21"/>
      <c r="J4" s="21"/>
      <c r="Q4" s="49"/>
      <c r="Z4" s="21"/>
      <c r="AG4" s="49"/>
      <c r="AP4" s="21"/>
      <c r="AR4" s="21"/>
      <c r="AT4" s="21"/>
      <c r="AV4" s="21"/>
    </row>
    <row r="5" spans="1:49" x14ac:dyDescent="0.3">
      <c r="A5" s="43">
        <v>300</v>
      </c>
      <c r="B5" s="44" t="s">
        <v>0</v>
      </c>
      <c r="C5" s="11">
        <f>+'2021 Grunnlag korreksjoner'!C5*1000/'2021 Nto driftsutg'!W5</f>
        <v>-61.629725888181142</v>
      </c>
      <c r="D5" s="1"/>
      <c r="E5" s="1">
        <f>+'2021 Nto driftsutg landet'!$C$5*'2021 Revekting utgiftsbehov'!Z5-'2021 Nto driftsutg landet'!$C$5</f>
        <v>-1845.3869549120873</v>
      </c>
      <c r="F5" s="1">
        <f>+'2021 Nto driftsutg landet'!$C$6*'2021 Revekting utgiftsbehov'!AA5-'2021 Nto driftsutg landet'!$C$6</f>
        <v>-1198.5840485467838</v>
      </c>
      <c r="G5" s="1">
        <f>+'2021 Nto driftsutg landet'!$C$7*'2021 Revekting utgiftsbehov'!AB5-'2021 Nto driftsutg landet'!$C$7</f>
        <v>1851.4710035708504</v>
      </c>
      <c r="H5" s="1">
        <f>+'2021 Nto driftsutg landet'!$C$8*'2021 Revekting utgiftsbehov'!AC5-'2021 Nto driftsutg landet'!$C$8</f>
        <v>-809.12901701539568</v>
      </c>
      <c r="I5" s="1">
        <f>+'2021 Nto driftsutg landet'!$C$9*'2021 Revekting utgiftsbehov'!AD5-'2021 Nto driftsutg landet'!$C$9</f>
        <v>-69.227652579332698</v>
      </c>
      <c r="J5" s="11">
        <f t="shared" ref="J5:J15" si="1">SUM(E5:I5)</f>
        <v>-2070.8566694827491</v>
      </c>
      <c r="L5" s="1">
        <f>'2021 Korr med revekting arbavg'!I5</f>
        <v>26.312231281517736</v>
      </c>
      <c r="M5" s="1">
        <f>'2021 Korr med revekting arbavg'!P5</f>
        <v>0</v>
      </c>
      <c r="N5" s="1">
        <f>'2021 Korr med revekting arbavg'!W5</f>
        <v>0.33655577995915414</v>
      </c>
      <c r="O5" s="1">
        <f>'2021 Korr med revekting arbavg'!AD5</f>
        <v>0</v>
      </c>
      <c r="P5" s="1">
        <f>'2021 Korr med revekting arbavg'!AK5</f>
        <v>1.1440458735502139</v>
      </c>
      <c r="Q5" s="50">
        <f t="shared" ref="Q5:Q15" si="2">SUM(R5:Y5)</f>
        <v>-14.19717620586148</v>
      </c>
      <c r="R5" s="1"/>
      <c r="S5" s="1">
        <f>'2021 Korr med revekting arbavg'!AR5</f>
        <v>-14.145589220100403</v>
      </c>
      <c r="T5" s="1">
        <f>'2021 Korr med revekting arbavg'!AY5</f>
        <v>0</v>
      </c>
      <c r="U5" s="1">
        <f>'2021 Korr med revekting arbavg'!BF5</f>
        <v>0</v>
      </c>
      <c r="V5" s="1">
        <f>'2021 Korr med revekting arbavg'!BM5</f>
        <v>-5.1586985761077071E-2</v>
      </c>
      <c r="W5" s="1">
        <f>'2021 Korr med revekting arbavg'!BT5</f>
        <v>0</v>
      </c>
      <c r="X5" s="1">
        <f>'2021 Korr med revekting arbavg'!CA5</f>
        <v>0</v>
      </c>
      <c r="Y5" s="1"/>
      <c r="Z5" s="11">
        <f>SUM(L5:P5)+Q5</f>
        <v>13.595656729165627</v>
      </c>
      <c r="AB5" s="1">
        <f>+'2021 Korr med revekting pensj'!I5</f>
        <v>24.094405752098378</v>
      </c>
      <c r="AC5" s="1">
        <f>+'2021 Korr med revekting pensj'!P5</f>
        <v>0</v>
      </c>
      <c r="AD5" s="1">
        <f>+'2021 Korr med revekting pensj'!W5</f>
        <v>1.3140755403573763</v>
      </c>
      <c r="AE5" s="1">
        <f>+'2021 Korr med revekting pensj'!AD5</f>
        <v>0</v>
      </c>
      <c r="AF5" s="1">
        <f>+'2021 Korr med revekting pensj'!AK5</f>
        <v>28.522998842229764</v>
      </c>
      <c r="AG5" s="50">
        <f t="shared" ref="AG5:AG15" si="3">SUM(AH5:AO5)</f>
        <v>-71.785745924730335</v>
      </c>
      <c r="AH5" s="1"/>
      <c r="AI5" s="1">
        <f>+'2021 Korr med revekting pensj'!AR5</f>
        <v>-74.97139445973788</v>
      </c>
      <c r="AJ5" s="1">
        <f>+'2021 Korr med revekting pensj'!AY5</f>
        <v>0</v>
      </c>
      <c r="AK5" s="1">
        <f>+'2021 Korr med revekting pensj'!BF5</f>
        <v>0</v>
      </c>
      <c r="AL5" s="1">
        <f>+'2021 Korr med revekting pensj'!BM5</f>
        <v>3.1856485350075388</v>
      </c>
      <c r="AM5" s="1">
        <f>+'2021 Korr med revekting pensj'!BT5</f>
        <v>0</v>
      </c>
      <c r="AN5" s="1">
        <f>+'2021 Korr med revekting pensj'!CA5</f>
        <v>0</v>
      </c>
      <c r="AO5" s="1"/>
      <c r="AP5" s="11">
        <f>SUM(AB5:AF5)+AG5</f>
        <v>-17.854265790044821</v>
      </c>
      <c r="AQ5" s="1"/>
      <c r="AR5" s="11">
        <f>+'2021 Korr med revekt premieavv'!J5</f>
        <v>-414.7188183147573</v>
      </c>
      <c r="AT5" s="11"/>
      <c r="AV5" s="11">
        <f>+C5+J5+Z5+AP5+AR5+AT5</f>
        <v>-2551.4638227465666</v>
      </c>
      <c r="AW5" s="1">
        <f>+AV5*'2021 Nto driftsutg'!W5</f>
        <v>-1776094378.724467</v>
      </c>
    </row>
    <row r="6" spans="1:49" x14ac:dyDescent="0.3">
      <c r="A6" s="43">
        <v>1100</v>
      </c>
      <c r="B6" s="44" t="s">
        <v>141</v>
      </c>
      <c r="C6" s="11">
        <f>+'2021 Grunnlag korreksjoner'!C6*1000/'2021 Nto driftsutg'!W6</f>
        <v>-94.108847537818306</v>
      </c>
      <c r="D6" s="1"/>
      <c r="E6" s="1">
        <f>+'2021 Nto driftsutg landet'!$C$5*'2021 Revekting utgiftsbehov'!Z6-'2021 Nto driftsutg landet'!$C$5</f>
        <v>414.00138903456809</v>
      </c>
      <c r="F6" s="1">
        <f>+'2021 Nto driftsutg landet'!$C$6*'2021 Revekting utgiftsbehov'!AA6-'2021 Nto driftsutg landet'!$C$6</f>
        <v>-299.9052864756195</v>
      </c>
      <c r="G6" s="1">
        <f>+'2021 Nto driftsutg landet'!$C$7*'2021 Revekting utgiftsbehov'!AB6-'2021 Nto driftsutg landet'!$C$7</f>
        <v>62.736954061130291</v>
      </c>
      <c r="H6" s="1">
        <f>+'2021 Nto driftsutg landet'!$C$8*'2021 Revekting utgiftsbehov'!AC6-'2021 Nto driftsutg landet'!$C$8</f>
        <v>-128.87264324663965</v>
      </c>
      <c r="I6" s="1">
        <f>+'2021 Nto driftsutg landet'!$C$9*'2021 Revekting utgiftsbehov'!AD6-'2021 Nto driftsutg landet'!$C$9</f>
        <v>40.483466014524197</v>
      </c>
      <c r="J6" s="11">
        <f t="shared" si="1"/>
        <v>88.44387938796342</v>
      </c>
      <c r="L6" s="1">
        <f>'2021 Korr med revekting arbavg'!I6</f>
        <v>49.78143616281389</v>
      </c>
      <c r="M6" s="1">
        <f>'2021 Korr med revekting arbavg'!P6</f>
        <v>-8.6752688691422701</v>
      </c>
      <c r="N6" s="1">
        <f>'2021 Korr med revekting arbavg'!W6</f>
        <v>0.26265256949878507</v>
      </c>
      <c r="O6" s="1">
        <f>'2021 Korr med revekting arbavg'!AD6</f>
        <v>0.23317364471168894</v>
      </c>
      <c r="P6" s="1">
        <f>'2021 Korr med revekting arbavg'!AK6</f>
        <v>4.4060574157342547</v>
      </c>
      <c r="Q6" s="50">
        <f t="shared" si="2"/>
        <v>19.62117717758392</v>
      </c>
      <c r="R6" s="1"/>
      <c r="S6" s="1">
        <f>'2021 Korr med revekting arbavg'!AR6</f>
        <v>18.765823030598199</v>
      </c>
      <c r="T6" s="1">
        <f>'2021 Korr med revekting arbavg'!AY6</f>
        <v>0.48847166568010258</v>
      </c>
      <c r="U6" s="1">
        <f>'2021 Korr med revekting arbavg'!BF6</f>
        <v>4.8748764661449263E-2</v>
      </c>
      <c r="V6" s="1">
        <f>'2021 Korr med revekting arbavg'!BM6</f>
        <v>0.31784729798966693</v>
      </c>
      <c r="W6" s="1">
        <f>'2021 Korr med revekting arbavg'!BT6</f>
        <v>0</v>
      </c>
      <c r="X6" s="1">
        <f>'2021 Korr med revekting arbavg'!CA6</f>
        <v>2.8641865450515134E-4</v>
      </c>
      <c r="Y6" s="1"/>
      <c r="Z6" s="11">
        <f t="shared" ref="Z6:Z15" si="4">SUM(L6:P6)+Q6</f>
        <v>65.629228101200269</v>
      </c>
      <c r="AB6" s="1">
        <f>+'2021 Korr med revekting pensj'!I6</f>
        <v>13.289678688578928</v>
      </c>
      <c r="AC6" s="1">
        <f>+'2021 Korr med revekting pensj'!P6</f>
        <v>-13.203253622619862</v>
      </c>
      <c r="AD6" s="1">
        <f>+'2021 Korr med revekting pensj'!W6</f>
        <v>0.23638329564305194</v>
      </c>
      <c r="AE6" s="1">
        <f>+'2021 Korr med revekting pensj'!AD6</f>
        <v>4.2212647856531586E-3</v>
      </c>
      <c r="AF6" s="1">
        <f>+'2021 Korr med revekting pensj'!AK6</f>
        <v>0.35987184045801529</v>
      </c>
      <c r="AG6" s="50">
        <f t="shared" si="3"/>
        <v>-50.458249761653256</v>
      </c>
      <c r="AH6" s="1"/>
      <c r="AI6" s="1">
        <f>+'2021 Korr med revekting pensj'!AR6</f>
        <v>-51.398824805549715</v>
      </c>
      <c r="AJ6" s="1">
        <f>+'2021 Korr med revekting pensj'!AY6</f>
        <v>0.72434773578148592</v>
      </c>
      <c r="AK6" s="1">
        <f>+'2021 Korr med revekting pensj'!BF6</f>
        <v>0.13424674967038722</v>
      </c>
      <c r="AL6" s="1">
        <f>+'2021 Korr med revekting pensj'!BM6</f>
        <v>7.8624069599795302E-2</v>
      </c>
      <c r="AM6" s="1">
        <f>+'2021 Korr med revekting pensj'!BT6</f>
        <v>0</v>
      </c>
      <c r="AN6" s="1">
        <f>+'2021 Korr med revekting pensj'!CA6</f>
        <v>3.3564888447874934E-3</v>
      </c>
      <c r="AO6" s="1"/>
      <c r="AP6" s="11">
        <f t="shared" ref="AP6:AP15" si="5">SUM(AB6:AF6)+AG6</f>
        <v>-49.771348294807467</v>
      </c>
      <c r="AQ6" s="1"/>
      <c r="AR6" s="11">
        <f>+'2021 Korr med revekt premieavv'!J6</f>
        <v>49.130068566394591</v>
      </c>
      <c r="AT6" s="11"/>
      <c r="AV6" s="11">
        <f t="shared" ref="AV6:AV15" si="6">+C6+J6+Z6+AP6+AR6+AT6</f>
        <v>59.322980222932507</v>
      </c>
      <c r="AW6" s="1">
        <f>+AV6*'2021 Nto driftsutg'!W6</f>
        <v>28717720.81909962</v>
      </c>
    </row>
    <row r="7" spans="1:49" x14ac:dyDescent="0.3">
      <c r="A7" s="43">
        <v>1500</v>
      </c>
      <c r="B7" s="44" t="s">
        <v>142</v>
      </c>
      <c r="C7" s="11">
        <f>+'2021 Grunnlag korreksjoner'!C7*1000/'2021 Nto driftsutg'!W7</f>
        <v>213.48185567137963</v>
      </c>
      <c r="D7" s="1"/>
      <c r="E7" s="1">
        <f>+'2021 Nto driftsutg landet'!$C$5*'2021 Revekting utgiftsbehov'!Z7-'2021 Nto driftsutg landet'!$C$5</f>
        <v>708.63531610863447</v>
      </c>
      <c r="F7" s="1">
        <f>+'2021 Nto driftsutg landet'!$C$6*'2021 Revekting utgiftsbehov'!AA7-'2021 Nto driftsutg landet'!$C$6</f>
        <v>756.89560690162398</v>
      </c>
      <c r="G7" s="1">
        <f>+'2021 Nto driftsutg landet'!$C$7*'2021 Revekting utgiftsbehov'!AB7-'2021 Nto driftsutg landet'!$C$7</f>
        <v>-8.7279888328512243</v>
      </c>
      <c r="H7" s="1">
        <f>+'2021 Nto driftsutg landet'!$C$8*'2021 Revekting utgiftsbehov'!AC7-'2021 Nto driftsutg landet'!$C$8</f>
        <v>1703.3671629141054</v>
      </c>
      <c r="I7" s="1">
        <f>+'2021 Nto driftsutg landet'!$C$9*'2021 Revekting utgiftsbehov'!AD7-'2021 Nto driftsutg landet'!$C$9</f>
        <v>15.247097277847161</v>
      </c>
      <c r="J7" s="11">
        <f t="shared" si="1"/>
        <v>3175.41719436936</v>
      </c>
      <c r="L7" s="1">
        <f>'2021 Korr med revekting arbavg'!I7</f>
        <v>30.158126593743564</v>
      </c>
      <c r="M7" s="1">
        <f>'2021 Korr med revekting arbavg'!P7</f>
        <v>18.368605594555419</v>
      </c>
      <c r="N7" s="1">
        <f>'2021 Korr med revekting arbavg'!W7</f>
        <v>0.22994029712929365</v>
      </c>
      <c r="O7" s="1">
        <f>'2021 Korr med revekting arbavg'!AD7</f>
        <v>0.8471265646091507</v>
      </c>
      <c r="P7" s="1">
        <f>'2021 Korr med revekting arbavg'!AK7</f>
        <v>0.23038385289289326</v>
      </c>
      <c r="Q7" s="50">
        <f t="shared" si="2"/>
        <v>18.882342880018989</v>
      </c>
      <c r="R7" s="1"/>
      <c r="S7" s="1">
        <f>'2021 Korr med revekting arbavg'!AR7</f>
        <v>18.389576990627223</v>
      </c>
      <c r="T7" s="1">
        <f>'2021 Korr med revekting arbavg'!AY7</f>
        <v>0.31022991016595386</v>
      </c>
      <c r="U7" s="1">
        <f>'2021 Korr med revekting arbavg'!BF7</f>
        <v>3.2404820420445145E-2</v>
      </c>
      <c r="V7" s="1">
        <f>'2021 Korr med revekting arbavg'!BM7</f>
        <v>0.15013115880536512</v>
      </c>
      <c r="W7" s="1">
        <f>'2021 Korr med revekting arbavg'!BT7</f>
        <v>0</v>
      </c>
      <c r="X7" s="1">
        <f>'2021 Korr med revekting arbavg'!CA7</f>
        <v>0</v>
      </c>
      <c r="Y7" s="1"/>
      <c r="Z7" s="11">
        <f t="shared" si="4"/>
        <v>68.716525782949304</v>
      </c>
      <c r="AB7" s="1">
        <f>+'2021 Korr med revekting pensj'!I7</f>
        <v>10.357887770222966</v>
      </c>
      <c r="AC7" s="1">
        <f>+'2021 Korr med revekting pensj'!P7</f>
        <v>37.538468488878252</v>
      </c>
      <c r="AD7" s="1">
        <f>+'2021 Korr med revekting pensj'!W7</f>
        <v>0.50549225933162223</v>
      </c>
      <c r="AE7" s="1">
        <f>+'2021 Korr med revekting pensj'!AD7</f>
        <v>-0.59712961850225754</v>
      </c>
      <c r="AF7" s="1">
        <f>+'2021 Korr med revekting pensj'!AK7</f>
        <v>11.42732708299723</v>
      </c>
      <c r="AG7" s="50">
        <f t="shared" si="3"/>
        <v>-24.693513451584629</v>
      </c>
      <c r="AH7" s="1"/>
      <c r="AI7" s="1">
        <f>+'2021 Korr med revekting pensj'!AR7</f>
        <v>-27.033289344648271</v>
      </c>
      <c r="AJ7" s="1">
        <f>+'2021 Korr med revekting pensj'!AY7</f>
        <v>1.3294514539860844</v>
      </c>
      <c r="AK7" s="1">
        <f>+'2021 Korr med revekting pensj'!BF7</f>
        <v>0.15560891403494728</v>
      </c>
      <c r="AL7" s="1">
        <f>+'2021 Korr med revekting pensj'!BM7</f>
        <v>0.85471552504261017</v>
      </c>
      <c r="AM7" s="1">
        <f>+'2021 Korr med revekting pensj'!BT7</f>
        <v>0</v>
      </c>
      <c r="AN7" s="1">
        <f>+'2021 Korr med revekting pensj'!CA7</f>
        <v>0</v>
      </c>
      <c r="AO7" s="1"/>
      <c r="AP7" s="11">
        <f t="shared" si="5"/>
        <v>34.538532531343186</v>
      </c>
      <c r="AQ7" s="1"/>
      <c r="AR7" s="11">
        <f>+'2021 Korr med revekt premieavv'!J7</f>
        <v>-49.591491123547719</v>
      </c>
      <c r="AT7" s="11"/>
      <c r="AV7" s="11">
        <f t="shared" si="6"/>
        <v>3442.5626172314842</v>
      </c>
      <c r="AW7" s="1">
        <f>+AV7*'2021 Nto driftsutg'!W7</f>
        <v>913301534.663661</v>
      </c>
    </row>
    <row r="8" spans="1:49" x14ac:dyDescent="0.3">
      <c r="A8" s="43">
        <v>1800</v>
      </c>
      <c r="B8" s="44" t="s">
        <v>143</v>
      </c>
      <c r="C8" s="11">
        <f>+'2021 Grunnlag korreksjoner'!C8*1000/'2021 Nto driftsutg'!W8</f>
        <v>359.07260528719814</v>
      </c>
      <c r="D8" s="1"/>
      <c r="E8" s="1">
        <f>+'2021 Nto driftsutg landet'!$C$5*'2021 Revekting utgiftsbehov'!Z8-'2021 Nto driftsutg landet'!$C$5</f>
        <v>606.12826998507171</v>
      </c>
      <c r="F8" s="1">
        <f>+'2021 Nto driftsutg landet'!$C$6*'2021 Revekting utgiftsbehov'!AA8-'2021 Nto driftsutg landet'!$C$6</f>
        <v>1221.8378732196288</v>
      </c>
      <c r="G8" s="1">
        <f>+'2021 Nto driftsutg landet'!$C$7*'2021 Revekting utgiftsbehov'!AB8-'2021 Nto driftsutg landet'!$C$7</f>
        <v>41.426845350913482</v>
      </c>
      <c r="H8" s="1">
        <f>+'2021 Nto driftsutg landet'!$C$8*'2021 Revekting utgiftsbehov'!AC8-'2021 Nto driftsutg landet'!$C$8</f>
        <v>3659.694158554481</v>
      </c>
      <c r="I8" s="1">
        <f>+'2021 Nto driftsutg landet'!$C$9*'2021 Revekting utgiftsbehov'!AD8-'2021 Nto driftsutg landet'!$C$9</f>
        <v>-7.3047433134926791</v>
      </c>
      <c r="J8" s="11">
        <f t="shared" si="1"/>
        <v>5521.782403796602</v>
      </c>
      <c r="L8" s="1">
        <f>'2021 Korr med revekting arbavg'!I8</f>
        <v>-293.15027517086031</v>
      </c>
      <c r="M8" s="1">
        <f>'2021 Korr med revekting arbavg'!P8</f>
        <v>-27.991668780742632</v>
      </c>
      <c r="N8" s="1">
        <f>'2021 Korr med revekting arbavg'!W8</f>
        <v>-2.3327036494844156</v>
      </c>
      <c r="O8" s="1">
        <f>'2021 Korr med revekting arbavg'!AD8</f>
        <v>-0.50856121881473548</v>
      </c>
      <c r="P8" s="1">
        <f>'2021 Korr med revekting arbavg'!AK8</f>
        <v>-22.106980655674302</v>
      </c>
      <c r="Q8" s="50">
        <f t="shared" si="2"/>
        <v>-14.209285694607779</v>
      </c>
      <c r="R8" s="1"/>
      <c r="S8" s="1">
        <f>'2021 Korr med revekting arbavg'!AR8</f>
        <v>-8.8512853337734487</v>
      </c>
      <c r="T8" s="1">
        <f>'2021 Korr med revekting arbavg'!AY8</f>
        <v>-3.0516281478913214</v>
      </c>
      <c r="U8" s="1">
        <f>'2021 Korr med revekting arbavg'!BF8</f>
        <v>-0.33066923195525127</v>
      </c>
      <c r="V8" s="1">
        <f>'2021 Korr med revekting arbavg'!BM8</f>
        <v>-1.9757029809877571</v>
      </c>
      <c r="W8" s="1">
        <f>'2021 Korr med revekting arbavg'!BT8</f>
        <v>0</v>
      </c>
      <c r="X8" s="1">
        <f>'2021 Korr med revekting arbavg'!CA8</f>
        <v>0</v>
      </c>
      <c r="Y8" s="1"/>
      <c r="Z8" s="11">
        <f t="shared" si="4"/>
        <v>-360.29947517018422</v>
      </c>
      <c r="AB8" s="1">
        <f>+'2021 Korr med revekting pensj'!I8</f>
        <v>56.48092330371189</v>
      </c>
      <c r="AC8" s="1">
        <f>+'2021 Korr med revekting pensj'!P8</f>
        <v>14.801268251462469</v>
      </c>
      <c r="AD8" s="1">
        <f>+'2021 Korr med revekting pensj'!W8</f>
        <v>1.3287011034737803</v>
      </c>
      <c r="AE8" s="1">
        <f>+'2021 Korr med revekting pensj'!AD8</f>
        <v>1.3881481007428149</v>
      </c>
      <c r="AF8" s="1">
        <f>+'2021 Korr med revekting pensj'!AK8</f>
        <v>13.676956897169447</v>
      </c>
      <c r="AG8" s="50">
        <f t="shared" si="3"/>
        <v>-28.212847492331829</v>
      </c>
      <c r="AH8" s="1"/>
      <c r="AI8" s="1">
        <f>+'2021 Korr med revekting pensj'!AR8</f>
        <v>-32.603602051737674</v>
      </c>
      <c r="AJ8" s="1">
        <f>+'2021 Korr med revekting pensj'!AY8</f>
        <v>2.7709338482216728</v>
      </c>
      <c r="AK8" s="1">
        <f>+'2021 Korr med revekting pensj'!BF8</f>
        <v>0.31098444780851869</v>
      </c>
      <c r="AL8" s="1">
        <f>+'2021 Korr med revekting pensj'!BM8</f>
        <v>1.3088362633756516</v>
      </c>
      <c r="AM8" s="1">
        <f>+'2021 Korr med revekting pensj'!BT8</f>
        <v>0</v>
      </c>
      <c r="AN8" s="1">
        <f>+'2021 Korr med revekting pensj'!CA8</f>
        <v>0</v>
      </c>
      <c r="AO8" s="1"/>
      <c r="AP8" s="11">
        <f t="shared" si="5"/>
        <v>59.463150164228566</v>
      </c>
      <c r="AQ8" s="1"/>
      <c r="AR8" s="11">
        <f>+'2021 Korr med revekt premieavv'!J8</f>
        <v>15.628265156491132</v>
      </c>
      <c r="AT8" s="11"/>
      <c r="AV8" s="11">
        <f t="shared" si="6"/>
        <v>5595.6469492343358</v>
      </c>
      <c r="AW8" s="1">
        <f>+AV8*'2021 Nto driftsutg'!W8</f>
        <v>1345730708.7030609</v>
      </c>
    </row>
    <row r="9" spans="1:49" x14ac:dyDescent="0.3">
      <c r="A9" s="43">
        <v>3000</v>
      </c>
      <c r="B9" s="44" t="s">
        <v>392</v>
      </c>
      <c r="C9" s="11">
        <f>+'2021 Grunnlag korreksjoner'!C9*1000/'2021 Nto driftsutg'!W9</f>
        <v>-89.89568870187216</v>
      </c>
      <c r="D9" s="1"/>
      <c r="E9" s="1">
        <f>+'2021 Nto driftsutg landet'!$C$5*'2021 Revekting utgiftsbehov'!Z9-'2021 Nto driftsutg landet'!$C$5</f>
        <v>131.1569952273685</v>
      </c>
      <c r="F9" s="1">
        <f>+'2021 Nto driftsutg landet'!$C$6*'2021 Revekting utgiftsbehov'!AA9-'2021 Nto driftsutg landet'!$C$6</f>
        <v>-581.54412435702693</v>
      </c>
      <c r="G9" s="1">
        <f>+'2021 Nto driftsutg landet'!$C$7*'2021 Revekting utgiftsbehov'!AB9-'2021 Nto driftsutg landet'!$C$7</f>
        <v>-826.15037971401807</v>
      </c>
      <c r="H9" s="1">
        <f>+'2021 Nto driftsutg landet'!$C$8*'2021 Revekting utgiftsbehov'!AC9-'2021 Nto driftsutg landet'!$C$8</f>
        <v>-758.48341019460929</v>
      </c>
      <c r="I9" s="1">
        <f>+'2021 Nto driftsutg landet'!$C$9*'2021 Revekting utgiftsbehov'!AD9-'2021 Nto driftsutg landet'!$C$9</f>
        <v>18.674000462081153</v>
      </c>
      <c r="J9" s="11">
        <f t="shared" si="1"/>
        <v>-2016.3469185762046</v>
      </c>
      <c r="L9" s="1">
        <f>'2021 Korr med revekting arbavg'!I9</f>
        <v>50.347411382744554</v>
      </c>
      <c r="M9" s="1">
        <f>'2021 Korr med revekting arbavg'!P9</f>
        <v>3.7905181362820448</v>
      </c>
      <c r="N9" s="1">
        <f>'2021 Korr med revekting arbavg'!W9</f>
        <v>5.8852228743677293E-2</v>
      </c>
      <c r="O9" s="1">
        <f>'2021 Korr med revekting arbavg'!AD9</f>
        <v>0</v>
      </c>
      <c r="P9" s="1">
        <f>'2021 Korr med revekting arbavg'!AK9</f>
        <v>4.5878320481391572</v>
      </c>
      <c r="Q9" s="50">
        <f t="shared" si="2"/>
        <v>-24.965468228861507</v>
      </c>
      <c r="R9" s="1"/>
      <c r="S9" s="1">
        <f>'2021 Korr med revekting arbavg'!AR9</f>
        <v>-25.842196118724043</v>
      </c>
      <c r="T9" s="1">
        <f>'2021 Korr med revekting arbavg'!AY9</f>
        <v>0.4768402642487567</v>
      </c>
      <c r="U9" s="1">
        <f>'2021 Korr med revekting arbavg'!BF9</f>
        <v>7.699624693375122E-2</v>
      </c>
      <c r="V9" s="1">
        <f>'2021 Korr med revekting arbavg'!BM9</f>
        <v>0.3226602379996768</v>
      </c>
      <c r="W9" s="1">
        <f>'2021 Korr med revekting arbavg'!BT9</f>
        <v>0</v>
      </c>
      <c r="X9" s="1">
        <f>'2021 Korr med revekting arbavg'!CA9</f>
        <v>2.3114068035029291E-4</v>
      </c>
      <c r="Y9" s="1"/>
      <c r="Z9" s="11">
        <f t="shared" si="4"/>
        <v>33.819145567047926</v>
      </c>
      <c r="AB9" s="1">
        <f>+'2021 Korr med revekting pensj'!I9</f>
        <v>-27.772287036457449</v>
      </c>
      <c r="AC9" s="1">
        <f>+'2021 Korr med revekting pensj'!P9</f>
        <v>-4.2491349619916177</v>
      </c>
      <c r="AD9" s="1">
        <f>+'2021 Korr med revekting pensj'!W9</f>
        <v>-0.46784838009580371</v>
      </c>
      <c r="AE9" s="1">
        <f>+'2021 Korr med revekting pensj'!AD9</f>
        <v>0</v>
      </c>
      <c r="AF9" s="1">
        <f>+'2021 Korr med revekting pensj'!AK9</f>
        <v>-17.608002425122013</v>
      </c>
      <c r="AG9" s="50">
        <f t="shared" si="3"/>
        <v>113.18528632790121</v>
      </c>
      <c r="AH9" s="1"/>
      <c r="AI9" s="1">
        <f>+'2021 Korr med revekting pensj'!AR9</f>
        <v>116.79233134134016</v>
      </c>
      <c r="AJ9" s="1">
        <f>+'2021 Korr med revekting pensj'!AY9</f>
        <v>-2.1416694555956597</v>
      </c>
      <c r="AK9" s="1">
        <f>+'2021 Korr med revekting pensj'!BF9</f>
        <v>-0.178017828259357</v>
      </c>
      <c r="AL9" s="1">
        <f>+'2021 Korr med revekting pensj'!BM9</f>
        <v>-1.2860115698153602</v>
      </c>
      <c r="AM9" s="1">
        <f>+'2021 Korr med revekting pensj'!BT9</f>
        <v>0</v>
      </c>
      <c r="AN9" s="1">
        <f>+'2021 Korr med revekting pensj'!CA9</f>
        <v>-1.3461597685702935E-3</v>
      </c>
      <c r="AO9" s="1"/>
      <c r="AP9" s="11">
        <f t="shared" si="5"/>
        <v>63.088013524234327</v>
      </c>
      <c r="AQ9" s="1"/>
      <c r="AR9" s="11">
        <f>+'2021 Korr med revekt premieavv'!J9</f>
        <v>44.88030065302727</v>
      </c>
      <c r="AT9" s="11"/>
      <c r="AV9" s="11">
        <f t="shared" si="6"/>
        <v>-1964.4551475337671</v>
      </c>
      <c r="AW9" s="1">
        <f>+AV9*'2021 Nto driftsutg'!W9</f>
        <v>-2476649502.6053939</v>
      </c>
    </row>
    <row r="10" spans="1:49" x14ac:dyDescent="0.3">
      <c r="A10" s="43">
        <v>3400</v>
      </c>
      <c r="B10" s="44" t="s">
        <v>393</v>
      </c>
      <c r="C10" s="11">
        <f>+'2021 Grunnlag korreksjoner'!C10*1000/'2021 Nto driftsutg'!W10</f>
        <v>165.42231851912996</v>
      </c>
      <c r="D10" s="1"/>
      <c r="E10" s="1">
        <f>+'2021 Nto driftsutg landet'!$C$5*'2021 Revekting utgiftsbehov'!Z10-'2021 Nto driftsutg landet'!$C$5</f>
        <v>160.7299102339648</v>
      </c>
      <c r="F10" s="1">
        <f>+'2021 Nto driftsutg landet'!$C$6*'2021 Revekting utgiftsbehov'!AA10-'2021 Nto driftsutg landet'!$C$6</f>
        <v>857.9908243236755</v>
      </c>
      <c r="G10" s="1">
        <f>+'2021 Nto driftsutg landet'!$C$7*'2021 Revekting utgiftsbehov'!AB10-'2021 Nto driftsutg landet'!$C$7</f>
        <v>24.45243980385294</v>
      </c>
      <c r="H10" s="1">
        <f>+'2021 Nto driftsutg landet'!$C$8*'2021 Revekting utgiftsbehov'!AC10-'2021 Nto driftsutg landet'!$C$8</f>
        <v>-778.96481141517688</v>
      </c>
      <c r="I10" s="1">
        <f>+'2021 Nto driftsutg landet'!$C$9*'2021 Revekting utgiftsbehov'!AD10-'2021 Nto driftsutg landet'!$C$9</f>
        <v>-18.206322147061201</v>
      </c>
      <c r="J10" s="11">
        <f t="shared" si="1"/>
        <v>246.00204079925516</v>
      </c>
      <c r="L10" s="1">
        <f>'2021 Korr med revekting arbavg'!I10</f>
        <v>-13.640180904265378</v>
      </c>
      <c r="M10" s="1">
        <f>'2021 Korr med revekting arbavg'!P10</f>
        <v>-20.349529833681981</v>
      </c>
      <c r="N10" s="1">
        <f>'2021 Korr med revekting arbavg'!W10</f>
        <v>0.32265638424980048</v>
      </c>
      <c r="O10" s="1">
        <f>'2021 Korr med revekting arbavg'!AD10</f>
        <v>1.0262660068823445E-2</v>
      </c>
      <c r="P10" s="1">
        <f>'2021 Korr med revekting arbavg'!AK10</f>
        <v>-1.8242393939540269</v>
      </c>
      <c r="Q10" s="50">
        <f t="shared" si="2"/>
        <v>19.127890741936262</v>
      </c>
      <c r="R10" s="1"/>
      <c r="S10" s="1">
        <f>'2021 Korr med revekting arbavg'!AR10</f>
        <v>18.213757833682241</v>
      </c>
      <c r="T10" s="1">
        <f>'2021 Korr med revekting arbavg'!AY10</f>
        <v>0.51618499003707485</v>
      </c>
      <c r="U10" s="1">
        <f>'2021 Korr med revekting arbavg'!BF10</f>
        <v>4.8572625600227085E-2</v>
      </c>
      <c r="V10" s="1">
        <f>'2021 Korr med revekting arbavg'!BM10</f>
        <v>0.34937529261671874</v>
      </c>
      <c r="W10" s="1">
        <f>'2021 Korr med revekting arbavg'!BT10</f>
        <v>0</v>
      </c>
      <c r="X10" s="1">
        <f>'2021 Korr med revekting arbavg'!CA10</f>
        <v>0</v>
      </c>
      <c r="Y10" s="1"/>
      <c r="Z10" s="11">
        <f t="shared" si="4"/>
        <v>-16.353140345646494</v>
      </c>
      <c r="AB10" s="1">
        <f>+'2021 Korr med revekting pensj'!I10</f>
        <v>29.374562665815162</v>
      </c>
      <c r="AC10" s="1">
        <f>+'2021 Korr med revekting pensj'!P10</f>
        <v>-7.0439324097741576</v>
      </c>
      <c r="AD10" s="1">
        <f>+'2021 Korr med revekting pensj'!W10</f>
        <v>1.9105957491226453</v>
      </c>
      <c r="AE10" s="1">
        <f>+'2021 Korr med revekting pensj'!AD10</f>
        <v>-1.7392786191955611E-2</v>
      </c>
      <c r="AF10" s="1">
        <f>+'2021 Korr med revekting pensj'!AK10</f>
        <v>13.498523345770504</v>
      </c>
      <c r="AG10" s="50">
        <f t="shared" si="3"/>
        <v>-29.914932968718702</v>
      </c>
      <c r="AH10" s="1"/>
      <c r="AI10" s="1">
        <f>+'2021 Korr med revekting pensj'!AR10</f>
        <v>-33.733775105810892</v>
      </c>
      <c r="AJ10" s="1">
        <f>+'2021 Korr med revekting pensj'!AY10</f>
        <v>5.3774341033567117</v>
      </c>
      <c r="AK10" s="1">
        <f>+'2021 Korr med revekting pensj'!BF10</f>
        <v>0.41447495239349463</v>
      </c>
      <c r="AL10" s="1">
        <f>+'2021 Korr med revekting pensj'!BM10</f>
        <v>-1.9730669186580181</v>
      </c>
      <c r="AM10" s="1">
        <f>+'2021 Korr med revekting pensj'!BT10</f>
        <v>0</v>
      </c>
      <c r="AN10" s="1">
        <f>+'2021 Korr med revekting pensj'!CA10</f>
        <v>0</v>
      </c>
      <c r="AO10" s="1"/>
      <c r="AP10" s="11">
        <f t="shared" si="5"/>
        <v>7.8074235960234972</v>
      </c>
      <c r="AQ10" s="1"/>
      <c r="AR10" s="11">
        <f>+'2021 Korr med revekt premieavv'!J10</f>
        <v>84.199396883227521</v>
      </c>
      <c r="AT10" s="11"/>
      <c r="AV10" s="11">
        <f t="shared" si="6"/>
        <v>487.07803945198964</v>
      </c>
      <c r="AW10" s="1">
        <f>+AV10*'2021 Nto driftsutg'!W10</f>
        <v>180560316.302892</v>
      </c>
    </row>
    <row r="11" spans="1:49" x14ac:dyDescent="0.3">
      <c r="A11" s="43">
        <v>3800</v>
      </c>
      <c r="B11" s="44" t="s">
        <v>394</v>
      </c>
      <c r="C11" s="11">
        <f>+'2021 Grunnlag korreksjoner'!C11*1000/'2021 Nto driftsutg'!W11</f>
        <v>69.100007170561312</v>
      </c>
      <c r="D11" s="1"/>
      <c r="E11" s="1">
        <f>+'2021 Nto driftsutg landet'!$C$5*'2021 Revekting utgiftsbehov'!Z11-'2021 Nto driftsutg landet'!$C$5</f>
        <v>116.15914093823449</v>
      </c>
      <c r="F11" s="1">
        <f>+'2021 Nto driftsutg landet'!$C$6*'2021 Revekting utgiftsbehov'!AA11-'2021 Nto driftsutg landet'!$C$6</f>
        <v>-57.036696422359682</v>
      </c>
      <c r="G11" s="1">
        <f>+'2021 Nto driftsutg landet'!$C$7*'2021 Revekting utgiftsbehov'!AB11-'2021 Nto driftsutg landet'!$C$7</f>
        <v>-684.58385365869731</v>
      </c>
      <c r="H11" s="1">
        <f>+'2021 Nto driftsutg landet'!$C$8*'2021 Revekting utgiftsbehov'!AC11-'2021 Nto driftsutg landet'!$C$8</f>
        <v>-680.55235521902944</v>
      </c>
      <c r="I11" s="1">
        <f>+'2021 Nto driftsutg landet'!$C$9*'2021 Revekting utgiftsbehov'!AD11-'2021 Nto driftsutg landet'!$C$9</f>
        <v>-0.69270978187853416</v>
      </c>
      <c r="J11" s="11">
        <f t="shared" si="1"/>
        <v>-1306.7064741437302</v>
      </c>
      <c r="L11" s="1">
        <f>'2021 Korr med revekting arbavg'!I11</f>
        <v>43.225648042624258</v>
      </c>
      <c r="M11" s="1">
        <f>'2021 Korr med revekting arbavg'!P11</f>
        <v>-10.114603583417226</v>
      </c>
      <c r="N11" s="1">
        <f>'2021 Korr med revekting arbavg'!W11</f>
        <v>0.79932620815392674</v>
      </c>
      <c r="O11" s="1">
        <f>'2021 Korr med revekting arbavg'!AD11</f>
        <v>0</v>
      </c>
      <c r="P11" s="1">
        <f>'2021 Korr med revekting arbavg'!AK11</f>
        <v>3.9376284633904128</v>
      </c>
      <c r="Q11" s="50">
        <f t="shared" si="2"/>
        <v>17.509119524608586</v>
      </c>
      <c r="R11" s="1"/>
      <c r="S11" s="1">
        <f>'2021 Korr med revekting arbavg'!AR11</f>
        <v>16.641714913139374</v>
      </c>
      <c r="T11" s="1">
        <f>'2021 Korr med revekting arbavg'!AY11</f>
        <v>0.43156784869716086</v>
      </c>
      <c r="U11" s="1">
        <f>'2021 Korr med revekting arbavg'!BF11</f>
        <v>5.5203421900128204E-2</v>
      </c>
      <c r="V11" s="1">
        <f>'2021 Korr med revekting arbavg'!BM11</f>
        <v>0.37944104784271254</v>
      </c>
      <c r="W11" s="1">
        <f>'2021 Korr med revekting arbavg'!BT11</f>
        <v>0</v>
      </c>
      <c r="X11" s="1">
        <f>'2021 Korr med revekting arbavg'!CA11</f>
        <v>1.1922930292134635E-3</v>
      </c>
      <c r="Y11" s="1"/>
      <c r="Z11" s="11">
        <f t="shared" si="4"/>
        <v>55.357118655359955</v>
      </c>
      <c r="AB11" s="1">
        <f>+'2021 Korr med revekting pensj'!I11</f>
        <v>26.412826751544294</v>
      </c>
      <c r="AC11" s="1">
        <f>+'2021 Korr med revekting pensj'!P11</f>
        <v>-12.167074380268224</v>
      </c>
      <c r="AD11" s="1">
        <f>+'2021 Korr med revekting pensj'!W11</f>
        <v>0.52460959868241452</v>
      </c>
      <c r="AE11" s="1">
        <f>+'2021 Korr med revekting pensj'!AD11</f>
        <v>0</v>
      </c>
      <c r="AF11" s="1">
        <f>+'2021 Korr med revekting pensj'!AK11</f>
        <v>12.986913404262621</v>
      </c>
      <c r="AG11" s="50">
        <f t="shared" si="3"/>
        <v>-36.295580974216151</v>
      </c>
      <c r="AH11" s="1"/>
      <c r="AI11" s="1">
        <f>+'2021 Korr med revekting pensj'!AR11</f>
        <v>-39.492402733291925</v>
      </c>
      <c r="AJ11" s="1">
        <f>+'2021 Korr med revekting pensj'!AY11</f>
        <v>1.5990403049327833</v>
      </c>
      <c r="AK11" s="1">
        <f>+'2021 Korr med revekting pensj'!BF11</f>
        <v>0.11902003095515643</v>
      </c>
      <c r="AL11" s="1">
        <f>+'2021 Korr med revekting pensj'!BM11</f>
        <v>1.4772740235156037</v>
      </c>
      <c r="AM11" s="1">
        <f>+'2021 Korr med revekting pensj'!BT11</f>
        <v>0</v>
      </c>
      <c r="AN11" s="1">
        <f>+'2021 Korr med revekting pensj'!CA11</f>
        <v>1.4873996722270457E-3</v>
      </c>
      <c r="AO11" s="1"/>
      <c r="AP11" s="11">
        <f t="shared" si="5"/>
        <v>-8.538305599995045</v>
      </c>
      <c r="AQ11" s="1"/>
      <c r="AR11" s="11">
        <f>+'2021 Korr med revekt premieavv'!J11</f>
        <v>51.5667988524715</v>
      </c>
      <c r="AT11" s="11"/>
      <c r="AV11" s="11">
        <f t="shared" si="6"/>
        <v>-1139.2208550653324</v>
      </c>
      <c r="AW11" s="1">
        <f>+AV11*'2021 Nto driftsutg'!W11</f>
        <v>-482054469.49576503</v>
      </c>
    </row>
    <row r="12" spans="1:49" x14ac:dyDescent="0.3">
      <c r="A12" s="43">
        <v>4200</v>
      </c>
      <c r="B12" s="44" t="s">
        <v>395</v>
      </c>
      <c r="C12" s="11">
        <f>+'2021 Grunnlag korreksjoner'!C12*1000/'2021 Nto driftsutg'!W12</f>
        <v>64.264895883498966</v>
      </c>
      <c r="D12" s="1"/>
      <c r="E12" s="1">
        <f>+'2021 Nto driftsutg landet'!$C$5*'2021 Revekting utgiftsbehov'!Z12-'2021 Nto driftsutg landet'!$C$5</f>
        <v>309.33929299797455</v>
      </c>
      <c r="F12" s="1">
        <f>+'2021 Nto driftsutg landet'!$C$6*'2021 Revekting utgiftsbehov'!AA12-'2021 Nto driftsutg landet'!$C$6</f>
        <v>272.73036907195524</v>
      </c>
      <c r="G12" s="1">
        <f>+'2021 Nto driftsutg landet'!$C$7*'2021 Revekting utgiftsbehov'!AB12-'2021 Nto driftsutg landet'!$C$7</f>
        <v>-468.0803591395636</v>
      </c>
      <c r="H12" s="1">
        <f>+'2021 Nto driftsutg landet'!$C$8*'2021 Revekting utgiftsbehov'!AC12-'2021 Nto driftsutg landet'!$C$8</f>
        <v>-617.6888303903022</v>
      </c>
      <c r="I12" s="1">
        <f>+'2021 Nto driftsutg landet'!$C$9*'2021 Revekting utgiftsbehov'!AD12-'2021 Nto driftsutg landet'!$C$9</f>
        <v>24.447131782402948</v>
      </c>
      <c r="J12" s="11">
        <f t="shared" si="1"/>
        <v>-479.25239567753306</v>
      </c>
      <c r="L12" s="1">
        <f>'2021 Korr med revekting arbavg'!I12</f>
        <v>45.919225670762984</v>
      </c>
      <c r="M12" s="1">
        <f>'2021 Korr med revekting arbavg'!P12</f>
        <v>-1.5168838847022128</v>
      </c>
      <c r="N12" s="1">
        <f>'2021 Korr med revekting arbavg'!W12</f>
        <v>0.26557173867080158</v>
      </c>
      <c r="O12" s="1">
        <f>'2021 Korr med revekting arbavg'!AD12</f>
        <v>6.3850993033519085E-2</v>
      </c>
      <c r="P12" s="1">
        <f>'2021 Korr med revekting arbavg'!AK12</f>
        <v>3.8949710414185073</v>
      </c>
      <c r="Q12" s="50">
        <f t="shared" si="2"/>
        <v>11.920948247791872</v>
      </c>
      <c r="R12" s="1"/>
      <c r="S12" s="1">
        <f>'2021 Korr med revekting arbavg'!AR12</f>
        <v>10.974036849526613</v>
      </c>
      <c r="T12" s="1">
        <f>'2021 Korr med revekting arbavg'!AY12</f>
        <v>0.52078635310281352</v>
      </c>
      <c r="U12" s="1">
        <f>'2021 Korr med revekting arbavg'!BF12</f>
        <v>5.6448037378691279E-2</v>
      </c>
      <c r="V12" s="1">
        <f>'2021 Korr med revekting arbavg'!BM12</f>
        <v>0.36967700778375323</v>
      </c>
      <c r="W12" s="1">
        <f>'2021 Korr med revekting arbavg'!BT12</f>
        <v>0</v>
      </c>
      <c r="X12" s="1">
        <f>'2021 Korr med revekting arbavg'!CA12</f>
        <v>0</v>
      </c>
      <c r="Y12" s="1"/>
      <c r="Z12" s="11">
        <f t="shared" si="4"/>
        <v>60.547683806975471</v>
      </c>
      <c r="AB12" s="1">
        <f>+'2021 Korr med revekting pensj'!I12</f>
        <v>-5.4347792147100158</v>
      </c>
      <c r="AC12" s="1">
        <f>+'2021 Korr med revekting pensj'!P12</f>
        <v>-1.9071096340705562</v>
      </c>
      <c r="AD12" s="1">
        <f>+'2021 Korr med revekting pensj'!W12</f>
        <v>-0.33347168675655087</v>
      </c>
      <c r="AE12" s="1">
        <f>+'2021 Korr med revekting pensj'!AD12</f>
        <v>8.1975101506083416E-3</v>
      </c>
      <c r="AF12" s="1">
        <f>+'2021 Korr med revekting pensj'!AK12</f>
        <v>4.6022228088044219</v>
      </c>
      <c r="AG12" s="50">
        <f t="shared" si="3"/>
        <v>5.9030974377140595</v>
      </c>
      <c r="AH12" s="1"/>
      <c r="AI12" s="1">
        <f>+'2021 Korr med revekting pensj'!AR12</f>
        <v>4.24956320063652</v>
      </c>
      <c r="AJ12" s="1">
        <f>+'2021 Korr med revekting pensj'!AY12</f>
        <v>1.1064777500011382</v>
      </c>
      <c r="AK12" s="1">
        <f>+'2021 Korr med revekting pensj'!BF12</f>
        <v>0.17069074489650549</v>
      </c>
      <c r="AL12" s="1">
        <f>+'2021 Korr med revekting pensj'!BM12</f>
        <v>0.37636574217989477</v>
      </c>
      <c r="AM12" s="1">
        <f>+'2021 Korr med revekting pensj'!BT12</f>
        <v>0</v>
      </c>
      <c r="AN12" s="1">
        <f>+'2021 Korr med revekting pensj'!CA12</f>
        <v>0</v>
      </c>
      <c r="AO12" s="1"/>
      <c r="AP12" s="11">
        <f t="shared" si="5"/>
        <v>2.8381572211319668</v>
      </c>
      <c r="AQ12" s="1"/>
      <c r="AR12" s="11">
        <f>+'2021 Korr med revekt premieavv'!J12</f>
        <v>-46.02442639962473</v>
      </c>
      <c r="AT12" s="11"/>
      <c r="AV12" s="11">
        <f t="shared" si="6"/>
        <v>-397.62608516555144</v>
      </c>
      <c r="AW12" s="1">
        <f>+AV12*'2021 Nto driftsutg'!W12</f>
        <v>-123068454.3674195</v>
      </c>
    </row>
    <row r="13" spans="1:49" x14ac:dyDescent="0.3">
      <c r="A13" s="43">
        <v>4600</v>
      </c>
      <c r="B13" s="44" t="s">
        <v>396</v>
      </c>
      <c r="C13" s="11">
        <f>+'2021 Grunnlag korreksjoner'!C13*1000/'2021 Nto driftsutg'!W13</f>
        <v>-171.58578704463451</v>
      </c>
      <c r="D13" s="1"/>
      <c r="E13" s="1">
        <f>+'2021 Nto driftsutg landet'!$C$5*'2021 Revekting utgiftsbehov'!Z13-'2021 Nto driftsutg landet'!$C$5</f>
        <v>385.66111915393321</v>
      </c>
      <c r="F13" s="1">
        <f>+'2021 Nto driftsutg landet'!$C$6*'2021 Revekting utgiftsbehov'!AA13-'2021 Nto driftsutg landet'!$C$6</f>
        <v>296.34634744147684</v>
      </c>
      <c r="G13" s="1">
        <f>+'2021 Nto driftsutg landet'!$C$7*'2021 Revekting utgiftsbehov'!AB13-'2021 Nto driftsutg landet'!$C$7</f>
        <v>0.95139146745759717</v>
      </c>
      <c r="H13" s="1">
        <f>+'2021 Nto driftsutg landet'!$C$8*'2021 Revekting utgiftsbehov'!AC13-'2021 Nto driftsutg landet'!$C$8</f>
        <v>765.70142568955646</v>
      </c>
      <c r="I13" s="1">
        <f>+'2021 Nto driftsutg landet'!$C$9*'2021 Revekting utgiftsbehov'!AD13-'2021 Nto driftsutg landet'!$C$9</f>
        <v>13.735960868120856</v>
      </c>
      <c r="J13" s="11">
        <f t="shared" si="1"/>
        <v>1462.3962446205451</v>
      </c>
      <c r="L13" s="1">
        <f>'2021 Korr med revekting arbavg'!I13</f>
        <v>30.418417442356827</v>
      </c>
      <c r="M13" s="1">
        <f>'2021 Korr med revekting arbavg'!P13</f>
        <v>35.057370260577471</v>
      </c>
      <c r="N13" s="1">
        <f>'2021 Korr med revekting arbavg'!W13</f>
        <v>0.37344677638821355</v>
      </c>
      <c r="O13" s="1">
        <f>'2021 Korr med revekting arbavg'!AD13</f>
        <v>0</v>
      </c>
      <c r="P13" s="1">
        <f>'2021 Korr med revekting arbavg'!AK13</f>
        <v>3.1296958676674764</v>
      </c>
      <c r="Q13" s="50">
        <f t="shared" si="2"/>
        <v>18.381011171002164</v>
      </c>
      <c r="R13" s="1"/>
      <c r="S13" s="1">
        <f>'2021 Korr med revekting arbavg'!AR13</f>
        <v>17.987058356183464</v>
      </c>
      <c r="T13" s="1">
        <f>'2021 Korr med revekting arbavg'!AY13</f>
        <v>0.29042818078754995</v>
      </c>
      <c r="U13" s="1">
        <f>'2021 Korr med revekting arbavg'!BF13</f>
        <v>2.3983495443643584E-2</v>
      </c>
      <c r="V13" s="1">
        <f>'2021 Korr med revekting arbavg'!BM13</f>
        <v>7.9236795095055101E-2</v>
      </c>
      <c r="W13" s="1">
        <f>'2021 Korr med revekting arbavg'!BT13</f>
        <v>0</v>
      </c>
      <c r="X13" s="1">
        <f>'2021 Korr med revekting arbavg'!CA13</f>
        <v>3.0434349245022068E-4</v>
      </c>
      <c r="Y13" s="1"/>
      <c r="Z13" s="11">
        <f t="shared" si="4"/>
        <v>87.359941517992155</v>
      </c>
      <c r="AB13" s="1">
        <f>+'2021 Korr med revekting pensj'!I13</f>
        <v>-54.583068481508228</v>
      </c>
      <c r="AC13" s="1">
        <f>+'2021 Korr med revekting pensj'!P13</f>
        <v>4.6678186881542869</v>
      </c>
      <c r="AD13" s="1">
        <f>+'2021 Korr med revekting pensj'!W13</f>
        <v>-4.2269064603648063</v>
      </c>
      <c r="AE13" s="1">
        <f>+'2021 Korr med revekting pensj'!AD13</f>
        <v>0</v>
      </c>
      <c r="AF13" s="1">
        <f>+'2021 Korr med revekting pensj'!AK13</f>
        <v>-27.744979423779768</v>
      </c>
      <c r="AG13" s="50">
        <f t="shared" si="3"/>
        <v>-101.41131284997221</v>
      </c>
      <c r="AH13" s="1"/>
      <c r="AI13" s="1">
        <f>+'2021 Korr med revekting pensj'!AR13</f>
        <v>-94.679168403339688</v>
      </c>
      <c r="AJ13" s="1">
        <f>+'2021 Korr med revekting pensj'!AY13</f>
        <v>-4.0572266981417666</v>
      </c>
      <c r="AK13" s="1">
        <f>+'2021 Korr med revekting pensj'!BF13</f>
        <v>-0.40923429401959893</v>
      </c>
      <c r="AL13" s="1">
        <f>+'2021 Korr med revekting pensj'!BM13</f>
        <v>-2.2627981887952959</v>
      </c>
      <c r="AM13" s="1">
        <f>+'2021 Korr med revekting pensj'!BT13</f>
        <v>0</v>
      </c>
      <c r="AN13" s="1">
        <f>+'2021 Korr med revekting pensj'!CA13</f>
        <v>-2.8852656758568051E-3</v>
      </c>
      <c r="AO13" s="1"/>
      <c r="AP13" s="11">
        <f t="shared" si="5"/>
        <v>-183.29844852747073</v>
      </c>
      <c r="AQ13" s="1"/>
      <c r="AR13" s="11">
        <f>+'2021 Korr med revekt premieavv'!J13</f>
        <v>263.19191657693932</v>
      </c>
      <c r="AT13" s="11"/>
      <c r="AV13" s="11">
        <f t="shared" si="6"/>
        <v>1458.0638671433712</v>
      </c>
      <c r="AW13" s="1">
        <f>+AV13*'2021 Nto driftsutg'!W13</f>
        <v>931851533.61906278</v>
      </c>
    </row>
    <row r="14" spans="1:49" x14ac:dyDescent="0.3">
      <c r="A14" s="43">
        <v>5000</v>
      </c>
      <c r="B14" s="44" t="s">
        <v>390</v>
      </c>
      <c r="C14" s="11">
        <f>+'2021 Grunnlag korreksjoner'!C14*1000/'2021 Nto driftsutg'!W14</f>
        <v>6.2152632992415882</v>
      </c>
      <c r="D14" s="1"/>
      <c r="E14" s="1">
        <f>+'2021 Nto driftsutg landet'!$C$5*'2021 Revekting utgiftsbehov'!Z14-'2021 Nto driftsutg landet'!$C$5</f>
        <v>77.31867393749053</v>
      </c>
      <c r="F14" s="1">
        <f>+'2021 Nto driftsutg landet'!$C$6*'2021 Revekting utgiftsbehov'!AA14-'2021 Nto driftsutg landet'!$C$6</f>
        <v>485.30472991364286</v>
      </c>
      <c r="G14" s="1">
        <f>+'2021 Nto driftsutg landet'!$C$7*'2021 Revekting utgiftsbehov'!AB14-'2021 Nto driftsutg landet'!$C$7</f>
        <v>138.58763761397768</v>
      </c>
      <c r="H14" s="1">
        <f>+'2021 Nto driftsutg landet'!$C$8*'2021 Revekting utgiftsbehov'!AC14-'2021 Nto driftsutg landet'!$C$8</f>
        <v>111.89278983448082</v>
      </c>
      <c r="I14" s="1">
        <f>+'2021 Nto driftsutg landet'!$C$9*'2021 Revekting utgiftsbehov'!AD14-'2021 Nto driftsutg landet'!$C$9</f>
        <v>-3.5262999571205569</v>
      </c>
      <c r="J14" s="11">
        <f t="shared" si="1"/>
        <v>809.57753134247127</v>
      </c>
      <c r="L14" s="1">
        <f>'2021 Korr med revekting arbavg'!I14</f>
        <v>-10.062446896319006</v>
      </c>
      <c r="M14" s="1">
        <f>'2021 Korr med revekting arbavg'!P14</f>
        <v>6.667146309679473</v>
      </c>
      <c r="N14" s="1">
        <f>'2021 Korr med revekting arbavg'!W14</f>
        <v>0.24599445817518412</v>
      </c>
      <c r="O14" s="1">
        <f>'2021 Korr med revekting arbavg'!AD14</f>
        <v>7.546159518789379E-2</v>
      </c>
      <c r="P14" s="1">
        <f>'2021 Korr med revekting arbavg'!AK14</f>
        <v>-2.1154889308684552</v>
      </c>
      <c r="Q14" s="50">
        <f t="shared" si="2"/>
        <v>14.987913331854768</v>
      </c>
      <c r="R14" s="1"/>
      <c r="S14" s="1">
        <f>'2021 Korr med revekting arbavg'!AR14</f>
        <v>14.433684753650331</v>
      </c>
      <c r="T14" s="1">
        <f>'2021 Korr med revekting arbavg'!AY14</f>
        <v>0.34801881885337282</v>
      </c>
      <c r="U14" s="1">
        <f>'2021 Korr med revekting arbavg'!BF14</f>
        <v>-3.8758502539748219E-2</v>
      </c>
      <c r="V14" s="1">
        <f>'2021 Korr med revekting arbavg'!BM14</f>
        <v>0.24496826189081369</v>
      </c>
      <c r="W14" s="1">
        <f>'2021 Korr med revekting arbavg'!BT14</f>
        <v>0</v>
      </c>
      <c r="X14" s="1">
        <f>'2021 Korr med revekting arbavg'!CA14</f>
        <v>0</v>
      </c>
      <c r="Y14" s="1"/>
      <c r="Z14" s="11">
        <f t="shared" si="4"/>
        <v>9.7985798677098579</v>
      </c>
      <c r="AB14" s="1">
        <f>+'2021 Korr med revekting pensj'!I14</f>
        <v>13.031069707476915</v>
      </c>
      <c r="AC14" s="1">
        <f>+'2021 Korr med revekting pensj'!P14</f>
        <v>14.979941207015248</v>
      </c>
      <c r="AD14" s="1">
        <f>+'2021 Korr med revekting pensj'!W14</f>
        <v>0.11846151908747247</v>
      </c>
      <c r="AE14" s="1">
        <f>+'2021 Korr med revekting pensj'!AD14</f>
        <v>-0.23543274203353756</v>
      </c>
      <c r="AF14" s="1">
        <f>+'2021 Korr med revekting pensj'!AK14</f>
        <v>0.2666013039095162</v>
      </c>
      <c r="AG14" s="50">
        <f t="shared" si="3"/>
        <v>77.513876390861114</v>
      </c>
      <c r="AH14" s="1"/>
      <c r="AI14" s="1">
        <f>+'2021 Korr med revekting pensj'!AR14</f>
        <v>75.962675192959225</v>
      </c>
      <c r="AJ14" s="1">
        <f>+'2021 Korr med revekting pensj'!AY14</f>
        <v>1.4709453243568951</v>
      </c>
      <c r="AK14" s="1">
        <f>+'2021 Korr med revekting pensj'!BF14</f>
        <v>-5.6740259055710078E-4</v>
      </c>
      <c r="AL14" s="1">
        <f>+'2021 Korr med revekting pensj'!BM14</f>
        <v>8.0823276135559785E-2</v>
      </c>
      <c r="AM14" s="1">
        <f>+'2021 Korr med revekting pensj'!BT14</f>
        <v>0</v>
      </c>
      <c r="AN14" s="1">
        <f>+'2021 Korr med revekting pensj'!CA14</f>
        <v>0</v>
      </c>
      <c r="AO14" s="1"/>
      <c r="AP14" s="11">
        <f t="shared" si="5"/>
        <v>105.67451738631672</v>
      </c>
      <c r="AQ14" s="1"/>
      <c r="AR14" s="11">
        <f>+'2021 Korr med revekt premieavv'!J14</f>
        <v>28.792446979079472</v>
      </c>
      <c r="AT14" s="11"/>
      <c r="AV14" s="11">
        <f t="shared" si="6"/>
        <v>960.05833887481879</v>
      </c>
      <c r="AW14" s="1">
        <f>+AV14*'2021 Nto driftsutg'!W14</f>
        <v>452172116.67661762</v>
      </c>
    </row>
    <row r="15" spans="1:49" x14ac:dyDescent="0.3">
      <c r="A15" s="43">
        <v>5400</v>
      </c>
      <c r="B15" s="44" t="s">
        <v>397</v>
      </c>
      <c r="C15" s="11">
        <f>+'2021 Grunnlag korreksjoner'!C15*1000/'2021 Nto driftsutg'!W15</f>
        <v>227.93067240342958</v>
      </c>
      <c r="D15" s="1"/>
      <c r="E15" s="1">
        <f>+'2021 Nto driftsutg landet'!$C$5*'2021 Revekting utgiftsbehov'!Z15-'2021 Nto driftsutg landet'!$C$5</f>
        <v>404.19890335506898</v>
      </c>
      <c r="F15" s="1">
        <f>+'2021 Nto driftsutg landet'!$C$6*'2021 Revekting utgiftsbehov'!AA15-'2021 Nto driftsutg landet'!$C$6</f>
        <v>1745.178150317774</v>
      </c>
      <c r="G15" s="1">
        <f>+'2021 Nto driftsutg landet'!$C$7*'2021 Revekting utgiftsbehov'!AB15-'2021 Nto driftsutg landet'!$C$7</f>
        <v>307.53059763713964</v>
      </c>
      <c r="H15" s="1">
        <f>+'2021 Nto driftsutg landet'!$C$8*'2021 Revekting utgiftsbehov'!AC15-'2021 Nto driftsutg landet'!$C$8</f>
        <v>1968.3778681154758</v>
      </c>
      <c r="I15" s="1">
        <f>+'2021 Nto driftsutg landet'!$C$9*'2021 Revekting utgiftsbehov'!AD15-'2021 Nto driftsutg landet'!$C$9</f>
        <v>-20.198010920838385</v>
      </c>
      <c r="J15" s="11">
        <f t="shared" si="1"/>
        <v>4405.0875085046209</v>
      </c>
      <c r="L15" s="1">
        <f>'2021 Korr med revekting arbavg'!I15</f>
        <v>-353.95019795305058</v>
      </c>
      <c r="M15" s="1">
        <f>'2021 Korr med revekting arbavg'!P15</f>
        <v>-49.543363413084947</v>
      </c>
      <c r="N15" s="1">
        <f>'2021 Korr med revekting arbavg'!W15</f>
        <v>-3.4353048079359638</v>
      </c>
      <c r="O15" s="1">
        <f>'2021 Korr med revekting arbavg'!AD15</f>
        <v>-1.1355417901091092</v>
      </c>
      <c r="P15" s="1">
        <f>'2021 Korr med revekting arbavg'!AK15</f>
        <v>-27.547074539113726</v>
      </c>
      <c r="Q15" s="50">
        <f t="shared" si="2"/>
        <v>-27.843419690049956</v>
      </c>
      <c r="R15" s="1"/>
      <c r="S15" s="1">
        <f>'2021 Korr med revekting arbavg'!AR15</f>
        <v>-20.240181563803379</v>
      </c>
      <c r="T15" s="1">
        <f>'2021 Korr med revekting arbavg'!AY15</f>
        <v>-4.4305849411489975</v>
      </c>
      <c r="U15" s="1">
        <f>'2021 Korr med revekting arbavg'!BF15</f>
        <v>-0.43718719786859467</v>
      </c>
      <c r="V15" s="1">
        <f>'2021 Korr med revekting arbavg'!BM15</f>
        <v>-2.7307938732097825</v>
      </c>
      <c r="W15" s="1">
        <f>'2021 Korr med revekting arbavg'!BT15</f>
        <v>0</v>
      </c>
      <c r="X15" s="1">
        <f>'2021 Korr med revekting arbavg'!CA15</f>
        <v>-4.6721140192010546E-3</v>
      </c>
      <c r="Y15" s="1"/>
      <c r="Z15" s="11">
        <f t="shared" si="4"/>
        <v>-463.45490219334431</v>
      </c>
      <c r="AB15" s="1">
        <f>+'2021 Korr med revekting pensj'!I15</f>
        <v>15.887950181998148</v>
      </c>
      <c r="AC15" s="1">
        <f>+'2021 Korr med revekting pensj'!P15</f>
        <v>-14.311410332418037</v>
      </c>
      <c r="AD15" s="1">
        <f>+'2021 Korr med revekting pensj'!W15</f>
        <v>3.8301537343069931</v>
      </c>
      <c r="AE15" s="1">
        <f>+'2021 Korr med revekting pensj'!AD15</f>
        <v>-0.25935067714722382</v>
      </c>
      <c r="AF15" s="1">
        <f>+'2021 Korr med revekting pensj'!AK15</f>
        <v>6.3369180010825659</v>
      </c>
      <c r="AG15" s="50">
        <f t="shared" si="3"/>
        <v>-8.4328833239146412</v>
      </c>
      <c r="AH15" s="1"/>
      <c r="AI15" s="1">
        <f>+'2021 Korr med revekting pensj'!AR15</f>
        <v>-10.45937932967542</v>
      </c>
      <c r="AJ15" s="1">
        <f>+'2021 Korr med revekting pensj'!AY15</f>
        <v>0.90209351167923657</v>
      </c>
      <c r="AK15" s="1">
        <f>+'2021 Korr med revekting pensj'!BF15</f>
        <v>0.20004100114109508</v>
      </c>
      <c r="AL15" s="1">
        <f>+'2021 Korr med revekting pensj'!BM15</f>
        <v>0.91903633299914855</v>
      </c>
      <c r="AM15" s="1">
        <f>+'2021 Korr med revekting pensj'!BT15</f>
        <v>0</v>
      </c>
      <c r="AN15" s="1">
        <f>+'2021 Korr med revekting pensj'!CA15</f>
        <v>5.3251599412982723E-3</v>
      </c>
      <c r="AO15" s="1"/>
      <c r="AP15" s="11">
        <f t="shared" si="5"/>
        <v>3.0513775839078043</v>
      </c>
      <c r="AQ15" s="1"/>
      <c r="AR15" s="11">
        <f>+'2021 Korr med revekt premieavv'!J15</f>
        <v>-11.725836083175116</v>
      </c>
      <c r="AT15" s="11"/>
      <c r="AV15" s="11">
        <f t="shared" si="6"/>
        <v>4160.8888202154394</v>
      </c>
      <c r="AW15" s="1">
        <f>+AV15*'2021 Nto driftsutg'!W15</f>
        <v>1005532874.9597237</v>
      </c>
    </row>
    <row r="16" spans="1:49" x14ac:dyDescent="0.3">
      <c r="C16" s="10"/>
      <c r="E16" s="4"/>
      <c r="F16" s="4"/>
      <c r="G16" s="4"/>
      <c r="H16" s="1"/>
      <c r="I16" s="4"/>
      <c r="J16" s="10"/>
      <c r="Q16" s="51"/>
      <c r="Z16" s="11"/>
      <c r="AG16" s="51"/>
      <c r="AP16" s="10"/>
      <c r="AQ16" s="4"/>
      <c r="AR16" s="11"/>
      <c r="AT16" s="11"/>
      <c r="AV16" s="11"/>
    </row>
    <row r="17" spans="2:49" x14ac:dyDescent="0.3">
      <c r="B17" s="1" t="s">
        <v>3</v>
      </c>
      <c r="C17" s="11">
        <v>0</v>
      </c>
      <c r="D17" s="1"/>
      <c r="E17" s="1">
        <v>0</v>
      </c>
      <c r="F17" s="1">
        <f>+'2021 Nto driftsutg landet'!$C$6*'2021 Nøkkel revektet'!E17-'2021 Nto driftsutg landet'!$C$6</f>
        <v>0</v>
      </c>
      <c r="G17" s="1">
        <f>+'2021 Nto driftsutg landet'!$C$6*'2021 Nøkkel revektet'!F17-'2021 Nto driftsutg landet'!$C$6</f>
        <v>0</v>
      </c>
      <c r="H17" s="1">
        <f>+'2021 Nto driftsutg landet'!$C$8*'2021 Nøkkel revektet'!G17-'2021 Nto driftsutg landet'!$C$8</f>
        <v>0</v>
      </c>
      <c r="I17" s="1">
        <f>+'2021 Nto driftsutg landet'!$C$6*'2021 Nøkkel revektet'!H17-'2021 Nto driftsutg landet'!$C$6</f>
        <v>0</v>
      </c>
      <c r="J17" s="11">
        <f>SUM(E17:I17)</f>
        <v>0</v>
      </c>
      <c r="K17" s="1"/>
      <c r="L17" s="1">
        <f>+'2021 Korr med revekting arbavg'!J17</f>
        <v>-6.2573235481977463E-10</v>
      </c>
      <c r="M17" s="1">
        <f>+'2021 Korr med revekting arbavg'!Q17</f>
        <v>0</v>
      </c>
      <c r="N17" s="1">
        <f>+'2021 Korr med revekting arbavg'!X17</f>
        <v>0</v>
      </c>
      <c r="O17" s="1">
        <f>+'2021 Korr med revekting arbavg'!AE17</f>
        <v>0</v>
      </c>
      <c r="P17" s="1">
        <f>+'2021 Korr med revekting arbavg'!AL17</f>
        <v>2.0008883439004421E-11</v>
      </c>
      <c r="Q17" s="50"/>
      <c r="R17" s="1"/>
      <c r="S17" s="1">
        <f>'2021 Korr med revekting arbavg'!AR17</f>
        <v>0</v>
      </c>
      <c r="T17" s="1">
        <f>'2021 Korr med revekting arbavg'!AZ17</f>
        <v>-6.1390892369672656E-12</v>
      </c>
      <c r="U17" s="1">
        <f>'2021 Korr med revekting arbavg'!BG17</f>
        <v>-3.979039320256561E-13</v>
      </c>
      <c r="V17" s="1">
        <f>'2021 Korr med revekting arbavg'!BN17</f>
        <v>-1.9326762412674725E-12</v>
      </c>
      <c r="W17" s="1">
        <f>'2021 Korr med revekting arbavg'!BU17</f>
        <v>0</v>
      </c>
      <c r="X17" s="1">
        <f>'2021 Korr med revekting arbavg'!CB17</f>
        <v>-3.3306690738754696E-15</v>
      </c>
      <c r="Y17" s="1"/>
      <c r="Z17" s="11">
        <f>SUM(L17:P17)+Q17</f>
        <v>-6.0572347138077021E-10</v>
      </c>
      <c r="AB17" s="1">
        <f>+'2021 Korr med revekting pensj'!J17</f>
        <v>-1.4142642612569034E-10</v>
      </c>
      <c r="AC17" s="1">
        <f>+'2021 Korr med revekting pensj'!Q17</f>
        <v>1.9099388737231493E-11</v>
      </c>
      <c r="AD17" s="1">
        <f>+'2021 Korr med revekting pensj'!X17</f>
        <v>-3.2969182939268649E-12</v>
      </c>
      <c r="AE17" s="1">
        <f>+'2021 Korr med revekting pensj'!AE17</f>
        <v>-6.4659388954169117E-13</v>
      </c>
      <c r="AF17" s="1">
        <f>+'2021 Korr med revekting pensj'!AL17</f>
        <v>-3.3878677641041577E-11</v>
      </c>
      <c r="AG17" s="50"/>
      <c r="AH17" s="1"/>
      <c r="AI17" s="1">
        <f>+'2021 Korr med revekting pensj'!AS17</f>
        <v>4.091241276000801E-4</v>
      </c>
      <c r="AJ17" s="1">
        <f>+'2021 Korr med revekting pensj'!AZ17</f>
        <v>3.4106051316484809E-12</v>
      </c>
      <c r="AK17" s="1">
        <f>+'2021 Korr med revekting pensj'!BG17</f>
        <v>-1.2789769243681803E-13</v>
      </c>
      <c r="AL17" s="1">
        <f>+'2021 Korr med revekting pensj'!BN17</f>
        <v>1.7053025658242404E-12</v>
      </c>
      <c r="AM17" s="1">
        <f>+'2021 Korr med revekting pensj'!BU17</f>
        <v>0</v>
      </c>
      <c r="AN17" s="1">
        <f>+'2021 Korr med revekting pensj'!CB17</f>
        <v>-2.886579864025407E-15</v>
      </c>
      <c r="AO17" s="1"/>
      <c r="AP17" s="11">
        <f>SUM(AB17:AF17)+AG17</f>
        <v>-1.6014922721296898E-10</v>
      </c>
      <c r="AQ17" s="1"/>
      <c r="AR17" s="11">
        <f>+'2021 Korr med revekt premieavv'!K17</f>
        <v>-1.5685266815125942E-2</v>
      </c>
      <c r="AT17" s="11"/>
      <c r="AV17" s="11">
        <f>+C17+J17+Z17+AP17+AR17</f>
        <v>-1.5685267580998641E-2</v>
      </c>
      <c r="AW17" s="5">
        <f>SUM(AW5:AW15)</f>
        <v>0.5510718822479248</v>
      </c>
    </row>
    <row r="19" spans="2:49" x14ac:dyDescent="0.3">
      <c r="E19" s="5"/>
      <c r="F19" s="5"/>
      <c r="G19" s="5"/>
      <c r="H19" s="5"/>
      <c r="I19" s="5"/>
      <c r="AB19" s="5"/>
      <c r="AC19" s="5"/>
      <c r="AD19" s="5"/>
      <c r="AE19" s="5"/>
      <c r="AF19" s="5"/>
      <c r="AH19" s="5"/>
      <c r="AI19" s="5"/>
      <c r="AJ19" s="5"/>
      <c r="AK19" s="5"/>
      <c r="AL19" s="5"/>
      <c r="AM19" s="5"/>
      <c r="AN19" s="5"/>
      <c r="AO19" s="5"/>
    </row>
    <row r="21" spans="2:49" x14ac:dyDescent="0.3">
      <c r="E21" t="s">
        <v>316</v>
      </c>
    </row>
    <row r="22" spans="2:49" x14ac:dyDescent="0.3">
      <c r="C22" t="s">
        <v>317</v>
      </c>
      <c r="E22" s="5">
        <f>+C6+E6+L6+AB6</f>
        <v>382.96365634814259</v>
      </c>
    </row>
  </sheetData>
  <sheetProtection algorithmName="SHA-512" hashValue="rDl9XWpVj2ekMHhc/5aAS6v1BANNSizr+Oe1l9HnrE2hHCw0Y1W9oC7pIEUsNowb6FDbkaV/LteWSr5P6iXwvQ==" saltValue="6/JkGWTwoubRkZNjfl8v9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F36"/>
  <sheetViews>
    <sheetView workbookViewId="0"/>
  </sheetViews>
  <sheetFormatPr baseColWidth="10" defaultRowHeight="14.4" x14ac:dyDescent="0.3"/>
  <cols>
    <col min="1" max="1" width="39.109375" customWidth="1"/>
    <col min="2" max="3" width="21" customWidth="1"/>
  </cols>
  <sheetData>
    <row r="2" spans="1:5" ht="27" x14ac:dyDescent="0.3">
      <c r="A2" s="24" t="s">
        <v>10</v>
      </c>
      <c r="B2" s="24" t="s">
        <v>34</v>
      </c>
      <c r="C2" s="24" t="s">
        <v>34</v>
      </c>
    </row>
    <row r="3" spans="1:5" x14ac:dyDescent="0.3">
      <c r="A3" s="6"/>
      <c r="B3" s="6" t="s">
        <v>11</v>
      </c>
      <c r="C3" s="6" t="s">
        <v>12</v>
      </c>
    </row>
    <row r="4" spans="1:5" x14ac:dyDescent="0.3">
      <c r="A4" s="107">
        <v>1</v>
      </c>
      <c r="B4" s="107">
        <f>+A4+1</f>
        <v>2</v>
      </c>
      <c r="C4" s="107">
        <f>+B4+1</f>
        <v>3</v>
      </c>
    </row>
    <row r="5" spans="1:5" x14ac:dyDescent="0.3">
      <c r="A5" t="s">
        <v>174</v>
      </c>
      <c r="B5" s="5">
        <f>+'2021 Nto driftsutg eks avskriv'!D17</f>
        <v>33220154</v>
      </c>
      <c r="C5" s="5">
        <f>+B5*1000/'2021 Nto driftsutg'!$W$17</f>
        <v>6149.8019650766173</v>
      </c>
      <c r="E5" s="5"/>
    </row>
    <row r="6" spans="1:5" x14ac:dyDescent="0.3">
      <c r="A6" t="s">
        <v>175</v>
      </c>
      <c r="B6" s="5">
        <f>+'2021 Nto driftsutg eks avskriv'!E17</f>
        <v>8909509</v>
      </c>
      <c r="C6" s="5">
        <f>+B6*1000/'2021 Nto driftsutg'!$W$17</f>
        <v>1649.3516543020182</v>
      </c>
      <c r="E6" s="5"/>
    </row>
    <row r="7" spans="1:5" x14ac:dyDescent="0.3">
      <c r="A7" t="s">
        <v>278</v>
      </c>
      <c r="B7" s="5">
        <f>+'2021 Nto driftsutg eks avskriv'!F17</f>
        <v>13576239</v>
      </c>
      <c r="C7" s="5">
        <f>+B7*1000/'2021 Nto driftsutg'!$W$17</f>
        <v>2513.2689415151362</v>
      </c>
      <c r="E7" s="5"/>
    </row>
    <row r="8" spans="1:5" x14ac:dyDescent="0.3">
      <c r="A8" t="s">
        <v>279</v>
      </c>
      <c r="B8" s="5">
        <f>+'2021 Nto driftsutg eks avskriv'!G17</f>
        <v>4376534</v>
      </c>
      <c r="C8" s="5">
        <f>+B8*1000/'2021 Nto driftsutg'!$W$17</f>
        <v>810.19544320669399</v>
      </c>
      <c r="E8" s="5"/>
    </row>
    <row r="9" spans="1:5" x14ac:dyDescent="0.3">
      <c r="A9" s="23" t="s">
        <v>176</v>
      </c>
      <c r="B9" s="22">
        <f>+'2021 Nto driftsutg eks avskriv'!H17</f>
        <v>2712683</v>
      </c>
      <c r="C9" s="22">
        <f>+B9*1000/'2021 Nto driftsutg'!$W$17</f>
        <v>502.17898580572307</v>
      </c>
      <c r="E9" s="5"/>
    </row>
    <row r="10" spans="1:5" x14ac:dyDescent="0.3">
      <c r="A10" s="9" t="s">
        <v>31</v>
      </c>
      <c r="B10" s="8">
        <f>SUM(B5:B9)</f>
        <v>62795119</v>
      </c>
      <c r="C10" s="8">
        <f>SUM(C5:C9)</f>
        <v>11624.79698990619</v>
      </c>
      <c r="D10" s="8"/>
      <c r="E10" s="8"/>
    </row>
    <row r="11" spans="1:5" x14ac:dyDescent="0.3">
      <c r="A11" s="9"/>
      <c r="B11" s="8"/>
      <c r="C11" s="8"/>
    </row>
    <row r="12" spans="1:5" x14ac:dyDescent="0.3">
      <c r="A12" s="9"/>
      <c r="B12" s="8"/>
      <c r="C12" s="8"/>
    </row>
    <row r="13" spans="1:5" x14ac:dyDescent="0.3">
      <c r="A13" t="s">
        <v>23</v>
      </c>
      <c r="B13" s="54">
        <f>+'2021 Nto driftsutg eks avskriv'!I17</f>
        <v>7408703</v>
      </c>
      <c r="C13" s="5">
        <f>+B13*1000/'2021 Nto driftsutg'!$W$17</f>
        <v>1371.5185145760922</v>
      </c>
      <c r="E13" s="5"/>
    </row>
    <row r="14" spans="1:5" x14ac:dyDescent="0.3">
      <c r="A14" t="s">
        <v>27</v>
      </c>
      <c r="B14" s="5">
        <f>+'2021 Nto driftsutg eks avskriv'!R17</f>
        <v>-934580.06606233004</v>
      </c>
      <c r="C14" s="5">
        <f>+B14*1000/'2021 Nto driftsutg'!$W$17</f>
        <v>-173.01191098607046</v>
      </c>
      <c r="E14" s="5"/>
    </row>
    <row r="15" spans="1:5" x14ac:dyDescent="0.3">
      <c r="A15" t="s">
        <v>24</v>
      </c>
      <c r="B15" s="5">
        <f>+'2021 Nto driftsutg eks avskriv'!S17</f>
        <v>3959291.8873434216</v>
      </c>
      <c r="C15" s="5">
        <f>+B15*1000/'2021 Nto driftsutg'!$W$17</f>
        <v>732.95448988877308</v>
      </c>
      <c r="E15" s="5"/>
    </row>
    <row r="16" spans="1:5" x14ac:dyDescent="0.3">
      <c r="A16" s="23" t="s">
        <v>25</v>
      </c>
      <c r="B16" s="22">
        <f>+'2021 Nto driftsutg eks avskriv'!T17</f>
        <v>7761817.0790318195</v>
      </c>
      <c r="C16" s="22">
        <f>+B16*1000/'2021 Nto driftsutg'!$W$17</f>
        <v>1436.8879182557412</v>
      </c>
      <c r="E16" s="5"/>
    </row>
    <row r="17" spans="1:6" x14ac:dyDescent="0.3">
      <c r="A17" s="9" t="s">
        <v>32</v>
      </c>
      <c r="B17" s="8">
        <f>SUM(B13:B16)</f>
        <v>18195231.900312908</v>
      </c>
      <c r="C17" s="8">
        <f>SUM(C13:C16)</f>
        <v>3368.3490117345359</v>
      </c>
      <c r="D17" s="8"/>
      <c r="E17" s="8"/>
    </row>
    <row r="19" spans="1:6" x14ac:dyDescent="0.3">
      <c r="A19" s="7" t="s">
        <v>33</v>
      </c>
      <c r="B19" s="25">
        <f>+B10+B17</f>
        <v>80990350.900312901</v>
      </c>
      <c r="C19" s="25">
        <f>+B19*1000/'2021 Nto driftsutg'!$W$17</f>
        <v>14993.146001640722</v>
      </c>
      <c r="D19" s="25"/>
      <c r="E19" s="5"/>
      <c r="F19" s="5"/>
    </row>
    <row r="22" spans="1:6" x14ac:dyDescent="0.3">
      <c r="A22" s="7" t="s">
        <v>84</v>
      </c>
    </row>
    <row r="23" spans="1:6" x14ac:dyDescent="0.3">
      <c r="A23" t="s">
        <v>4</v>
      </c>
      <c r="B23" s="5">
        <f>+'2021 Nto driftsutg eks avskriv'!K17</f>
        <v>4132147</v>
      </c>
      <c r="C23" s="5">
        <f>+B23*1000/'2021 Nto driftsutg'!$W$17</f>
        <v>764.95388132714402</v>
      </c>
    </row>
    <row r="24" spans="1:6" x14ac:dyDescent="0.3">
      <c r="A24" t="s">
        <v>177</v>
      </c>
      <c r="B24" s="5">
        <f>+'2021 Nto driftsutg eks avskriv'!L17</f>
        <v>1095521</v>
      </c>
      <c r="C24" s="5">
        <f>+B24*1000/'2021 Nto driftsutg'!$W$17</f>
        <v>202.80571843775022</v>
      </c>
    </row>
    <row r="25" spans="1:6" x14ac:dyDescent="0.3">
      <c r="A25" t="s">
        <v>37</v>
      </c>
      <c r="B25" s="5">
        <f>+'2021 Nto driftsutg eks avskriv'!M17</f>
        <v>342363</v>
      </c>
      <c r="C25" s="5">
        <f>+B25*1000/'2021 Nto driftsutg'!$W$17</f>
        <v>63.379135755045752</v>
      </c>
    </row>
    <row r="26" spans="1:6" x14ac:dyDescent="0.3">
      <c r="A26" t="s">
        <v>178</v>
      </c>
      <c r="B26" s="5">
        <f>+'2021 Nto driftsutg eks avskriv'!N17</f>
        <v>1837742</v>
      </c>
      <c r="C26" s="5">
        <f>+B26*1000/'2021 Nto driftsutg'!$W$17</f>
        <v>340.20761501899818</v>
      </c>
    </row>
    <row r="27" spans="1:6" x14ac:dyDescent="0.3">
      <c r="A27" t="s">
        <v>38</v>
      </c>
      <c r="B27" s="5">
        <f>+'2021 Nto driftsutg eks avskriv'!O17</f>
        <v>-1145</v>
      </c>
      <c r="C27" s="5">
        <f>+B27*1000/'2021 Nto driftsutg'!$W$17</f>
        <v>-0.21196540058221064</v>
      </c>
    </row>
    <row r="28" spans="1:6" x14ac:dyDescent="0.3">
      <c r="A28" s="23" t="s">
        <v>39</v>
      </c>
      <c r="B28" s="22">
        <f>+'2021 Nto driftsutg eks avskriv'!P17</f>
        <v>2075</v>
      </c>
      <c r="C28" s="22">
        <f>+B28*1000/'2021 Nto driftsutg'!$W$17</f>
        <v>0.38412943773632058</v>
      </c>
    </row>
    <row r="29" spans="1:6" x14ac:dyDescent="0.3">
      <c r="A29" t="s">
        <v>18</v>
      </c>
      <c r="B29" s="54">
        <f>SUM(B23:B28)</f>
        <v>7408703</v>
      </c>
      <c r="C29" s="5">
        <f>SUM(C23:C28)</f>
        <v>1371.5185145760925</v>
      </c>
    </row>
    <row r="33" spans="1:3" x14ac:dyDescent="0.3">
      <c r="A33" s="7"/>
    </row>
    <row r="34" spans="1:3" x14ac:dyDescent="0.3">
      <c r="B34" s="5"/>
      <c r="C34" s="5"/>
    </row>
    <row r="35" spans="1:3" x14ac:dyDescent="0.3">
      <c r="B35" s="5"/>
      <c r="C35" s="5"/>
    </row>
    <row r="36" spans="1:3" x14ac:dyDescent="0.3">
      <c r="B36" s="5"/>
      <c r="C36" s="5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AA38"/>
  <sheetViews>
    <sheetView zoomScale="90" zoomScaleNormal="90" workbookViewId="0">
      <pane xSplit="2" ySplit="3" topLeftCell="F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20" width="13.109375" customWidth="1"/>
    <col min="21" max="21" width="7.109375" customWidth="1"/>
    <col min="22" max="23" width="13.109375" customWidth="1"/>
    <col min="24" max="24" width="4.5546875" customWidth="1"/>
    <col min="26" max="26" width="14" customWidth="1"/>
    <col min="27" max="27" width="14.109375" customWidth="1"/>
  </cols>
  <sheetData>
    <row r="1" spans="1:27" x14ac:dyDescent="0.3">
      <c r="D1" s="5"/>
      <c r="E1" s="5"/>
      <c r="F1" s="5"/>
      <c r="G1" s="5"/>
      <c r="H1" s="5"/>
      <c r="J1" s="5"/>
      <c r="K1" s="5"/>
      <c r="L1" s="5"/>
      <c r="M1" s="5"/>
    </row>
    <row r="2" spans="1:27" ht="104.25" customHeight="1" x14ac:dyDescent="0.3">
      <c r="A2" s="24" t="s">
        <v>2</v>
      </c>
      <c r="B2" s="24" t="s">
        <v>1</v>
      </c>
      <c r="C2" s="24" t="s">
        <v>21</v>
      </c>
      <c r="D2" s="24" t="s">
        <v>144</v>
      </c>
      <c r="E2" s="24" t="s">
        <v>145</v>
      </c>
      <c r="F2" s="24" t="s">
        <v>286</v>
      </c>
      <c r="G2" s="24" t="s">
        <v>287</v>
      </c>
      <c r="H2" s="24" t="s">
        <v>146</v>
      </c>
      <c r="I2" s="13" t="s">
        <v>29</v>
      </c>
      <c r="J2" s="24" t="s">
        <v>147</v>
      </c>
      <c r="K2" s="24" t="s">
        <v>148</v>
      </c>
      <c r="L2" s="24" t="s">
        <v>149</v>
      </c>
      <c r="M2" s="24" t="s">
        <v>150</v>
      </c>
      <c r="N2" s="24" t="s">
        <v>151</v>
      </c>
      <c r="O2" s="24" t="s">
        <v>152</v>
      </c>
      <c r="P2" s="24" t="s">
        <v>153</v>
      </c>
      <c r="Q2" s="24" t="s">
        <v>154</v>
      </c>
      <c r="R2" s="24" t="s">
        <v>6</v>
      </c>
      <c r="S2" s="24" t="s">
        <v>19</v>
      </c>
      <c r="T2" s="24" t="s">
        <v>20</v>
      </c>
      <c r="U2" s="24"/>
      <c r="V2" s="24" t="s">
        <v>399</v>
      </c>
      <c r="W2" s="24" t="s">
        <v>400</v>
      </c>
      <c r="X2" s="24"/>
      <c r="Y2" s="24"/>
      <c r="Z2" s="24"/>
      <c r="AA2" s="24"/>
    </row>
    <row r="3" spans="1:27" x14ac:dyDescent="0.3">
      <c r="A3" s="107">
        <v>1</v>
      </c>
      <c r="B3" s="107">
        <f>+A3+1</f>
        <v>2</v>
      </c>
      <c r="C3" s="107">
        <f t="shared" ref="C3:Y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>+G3+1</f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/>
      <c r="AA3" s="107"/>
    </row>
    <row r="4" spans="1:27" x14ac:dyDescent="0.3">
      <c r="C4" s="5"/>
      <c r="I4" s="21"/>
    </row>
    <row r="5" spans="1:27" x14ac:dyDescent="0.3">
      <c r="A5" s="43">
        <v>300</v>
      </c>
      <c r="B5" s="44" t="s">
        <v>0</v>
      </c>
      <c r="C5" s="1">
        <f>SUM(D5:I5)+R5+S5+T5</f>
        <v>7089587.9003129108</v>
      </c>
      <c r="D5" s="1">
        <v>3285352</v>
      </c>
      <c r="E5" s="1">
        <v>0</v>
      </c>
      <c r="F5" s="1">
        <v>3179747</v>
      </c>
      <c r="G5" s="1">
        <v>26603</v>
      </c>
      <c r="H5" s="1">
        <v>234679</v>
      </c>
      <c r="I5" s="11">
        <f t="shared" ref="I5:I15" si="1">SUM(J5:Q5)</f>
        <v>56913</v>
      </c>
      <c r="J5" s="1"/>
      <c r="K5" s="1">
        <v>108153</v>
      </c>
      <c r="L5" s="1">
        <v>0</v>
      </c>
      <c r="M5" s="1">
        <v>2526</v>
      </c>
      <c r="N5" s="1">
        <v>-53766</v>
      </c>
      <c r="O5" s="1">
        <v>0</v>
      </c>
      <c r="P5" s="1">
        <v>0</v>
      </c>
      <c r="Q5" s="1"/>
      <c r="R5" s="112">
        <v>-325414.06606233004</v>
      </c>
      <c r="S5" s="112">
        <v>171434.88734342158</v>
      </c>
      <c r="T5" s="112">
        <v>460273.07903181907</v>
      </c>
      <c r="U5" s="1"/>
      <c r="V5" s="1">
        <f>IF(C5&gt;0,W5,0)</f>
        <v>696108</v>
      </c>
      <c r="W5" s="1">
        <v>696108</v>
      </c>
      <c r="Y5" s="5"/>
      <c r="Z5" s="1"/>
      <c r="AA5" s="1"/>
    </row>
    <row r="6" spans="1:27" x14ac:dyDescent="0.3">
      <c r="A6" s="43">
        <v>1100</v>
      </c>
      <c r="B6" s="44" t="s">
        <v>141</v>
      </c>
      <c r="C6" s="1">
        <f t="shared" ref="C6:C15" si="2">SUM(D6:I6)+R6+S6+T6</f>
        <v>7496109</v>
      </c>
      <c r="D6" s="1">
        <v>3291530</v>
      </c>
      <c r="E6" s="1">
        <v>987832</v>
      </c>
      <c r="F6" s="1">
        <v>838441</v>
      </c>
      <c r="G6" s="1">
        <v>466365</v>
      </c>
      <c r="H6" s="1">
        <v>266799</v>
      </c>
      <c r="I6" s="11">
        <f t="shared" si="1"/>
        <v>427845</v>
      </c>
      <c r="J6" s="1"/>
      <c r="K6" s="1">
        <v>283872</v>
      </c>
      <c r="L6" s="1">
        <v>73465</v>
      </c>
      <c r="M6" s="1">
        <v>-82802</v>
      </c>
      <c r="N6" s="1">
        <v>153908</v>
      </c>
      <c r="O6" s="1">
        <v>0</v>
      </c>
      <c r="P6" s="1">
        <v>-598</v>
      </c>
      <c r="Q6" s="1"/>
      <c r="R6" s="1">
        <v>-62600</v>
      </c>
      <c r="S6" s="1">
        <v>512526</v>
      </c>
      <c r="T6" s="1">
        <v>767371</v>
      </c>
      <c r="U6" s="1"/>
      <c r="V6" s="1">
        <f t="shared" ref="V6:V15" si="3">IF(C6&gt;0,W6,0)</f>
        <v>484091</v>
      </c>
      <c r="W6" s="1">
        <v>484091</v>
      </c>
      <c r="Z6" s="1"/>
      <c r="AA6" s="1"/>
    </row>
    <row r="7" spans="1:27" x14ac:dyDescent="0.3">
      <c r="A7" s="43">
        <v>1500</v>
      </c>
      <c r="B7" s="44" t="s">
        <v>142</v>
      </c>
      <c r="C7" s="1">
        <f t="shared" si="2"/>
        <v>5539983</v>
      </c>
      <c r="D7" s="1">
        <v>1872417</v>
      </c>
      <c r="E7" s="1">
        <v>985774</v>
      </c>
      <c r="F7" s="1">
        <v>558473</v>
      </c>
      <c r="G7" s="1">
        <v>804276</v>
      </c>
      <c r="H7" s="1">
        <v>173570</v>
      </c>
      <c r="I7" s="11">
        <f t="shared" si="1"/>
        <v>472880</v>
      </c>
      <c r="J7" s="1"/>
      <c r="K7" s="1">
        <v>215074</v>
      </c>
      <c r="L7" s="1">
        <v>101369</v>
      </c>
      <c r="M7" s="1">
        <v>49967</v>
      </c>
      <c r="N7" s="1">
        <v>105305</v>
      </c>
      <c r="O7" s="1">
        <v>-1139</v>
      </c>
      <c r="P7" s="1">
        <v>2304</v>
      </c>
      <c r="Q7" s="1"/>
      <c r="R7" s="1">
        <v>-65024</v>
      </c>
      <c r="S7" s="1">
        <v>320785</v>
      </c>
      <c r="T7" s="1">
        <v>416832</v>
      </c>
      <c r="U7" s="1"/>
      <c r="V7" s="1">
        <f t="shared" si="3"/>
        <v>265297</v>
      </c>
      <c r="W7" s="1">
        <v>265297</v>
      </c>
      <c r="Z7" s="1"/>
      <c r="AA7" s="1"/>
    </row>
    <row r="8" spans="1:27" x14ac:dyDescent="0.3">
      <c r="A8" s="43">
        <v>1800</v>
      </c>
      <c r="B8" s="44" t="s">
        <v>143</v>
      </c>
      <c r="C8" s="1">
        <f t="shared" si="2"/>
        <v>6187019</v>
      </c>
      <c r="D8" s="1">
        <v>2030435</v>
      </c>
      <c r="E8" s="1">
        <v>959223</v>
      </c>
      <c r="F8" s="1">
        <v>435497</v>
      </c>
      <c r="G8" s="1">
        <v>978525</v>
      </c>
      <c r="H8" s="1">
        <v>203623</v>
      </c>
      <c r="I8" s="11">
        <f t="shared" si="1"/>
        <v>636402</v>
      </c>
      <c r="J8" s="1"/>
      <c r="K8" s="1">
        <v>292812</v>
      </c>
      <c r="L8" s="1">
        <v>97509</v>
      </c>
      <c r="M8" s="1">
        <v>106892</v>
      </c>
      <c r="N8" s="1">
        <v>138798</v>
      </c>
      <c r="O8" s="1">
        <v>0</v>
      </c>
      <c r="P8" s="1">
        <v>391</v>
      </c>
      <c r="Q8" s="1"/>
      <c r="R8" s="1">
        <v>-56604</v>
      </c>
      <c r="S8" s="1">
        <v>272404</v>
      </c>
      <c r="T8" s="1">
        <v>727514</v>
      </c>
      <c r="U8" s="1"/>
      <c r="V8" s="1">
        <f t="shared" si="3"/>
        <v>240496</v>
      </c>
      <c r="W8" s="1">
        <v>240496</v>
      </c>
      <c r="Z8" s="1"/>
      <c r="AA8" s="1"/>
    </row>
    <row r="9" spans="1:27" x14ac:dyDescent="0.3">
      <c r="A9" s="43">
        <v>3000</v>
      </c>
      <c r="B9" s="44" t="s">
        <v>392</v>
      </c>
      <c r="C9" s="1">
        <f t="shared" si="2"/>
        <v>17208123</v>
      </c>
      <c r="D9" s="1">
        <v>8152099</v>
      </c>
      <c r="E9" s="1">
        <v>1850205</v>
      </c>
      <c r="F9" s="1">
        <v>3291460</v>
      </c>
      <c r="G9" s="1">
        <v>10889</v>
      </c>
      <c r="H9" s="1">
        <v>524879</v>
      </c>
      <c r="I9" s="11">
        <f t="shared" si="1"/>
        <v>1737427</v>
      </c>
      <c r="J9" s="1"/>
      <c r="K9" s="1">
        <v>1070936</v>
      </c>
      <c r="L9" s="1">
        <v>169261</v>
      </c>
      <c r="M9" s="1">
        <v>148548</v>
      </c>
      <c r="N9" s="1">
        <v>347178</v>
      </c>
      <c r="O9" s="1">
        <v>0</v>
      </c>
      <c r="P9" s="1">
        <v>1504</v>
      </c>
      <c r="Q9" s="1"/>
      <c r="R9" s="1">
        <v>-157830</v>
      </c>
      <c r="S9" s="1">
        <v>416108</v>
      </c>
      <c r="T9" s="1">
        <v>1382886</v>
      </c>
      <c r="U9" s="1"/>
      <c r="V9" s="1">
        <f t="shared" si="3"/>
        <v>1260731</v>
      </c>
      <c r="W9" s="1">
        <v>1260731</v>
      </c>
      <c r="Z9" s="1"/>
      <c r="AA9" s="1"/>
    </row>
    <row r="10" spans="1:27" x14ac:dyDescent="0.3">
      <c r="A10" s="43">
        <v>3400</v>
      </c>
      <c r="B10" s="44" t="s">
        <v>393</v>
      </c>
      <c r="C10" s="1">
        <f t="shared" si="2"/>
        <v>6052751</v>
      </c>
      <c r="D10" s="1">
        <v>2575065</v>
      </c>
      <c r="E10" s="1">
        <v>1067833</v>
      </c>
      <c r="F10" s="1">
        <v>808729</v>
      </c>
      <c r="G10" s="1">
        <v>11461</v>
      </c>
      <c r="H10" s="1">
        <v>212753</v>
      </c>
      <c r="I10" s="11">
        <f t="shared" si="1"/>
        <v>682188</v>
      </c>
      <c r="J10" s="1"/>
      <c r="K10" s="1">
        <v>368908</v>
      </c>
      <c r="L10" s="1">
        <v>95986</v>
      </c>
      <c r="M10" s="1">
        <v>48438</v>
      </c>
      <c r="N10" s="1">
        <v>168856</v>
      </c>
      <c r="O10" s="1">
        <v>0</v>
      </c>
      <c r="P10" s="1">
        <v>0</v>
      </c>
      <c r="Q10" s="1"/>
      <c r="R10" s="1">
        <v>-39984</v>
      </c>
      <c r="S10" s="1">
        <v>162825</v>
      </c>
      <c r="T10" s="1">
        <v>571881</v>
      </c>
      <c r="U10" s="1"/>
      <c r="V10" s="1">
        <f t="shared" si="3"/>
        <v>370701</v>
      </c>
      <c r="W10" s="1">
        <v>370701</v>
      </c>
      <c r="Z10" s="1"/>
      <c r="AA10" s="1"/>
    </row>
    <row r="11" spans="1:27" x14ac:dyDescent="0.3">
      <c r="A11" s="43">
        <v>3800</v>
      </c>
      <c r="B11" s="44" t="s">
        <v>394</v>
      </c>
      <c r="C11" s="1">
        <f t="shared" si="2"/>
        <v>6048741</v>
      </c>
      <c r="D11" s="1">
        <v>2834380</v>
      </c>
      <c r="E11" s="1">
        <v>883367</v>
      </c>
      <c r="F11" s="1">
        <v>682537</v>
      </c>
      <c r="G11" s="1">
        <v>28001</v>
      </c>
      <c r="H11" s="1">
        <v>209956</v>
      </c>
      <c r="I11" s="11">
        <f t="shared" si="1"/>
        <v>806906</v>
      </c>
      <c r="J11" s="1"/>
      <c r="K11" s="1">
        <v>372660</v>
      </c>
      <c r="L11" s="1">
        <v>130400</v>
      </c>
      <c r="M11" s="1">
        <v>141864</v>
      </c>
      <c r="N11" s="1">
        <v>160076</v>
      </c>
      <c r="O11" s="1">
        <v>-6</v>
      </c>
      <c r="P11" s="1">
        <v>1912</v>
      </c>
      <c r="Q11" s="1"/>
      <c r="R11" s="1">
        <v>-57383</v>
      </c>
      <c r="S11" s="1">
        <v>233300</v>
      </c>
      <c r="T11" s="1">
        <v>427677</v>
      </c>
      <c r="U11" s="1"/>
      <c r="V11" s="1">
        <f t="shared" si="3"/>
        <v>423144</v>
      </c>
      <c r="W11" s="1">
        <v>423144</v>
      </c>
      <c r="Z11" s="1"/>
      <c r="AA11" s="1"/>
    </row>
    <row r="12" spans="1:27" x14ac:dyDescent="0.3">
      <c r="A12" s="43">
        <v>4200</v>
      </c>
      <c r="B12" s="44" t="s">
        <v>395</v>
      </c>
      <c r="C12" s="1">
        <f t="shared" si="2"/>
        <v>4867887</v>
      </c>
      <c r="D12" s="1">
        <v>2346777</v>
      </c>
      <c r="E12" s="1">
        <v>744541</v>
      </c>
      <c r="F12" s="1">
        <v>565978</v>
      </c>
      <c r="G12" s="1">
        <v>42889</v>
      </c>
      <c r="H12" s="1">
        <v>172510</v>
      </c>
      <c r="I12" s="11">
        <f t="shared" si="1"/>
        <v>413433</v>
      </c>
      <c r="J12" s="1"/>
      <c r="K12" s="1">
        <v>264744</v>
      </c>
      <c r="L12" s="1">
        <v>137167</v>
      </c>
      <c r="M12" s="1">
        <v>-117930</v>
      </c>
      <c r="N12" s="1">
        <v>129202</v>
      </c>
      <c r="O12" s="1">
        <v>0</v>
      </c>
      <c r="P12" s="1">
        <v>250</v>
      </c>
      <c r="Q12" s="1"/>
      <c r="R12" s="1">
        <v>-79573</v>
      </c>
      <c r="S12" s="1">
        <v>201617</v>
      </c>
      <c r="T12" s="1">
        <v>459715</v>
      </c>
      <c r="U12" s="1"/>
      <c r="V12" s="1">
        <f t="shared" si="3"/>
        <v>309508</v>
      </c>
      <c r="W12" s="1">
        <v>309508</v>
      </c>
      <c r="Z12" s="1"/>
      <c r="AA12" s="1"/>
    </row>
    <row r="13" spans="1:27" x14ac:dyDescent="0.3">
      <c r="A13" s="43">
        <v>4600</v>
      </c>
      <c r="B13" s="44" t="s">
        <v>396</v>
      </c>
      <c r="C13" s="1">
        <f t="shared" si="2"/>
        <v>12388047</v>
      </c>
      <c r="D13" s="1">
        <v>4003990</v>
      </c>
      <c r="E13" s="1">
        <v>1837305</v>
      </c>
      <c r="F13" s="1">
        <v>1857845</v>
      </c>
      <c r="G13" s="1">
        <v>1088026</v>
      </c>
      <c r="H13" s="1">
        <v>314519</v>
      </c>
      <c r="I13" s="11">
        <f t="shared" si="1"/>
        <v>959166</v>
      </c>
      <c r="J13" s="1"/>
      <c r="K13" s="1">
        <v>582028</v>
      </c>
      <c r="L13" s="1">
        <v>165543</v>
      </c>
      <c r="M13" s="1">
        <v>-85658</v>
      </c>
      <c r="N13" s="1">
        <v>296812</v>
      </c>
      <c r="O13" s="1">
        <v>0</v>
      </c>
      <c r="P13" s="1">
        <v>441</v>
      </c>
      <c r="Q13" s="1"/>
      <c r="R13" s="1">
        <v>55231</v>
      </c>
      <c r="S13" s="1">
        <v>853000</v>
      </c>
      <c r="T13" s="1">
        <v>1418965</v>
      </c>
      <c r="U13" s="1"/>
      <c r="V13" s="1">
        <f t="shared" si="3"/>
        <v>639102</v>
      </c>
      <c r="W13" s="1">
        <v>639102</v>
      </c>
      <c r="Z13" s="1"/>
      <c r="AA13" s="1"/>
    </row>
    <row r="14" spans="1:27" x14ac:dyDescent="0.3">
      <c r="A14" s="43">
        <v>5000</v>
      </c>
      <c r="B14" s="44" t="s">
        <v>390</v>
      </c>
      <c r="C14" s="1">
        <f t="shared" si="2"/>
        <v>8210053</v>
      </c>
      <c r="D14" s="1">
        <v>3322678</v>
      </c>
      <c r="E14" s="1">
        <v>1438768</v>
      </c>
      <c r="F14" s="1">
        <v>965391</v>
      </c>
      <c r="G14" s="1">
        <v>379283</v>
      </c>
      <c r="H14" s="1">
        <v>285201</v>
      </c>
      <c r="I14" s="11">
        <f t="shared" si="1"/>
        <v>842336</v>
      </c>
      <c r="J14" s="1"/>
      <c r="K14" s="1">
        <v>402647</v>
      </c>
      <c r="L14" s="1">
        <v>84286</v>
      </c>
      <c r="M14" s="1">
        <v>99481</v>
      </c>
      <c r="N14" s="1">
        <v>255922</v>
      </c>
      <c r="O14" s="1">
        <v>0</v>
      </c>
      <c r="P14" s="1">
        <v>0</v>
      </c>
      <c r="Q14" s="1"/>
      <c r="R14" s="1">
        <v>-73902</v>
      </c>
      <c r="S14" s="1">
        <v>566393</v>
      </c>
      <c r="T14" s="1">
        <v>483905</v>
      </c>
      <c r="U14" s="1"/>
      <c r="V14" s="1">
        <f t="shared" si="3"/>
        <v>470984</v>
      </c>
      <c r="W14" s="1">
        <v>470984</v>
      </c>
      <c r="Z14" s="1"/>
      <c r="AA14" s="1"/>
    </row>
    <row r="15" spans="1:27" x14ac:dyDescent="0.3">
      <c r="A15" s="43">
        <v>5400</v>
      </c>
      <c r="B15" s="44" t="s">
        <v>397</v>
      </c>
      <c r="C15" s="1">
        <f t="shared" si="2"/>
        <v>6015244</v>
      </c>
      <c r="D15" s="1">
        <v>1945988</v>
      </c>
      <c r="E15" s="1">
        <v>1092152</v>
      </c>
      <c r="F15" s="1">
        <v>741915</v>
      </c>
      <c r="G15" s="1">
        <v>551041</v>
      </c>
      <c r="H15" s="1">
        <v>246791</v>
      </c>
      <c r="I15" s="11">
        <f t="shared" si="1"/>
        <v>615157</v>
      </c>
      <c r="J15" s="1"/>
      <c r="K15" s="1">
        <v>368967</v>
      </c>
      <c r="L15" s="1">
        <v>50389</v>
      </c>
      <c r="M15" s="1">
        <v>44772</v>
      </c>
      <c r="N15" s="1">
        <v>149262</v>
      </c>
      <c r="O15" s="1">
        <v>0</v>
      </c>
      <c r="P15" s="1">
        <v>1767</v>
      </c>
      <c r="Q15" s="1"/>
      <c r="R15" s="1">
        <v>-71497</v>
      </c>
      <c r="S15" s="1">
        <v>248899</v>
      </c>
      <c r="T15" s="1">
        <v>644798</v>
      </c>
      <c r="U15" s="1"/>
      <c r="V15" s="1">
        <f t="shared" si="3"/>
        <v>241663</v>
      </c>
      <c r="W15" s="1">
        <v>241663</v>
      </c>
      <c r="Z15" s="1"/>
      <c r="AA15" s="1"/>
    </row>
    <row r="16" spans="1:27" x14ac:dyDescent="0.3"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Z16" s="4"/>
      <c r="AA16" s="4"/>
    </row>
    <row r="17" spans="2:27" x14ac:dyDescent="0.3">
      <c r="B17" s="1" t="s">
        <v>3</v>
      </c>
      <c r="C17" s="1">
        <f t="shared" ref="C17:T17" si="4">SUM(C5:C15)</f>
        <v>87103544.900312915</v>
      </c>
      <c r="D17" s="1">
        <f t="shared" si="4"/>
        <v>35660711</v>
      </c>
      <c r="E17" s="1">
        <f t="shared" si="4"/>
        <v>11847000</v>
      </c>
      <c r="F17" s="1">
        <f t="shared" si="4"/>
        <v>13926013</v>
      </c>
      <c r="G17" s="1">
        <f t="shared" si="4"/>
        <v>4387359</v>
      </c>
      <c r="H17" s="1">
        <f t="shared" si="4"/>
        <v>2845280</v>
      </c>
      <c r="I17" s="11">
        <f t="shared" si="4"/>
        <v>7650653</v>
      </c>
      <c r="J17" s="1">
        <f t="shared" si="4"/>
        <v>0</v>
      </c>
      <c r="K17" s="1">
        <f t="shared" si="4"/>
        <v>4330801</v>
      </c>
      <c r="L17" s="1">
        <f t="shared" si="4"/>
        <v>1105375</v>
      </c>
      <c r="M17" s="1">
        <f t="shared" si="4"/>
        <v>356098</v>
      </c>
      <c r="N17" s="1">
        <f t="shared" si="4"/>
        <v>1851553</v>
      </c>
      <c r="O17" s="1">
        <f t="shared" si="4"/>
        <v>-1145</v>
      </c>
      <c r="P17" s="1">
        <f t="shared" si="4"/>
        <v>7971</v>
      </c>
      <c r="Q17" s="1">
        <f t="shared" si="4"/>
        <v>0</v>
      </c>
      <c r="R17" s="1">
        <f t="shared" si="4"/>
        <v>-934580.06606233004</v>
      </c>
      <c r="S17" s="1">
        <f t="shared" si="4"/>
        <v>3959291.8873434216</v>
      </c>
      <c r="T17" s="1">
        <f t="shared" si="4"/>
        <v>7761817.0790318195</v>
      </c>
      <c r="U17" s="1"/>
      <c r="V17" s="1">
        <f>SUM(V5:V15)</f>
        <v>5401825</v>
      </c>
      <c r="W17" s="1">
        <f>SUM(W5:W15)</f>
        <v>5401825</v>
      </c>
      <c r="Z17" s="1"/>
      <c r="AA17" s="1"/>
    </row>
    <row r="18" spans="2:27" x14ac:dyDescent="0.3">
      <c r="AA18" s="5"/>
    </row>
    <row r="20" spans="2:27" x14ac:dyDescent="0.3">
      <c r="V20" s="5"/>
    </row>
    <row r="21" spans="2:27" x14ac:dyDescent="0.3">
      <c r="V21" s="5"/>
    </row>
    <row r="22" spans="2:27" x14ac:dyDescent="0.3">
      <c r="R22" s="5"/>
      <c r="V22" s="5"/>
      <c r="W22" s="5"/>
    </row>
    <row r="23" spans="2:27" x14ac:dyDescent="0.3">
      <c r="V23" s="5"/>
    </row>
    <row r="24" spans="2:27" x14ac:dyDescent="0.3">
      <c r="V24" s="5"/>
    </row>
    <row r="25" spans="2:27" x14ac:dyDescent="0.3">
      <c r="V25" s="5"/>
    </row>
    <row r="26" spans="2:27" x14ac:dyDescent="0.3">
      <c r="V26" s="5"/>
    </row>
    <row r="27" spans="2:27" x14ac:dyDescent="0.3">
      <c r="V27" s="5"/>
    </row>
    <row r="28" spans="2:27" x14ac:dyDescent="0.3">
      <c r="V28" s="5"/>
    </row>
    <row r="29" spans="2:27" x14ac:dyDescent="0.3">
      <c r="V29" s="5"/>
    </row>
    <row r="30" spans="2:27" x14ac:dyDescent="0.3">
      <c r="V30" s="5"/>
    </row>
    <row r="31" spans="2:27" x14ac:dyDescent="0.3">
      <c r="V31" s="5"/>
    </row>
    <row r="32" spans="2:27" x14ac:dyDescent="0.3">
      <c r="V32" s="5"/>
    </row>
    <row r="33" spans="22:22" x14ac:dyDescent="0.3">
      <c r="V33" s="5"/>
    </row>
    <row r="34" spans="22:22" x14ac:dyDescent="0.3">
      <c r="V34" s="5"/>
    </row>
    <row r="35" spans="22:22" x14ac:dyDescent="0.3">
      <c r="V35" s="5"/>
    </row>
    <row r="36" spans="22:22" x14ac:dyDescent="0.3">
      <c r="V36" s="5"/>
    </row>
    <row r="37" spans="22:22" x14ac:dyDescent="0.3">
      <c r="V37" s="5"/>
    </row>
    <row r="38" spans="22:22" x14ac:dyDescent="0.3">
      <c r="V38" s="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2:U17"/>
  <sheetViews>
    <sheetView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109375" customWidth="1"/>
    <col min="10" max="18" width="13.109375" customWidth="1"/>
    <col min="19" max="19" width="6.44140625" customWidth="1"/>
    <col min="20" max="20" width="13.109375" customWidth="1"/>
  </cols>
  <sheetData>
    <row r="2" spans="1:21" ht="104.25" customHeight="1" x14ac:dyDescent="0.3">
      <c r="A2" s="24" t="s">
        <v>2</v>
      </c>
      <c r="B2" s="24" t="s">
        <v>1</v>
      </c>
      <c r="C2" s="24" t="s">
        <v>7</v>
      </c>
      <c r="D2" s="24" t="s">
        <v>155</v>
      </c>
      <c r="E2" s="24" t="s">
        <v>156</v>
      </c>
      <c r="F2" s="24" t="s">
        <v>288</v>
      </c>
      <c r="G2" s="24" t="s">
        <v>289</v>
      </c>
      <c r="H2" s="24" t="s">
        <v>157</v>
      </c>
      <c r="I2" s="13" t="s">
        <v>30</v>
      </c>
      <c r="J2" s="24" t="s">
        <v>158</v>
      </c>
      <c r="K2" s="24" t="s">
        <v>159</v>
      </c>
      <c r="L2" s="24" t="s">
        <v>160</v>
      </c>
      <c r="M2" s="24" t="s">
        <v>161</v>
      </c>
      <c r="N2" s="24" t="s">
        <v>162</v>
      </c>
      <c r="O2" s="24" t="s">
        <v>163</v>
      </c>
      <c r="P2" s="24" t="s">
        <v>164</v>
      </c>
      <c r="Q2" s="24" t="s">
        <v>165</v>
      </c>
      <c r="R2" s="24" t="s">
        <v>8</v>
      </c>
      <c r="S2" s="24"/>
      <c r="T2" s="24"/>
      <c r="U2" s="24"/>
    </row>
    <row r="3" spans="1:21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>+F3+1</f>
        <v>7</v>
      </c>
      <c r="H3" s="107">
        <f>+G3+1</f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3">
      <c r="I4" s="21"/>
    </row>
    <row r="5" spans="1:21" x14ac:dyDescent="0.3">
      <c r="A5" s="43">
        <v>300</v>
      </c>
      <c r="B5" s="44" t="s">
        <v>0</v>
      </c>
      <c r="C5" s="1">
        <f t="shared" ref="C5:C15" si="1">SUM(D5:I5)+R5</f>
        <v>237506</v>
      </c>
      <c r="D5" s="1">
        <v>228874</v>
      </c>
      <c r="E5" s="1">
        <v>0</v>
      </c>
      <c r="F5" s="1">
        <v>1723</v>
      </c>
      <c r="G5" s="1">
        <v>0</v>
      </c>
      <c r="H5" s="1">
        <v>5026</v>
      </c>
      <c r="I5" s="11">
        <f t="shared" ref="I5:I15" si="2">SUM(J5:Q5)</f>
        <v>1883</v>
      </c>
      <c r="J5" s="1"/>
      <c r="K5" s="1">
        <v>1883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/>
      <c r="R5" s="1">
        <v>0</v>
      </c>
      <c r="T5" s="1"/>
      <c r="U5" s="1"/>
    </row>
    <row r="6" spans="1:21" x14ac:dyDescent="0.3">
      <c r="A6" s="43">
        <v>1100</v>
      </c>
      <c r="B6" s="44" t="s">
        <v>141</v>
      </c>
      <c r="C6" s="1">
        <f t="shared" si="1"/>
        <v>610964</v>
      </c>
      <c r="D6" s="1">
        <v>218102</v>
      </c>
      <c r="E6" s="1">
        <v>344789</v>
      </c>
      <c r="F6" s="1">
        <v>0</v>
      </c>
      <c r="G6" s="1">
        <v>0</v>
      </c>
      <c r="H6" s="1">
        <v>17673</v>
      </c>
      <c r="I6" s="11">
        <f t="shared" si="2"/>
        <v>30400</v>
      </c>
      <c r="J6" s="1"/>
      <c r="K6" s="1">
        <v>30364</v>
      </c>
      <c r="L6" s="1">
        <v>36</v>
      </c>
      <c r="M6" s="1">
        <v>0</v>
      </c>
      <c r="N6" s="1">
        <v>0</v>
      </c>
      <c r="O6" s="1">
        <v>0</v>
      </c>
      <c r="P6" s="1">
        <v>0</v>
      </c>
      <c r="Q6" s="1"/>
      <c r="R6" s="1">
        <v>0</v>
      </c>
      <c r="T6" s="1"/>
      <c r="U6" s="1"/>
    </row>
    <row r="7" spans="1:21" x14ac:dyDescent="0.3">
      <c r="A7" s="43">
        <v>1500</v>
      </c>
      <c r="B7" s="44" t="s">
        <v>142</v>
      </c>
      <c r="C7" s="1">
        <f t="shared" si="1"/>
        <v>419168</v>
      </c>
      <c r="D7" s="1">
        <v>118337</v>
      </c>
      <c r="E7" s="1">
        <v>282179</v>
      </c>
      <c r="F7" s="1">
        <v>6210</v>
      </c>
      <c r="G7" s="1">
        <v>772</v>
      </c>
      <c r="H7" s="1">
        <v>7599</v>
      </c>
      <c r="I7" s="11">
        <f t="shared" si="2"/>
        <v>4071</v>
      </c>
      <c r="J7" s="1"/>
      <c r="K7" s="1">
        <v>3401</v>
      </c>
      <c r="L7" s="1">
        <v>0</v>
      </c>
      <c r="M7" s="1">
        <v>65</v>
      </c>
      <c r="N7" s="1">
        <v>605</v>
      </c>
      <c r="O7" s="1">
        <v>0</v>
      </c>
      <c r="P7" s="1">
        <v>0</v>
      </c>
      <c r="Q7" s="1"/>
      <c r="R7" s="1">
        <v>0</v>
      </c>
      <c r="T7" s="1"/>
      <c r="U7" s="1"/>
    </row>
    <row r="8" spans="1:21" x14ac:dyDescent="0.3">
      <c r="A8" s="43">
        <v>1800</v>
      </c>
      <c r="B8" s="44" t="s">
        <v>143</v>
      </c>
      <c r="C8" s="1">
        <f t="shared" si="1"/>
        <v>412724</v>
      </c>
      <c r="D8" s="1">
        <v>162986</v>
      </c>
      <c r="E8" s="1">
        <v>224788</v>
      </c>
      <c r="F8" s="1">
        <v>1311</v>
      </c>
      <c r="G8" s="1">
        <v>1909</v>
      </c>
      <c r="H8" s="1">
        <v>11615</v>
      </c>
      <c r="I8" s="11">
        <f t="shared" si="2"/>
        <v>10115</v>
      </c>
      <c r="J8" s="1"/>
      <c r="K8" s="1">
        <v>4887</v>
      </c>
      <c r="L8" s="1">
        <v>372</v>
      </c>
      <c r="M8" s="1">
        <v>848</v>
      </c>
      <c r="N8" s="1">
        <v>3642</v>
      </c>
      <c r="O8" s="1">
        <v>0</v>
      </c>
      <c r="P8" s="1">
        <v>366</v>
      </c>
      <c r="Q8" s="1"/>
      <c r="R8" s="1">
        <v>0</v>
      </c>
      <c r="T8" s="1"/>
      <c r="U8" s="1"/>
    </row>
    <row r="9" spans="1:21" x14ac:dyDescent="0.3">
      <c r="A9" s="43">
        <v>3000</v>
      </c>
      <c r="B9" s="44" t="s">
        <v>392</v>
      </c>
      <c r="C9" s="1">
        <f t="shared" si="1"/>
        <v>1037697</v>
      </c>
      <c r="D9" s="1">
        <v>479556</v>
      </c>
      <c r="E9" s="1">
        <v>397077</v>
      </c>
      <c r="F9" s="1">
        <v>66413</v>
      </c>
      <c r="G9" s="1">
        <v>0</v>
      </c>
      <c r="H9" s="1">
        <v>32265</v>
      </c>
      <c r="I9" s="11">
        <f t="shared" si="2"/>
        <v>62386</v>
      </c>
      <c r="J9" s="1"/>
      <c r="K9" s="1">
        <v>60090</v>
      </c>
      <c r="L9" s="1">
        <v>268</v>
      </c>
      <c r="M9" s="1">
        <v>0</v>
      </c>
      <c r="N9" s="1">
        <v>2028</v>
      </c>
      <c r="O9" s="1">
        <v>0</v>
      </c>
      <c r="P9" s="1">
        <v>0</v>
      </c>
      <c r="Q9" s="1"/>
      <c r="R9" s="1">
        <v>0</v>
      </c>
      <c r="T9" s="1"/>
      <c r="U9" s="1"/>
    </row>
    <row r="10" spans="1:21" x14ac:dyDescent="0.3">
      <c r="A10" s="43">
        <v>3400</v>
      </c>
      <c r="B10" s="44" t="s">
        <v>393</v>
      </c>
      <c r="C10" s="1">
        <f t="shared" si="1"/>
        <v>393794</v>
      </c>
      <c r="D10" s="1">
        <v>198420</v>
      </c>
      <c r="E10" s="1">
        <v>173296</v>
      </c>
      <c r="F10" s="1">
        <v>4824</v>
      </c>
      <c r="G10" s="1">
        <v>0</v>
      </c>
      <c r="H10" s="1">
        <v>7436</v>
      </c>
      <c r="I10" s="11">
        <f t="shared" si="2"/>
        <v>9818</v>
      </c>
      <c r="J10" s="1"/>
      <c r="K10" s="1">
        <v>8437</v>
      </c>
      <c r="L10" s="1">
        <v>7</v>
      </c>
      <c r="M10" s="1">
        <v>804</v>
      </c>
      <c r="N10" s="1">
        <v>570</v>
      </c>
      <c r="O10" s="1">
        <v>0</v>
      </c>
      <c r="P10" s="1">
        <v>0</v>
      </c>
      <c r="Q10" s="1"/>
      <c r="R10" s="1">
        <v>0</v>
      </c>
      <c r="T10" s="1"/>
      <c r="U10" s="1"/>
    </row>
    <row r="11" spans="1:21" x14ac:dyDescent="0.3">
      <c r="A11" s="43">
        <v>3800</v>
      </c>
      <c r="B11" s="44" t="s">
        <v>394</v>
      </c>
      <c r="C11" s="1">
        <f t="shared" si="1"/>
        <v>344535</v>
      </c>
      <c r="D11" s="1">
        <v>170453</v>
      </c>
      <c r="E11" s="1">
        <v>141687</v>
      </c>
      <c r="F11" s="1">
        <v>1617</v>
      </c>
      <c r="G11" s="1">
        <v>0</v>
      </c>
      <c r="H11" s="1">
        <v>4085</v>
      </c>
      <c r="I11" s="11">
        <f t="shared" si="2"/>
        <v>26693</v>
      </c>
      <c r="J11" s="1"/>
      <c r="K11" s="1">
        <v>17801</v>
      </c>
      <c r="L11" s="1">
        <v>7036</v>
      </c>
      <c r="M11" s="1">
        <v>0</v>
      </c>
      <c r="N11" s="1">
        <v>1856</v>
      </c>
      <c r="O11" s="1">
        <v>0</v>
      </c>
      <c r="P11" s="1">
        <v>0</v>
      </c>
      <c r="Q11" s="1"/>
      <c r="R11" s="1">
        <v>0</v>
      </c>
      <c r="T11" s="1"/>
      <c r="U11" s="1"/>
    </row>
    <row r="12" spans="1:21" x14ac:dyDescent="0.3">
      <c r="A12" s="43">
        <v>4200</v>
      </c>
      <c r="B12" s="44" t="s">
        <v>395</v>
      </c>
      <c r="C12" s="1">
        <f t="shared" si="1"/>
        <v>366709</v>
      </c>
      <c r="D12" s="1">
        <v>158463</v>
      </c>
      <c r="E12" s="1">
        <v>176602</v>
      </c>
      <c r="F12" s="1">
        <v>5056</v>
      </c>
      <c r="G12" s="1">
        <v>0</v>
      </c>
      <c r="H12" s="1">
        <v>7545</v>
      </c>
      <c r="I12" s="11">
        <f t="shared" si="2"/>
        <v>19043</v>
      </c>
      <c r="J12" s="1"/>
      <c r="K12" s="1">
        <v>12397</v>
      </c>
      <c r="L12" s="1">
        <v>1988</v>
      </c>
      <c r="M12" s="1">
        <v>4459</v>
      </c>
      <c r="N12" s="1">
        <v>0</v>
      </c>
      <c r="O12" s="1">
        <v>0</v>
      </c>
      <c r="P12" s="1">
        <v>199</v>
      </c>
      <c r="Q12" s="1"/>
      <c r="R12" s="1">
        <v>0</v>
      </c>
      <c r="T12" s="1"/>
      <c r="U12" s="1"/>
    </row>
    <row r="13" spans="1:21" x14ac:dyDescent="0.3">
      <c r="A13" s="43">
        <v>4600</v>
      </c>
      <c r="B13" s="44" t="s">
        <v>396</v>
      </c>
      <c r="C13" s="1">
        <f t="shared" si="1"/>
        <v>1199461</v>
      </c>
      <c r="D13" s="1">
        <v>299965</v>
      </c>
      <c r="E13" s="1">
        <v>599054</v>
      </c>
      <c r="F13" s="1">
        <v>247660</v>
      </c>
      <c r="G13" s="1">
        <v>1042</v>
      </c>
      <c r="H13" s="1">
        <v>14416</v>
      </c>
      <c r="I13" s="11">
        <f t="shared" si="2"/>
        <v>37324</v>
      </c>
      <c r="J13" s="1"/>
      <c r="K13" s="1">
        <v>34239</v>
      </c>
      <c r="L13" s="1">
        <v>56</v>
      </c>
      <c r="M13" s="1">
        <v>117</v>
      </c>
      <c r="N13" s="1">
        <v>2912</v>
      </c>
      <c r="O13" s="1">
        <v>0</v>
      </c>
      <c r="P13" s="1">
        <v>0</v>
      </c>
      <c r="Q13" s="1"/>
      <c r="R13" s="1">
        <v>0</v>
      </c>
      <c r="T13" s="1"/>
      <c r="U13" s="1"/>
    </row>
    <row r="14" spans="1:21" x14ac:dyDescent="0.3">
      <c r="A14" s="43">
        <v>5000</v>
      </c>
      <c r="B14" s="44" t="s">
        <v>390</v>
      </c>
      <c r="C14" s="1">
        <f t="shared" si="1"/>
        <v>728112</v>
      </c>
      <c r="D14" s="1">
        <v>294362</v>
      </c>
      <c r="E14" s="1">
        <v>403567</v>
      </c>
      <c r="F14" s="1">
        <v>5952</v>
      </c>
      <c r="G14" s="1">
        <v>4052</v>
      </c>
      <c r="H14" s="1">
        <v>7856</v>
      </c>
      <c r="I14" s="11">
        <f t="shared" si="2"/>
        <v>12323</v>
      </c>
      <c r="J14" s="1"/>
      <c r="K14" s="1">
        <v>3899</v>
      </c>
      <c r="L14" s="1">
        <v>0</v>
      </c>
      <c r="M14" s="1">
        <v>7442</v>
      </c>
      <c r="N14" s="1">
        <v>982</v>
      </c>
      <c r="O14" s="1">
        <v>0</v>
      </c>
      <c r="P14" s="1">
        <v>0</v>
      </c>
      <c r="Q14" s="1"/>
      <c r="R14" s="1">
        <v>0</v>
      </c>
      <c r="T14" s="1"/>
      <c r="U14" s="1"/>
    </row>
    <row r="15" spans="1:21" x14ac:dyDescent="0.3">
      <c r="A15" s="43">
        <v>5400</v>
      </c>
      <c r="B15" s="44" t="s">
        <v>397</v>
      </c>
      <c r="C15" s="1">
        <f t="shared" si="1"/>
        <v>362524</v>
      </c>
      <c r="D15" s="1">
        <v>111039</v>
      </c>
      <c r="E15" s="1">
        <v>194452</v>
      </c>
      <c r="F15" s="1">
        <v>9008</v>
      </c>
      <c r="G15" s="1">
        <v>3050</v>
      </c>
      <c r="H15" s="1">
        <v>17081</v>
      </c>
      <c r="I15" s="11">
        <f t="shared" si="2"/>
        <v>27894</v>
      </c>
      <c r="J15" s="1"/>
      <c r="K15" s="1">
        <v>21256</v>
      </c>
      <c r="L15" s="1">
        <v>91</v>
      </c>
      <c r="M15" s="1">
        <v>0</v>
      </c>
      <c r="N15" s="1">
        <v>1216</v>
      </c>
      <c r="O15" s="1">
        <v>0</v>
      </c>
      <c r="P15" s="1">
        <v>5331</v>
      </c>
      <c r="Q15" s="1"/>
      <c r="R15" s="1">
        <v>0</v>
      </c>
      <c r="T15" s="1"/>
      <c r="U15" s="1"/>
    </row>
    <row r="16" spans="1:21" x14ac:dyDescent="0.3"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3">
      <c r="B17" s="1" t="s">
        <v>3</v>
      </c>
      <c r="C17" s="1">
        <f t="shared" ref="C17:R17" si="3">SUM(C5:C15)</f>
        <v>6113194</v>
      </c>
      <c r="D17" s="1">
        <f t="shared" si="3"/>
        <v>2440557</v>
      </c>
      <c r="E17" s="1">
        <f t="shared" si="3"/>
        <v>2937491</v>
      </c>
      <c r="F17" s="1">
        <f t="shared" si="3"/>
        <v>349774</v>
      </c>
      <c r="G17" s="1">
        <f t="shared" si="3"/>
        <v>10825</v>
      </c>
      <c r="H17" s="1">
        <f t="shared" si="3"/>
        <v>132597</v>
      </c>
      <c r="I17" s="11">
        <f t="shared" si="3"/>
        <v>241950</v>
      </c>
      <c r="J17" s="1">
        <f t="shared" si="3"/>
        <v>0</v>
      </c>
      <c r="K17" s="1">
        <f t="shared" si="3"/>
        <v>198654</v>
      </c>
      <c r="L17" s="1">
        <f t="shared" si="3"/>
        <v>9854</v>
      </c>
      <c r="M17" s="1">
        <f t="shared" si="3"/>
        <v>13735</v>
      </c>
      <c r="N17" s="1">
        <f t="shared" si="3"/>
        <v>13811</v>
      </c>
      <c r="O17" s="1">
        <f t="shared" si="3"/>
        <v>0</v>
      </c>
      <c r="P17" s="1">
        <f t="shared" si="3"/>
        <v>5896</v>
      </c>
      <c r="Q17" s="1">
        <f t="shared" si="3"/>
        <v>0</v>
      </c>
      <c r="R17" s="1">
        <f t="shared" si="3"/>
        <v>0</v>
      </c>
      <c r="S17" s="1"/>
      <c r="T17" s="1"/>
      <c r="U17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Diagrammer</vt:lpstr>
      </vt:variant>
      <vt:variant>
        <vt:i4>10</vt:i4>
      </vt:variant>
    </vt:vector>
  </HeadingPairs>
  <TitlesOfParts>
    <vt:vector size="37" baseType="lpstr">
      <vt:lpstr>Inngang</vt:lpstr>
      <vt:lpstr>Tabeller fylkeskom 1</vt:lpstr>
      <vt:lpstr>Tabeller fylkeskom 2</vt:lpstr>
      <vt:lpstr>Tabeller fylkeskom 3</vt:lpstr>
      <vt:lpstr>Tabeller fylkeskom 4</vt:lpstr>
      <vt:lpstr>2021 Korreksjoner</vt:lpstr>
      <vt:lpstr>2021 Nto driftsutg landet</vt:lpstr>
      <vt:lpstr>2021 Nto driftsutg</vt:lpstr>
      <vt:lpstr>2021 Avskrivning</vt:lpstr>
      <vt:lpstr>2021 Nto driftsutg eks avskriv</vt:lpstr>
      <vt:lpstr>2021 Inntektsnivå</vt:lpstr>
      <vt:lpstr>2021 Lønnsand og arbavg landet</vt:lpstr>
      <vt:lpstr>2021 Lønnsand og pensjon land</vt:lpstr>
      <vt:lpstr>2021 Lønnsgr arbavg tjeneste</vt:lpstr>
      <vt:lpstr>2021 Arbavg tjeneste</vt:lpstr>
      <vt:lpstr>2021 Lønnsgr pensjon tjeneste</vt:lpstr>
      <vt:lpstr>2021 Pensjon tjeneste</vt:lpstr>
      <vt:lpstr>2021 Revekting utgiftsbehov</vt:lpstr>
      <vt:lpstr>2021 Korr med revekting pensj</vt:lpstr>
      <vt:lpstr>2021 Korr med revekting arbavg</vt:lpstr>
      <vt:lpstr>2021 Korr med revekt premieavv</vt:lpstr>
      <vt:lpstr>2021 Korr med revekting eiend</vt:lpstr>
      <vt:lpstr>2021 Grunnlag korreksjoner</vt:lpstr>
      <vt:lpstr>2021 Bto driftsutg</vt:lpstr>
      <vt:lpstr>2021 Bto driftsutg eks avskriv</vt:lpstr>
      <vt:lpstr>2021 Nøkkel revektet</vt:lpstr>
      <vt:lpstr>Fylkeskommuner</vt:lpstr>
      <vt:lpstr>1 Kostratall</vt:lpstr>
      <vt:lpstr>2 Inntektssyst kostnadsnøkler </vt:lpstr>
      <vt:lpstr> Utgiftskorrigering</vt:lpstr>
      <vt:lpstr>3 Disp inntekt og ressursbruk</vt:lpstr>
      <vt:lpstr>4 Ressursbruk tjenest INNTSYS</vt:lpstr>
      <vt:lpstr>Ressursbruk øvrige tjenester</vt:lpstr>
      <vt:lpstr> Inntekts og utgiftskorrigering</vt:lpstr>
      <vt:lpstr>5 Inntektskorr ressursbruk</vt:lpstr>
      <vt:lpstr>6 Inntektskorr ressursb INNTSY</vt:lpstr>
      <vt:lpstr>7 Inntkorr ressursbr øvr tjenes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Sigmund Engdal</dc:creator>
  <cp:lastModifiedBy>Sigmund Engdal</cp:lastModifiedBy>
  <cp:lastPrinted>2014-09-30T11:03:57Z</cp:lastPrinted>
  <dcterms:created xsi:type="dcterms:W3CDTF">2014-09-26T17:14:53Z</dcterms:created>
  <dcterms:modified xsi:type="dcterms:W3CDTF">2024-05-06T12:28:14Z</dcterms:modified>
</cp:coreProperties>
</file>