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ksiskyen.sharepoint.com/sites/KS-ITsikkerhetikommunalsektor/Shared Documents/General/Final/Anbefalte sikkerhetskrav for kommunal sektor/"/>
    </mc:Choice>
  </mc:AlternateContent>
  <xr:revisionPtr revIDLastSave="22" documentId="13_ncr:1_{685A7ABE-6504-4BBC-B89E-FA450CC06566}" xr6:coauthVersionLast="47" xr6:coauthVersionMax="47" xr10:uidLastSave="{59EA0FA4-2191-4047-8D62-8F574A931F07}"/>
  <bookViews>
    <workbookView xWindow="-120" yWindow="-120" windowWidth="29040" windowHeight="15720" tabRatio="828" activeTab="8" xr2:uid="{00000000-000D-0000-FFFF-FFFF00000000}"/>
  </bookViews>
  <sheets>
    <sheet name="Veiledning" sheetId="10" r:id="rId1"/>
    <sheet name="Rådata tjenestekritikalitet" sheetId="1" state="hidden" r:id="rId2"/>
    <sheet name="Rådata kommunal modenhet" sheetId="2" state="hidden" r:id="rId3"/>
    <sheet name="Analyse kommune" sheetId="3" r:id="rId4"/>
    <sheet name="Rådata innledende spørsmål tjen" sheetId="4" state="hidden" r:id="rId5"/>
    <sheet name="Rådata leverandør modenhet" sheetId="5" state="hidden" r:id="rId6"/>
    <sheet name="Rådata leverandør leveransesikk" sheetId="6" state="hidden" r:id="rId7"/>
    <sheet name="Analyse leverandør" sheetId="7" r:id="rId8"/>
    <sheet name="Sammenligning kommune og levera" sheetId="8" r:id="rId9"/>
    <sheet name="Oppfølging" sheetId="9" r:id="rId10"/>
  </sheets>
  <definedNames>
    <definedName name="ANALYSE_AV">Veiledning!$C$15</definedName>
    <definedName name="KMOD_RES_MK1">'Rådata kommunal modenhet'!$I$3</definedName>
    <definedName name="KMOD_RES_MK1_N">'Rådata kommunal modenhet'!$J$3</definedName>
    <definedName name="KMOD_RES_MK10">'Rådata kommunal modenhet'!$I$45</definedName>
    <definedName name="KMOD_RES_MK10_N">'Rådata kommunal modenhet'!$J$45</definedName>
    <definedName name="KMOD_RES_MK11">'Rådata kommunal modenhet'!$I$50</definedName>
    <definedName name="KMOD_RES_MK11_N">'Rådata kommunal modenhet'!$J$50</definedName>
    <definedName name="KMOD_RES_MK12">'Rådata kommunal modenhet'!$I$61</definedName>
    <definedName name="KMOD_RES_MK12_N">'Rådata kommunal modenhet'!$J$61</definedName>
    <definedName name="KMOD_RES_MK13">'Rådata kommunal modenhet'!$I$68</definedName>
    <definedName name="KMOD_RES_MK13_N">'Rådata kommunal modenhet'!$J$68</definedName>
    <definedName name="KMOD_RES_MK14">'Rådata kommunal modenhet'!$I$75</definedName>
    <definedName name="KMOD_RES_MK14_N">'Rådata kommunal modenhet'!$J$75</definedName>
    <definedName name="KMOD_RES_MK15">'Rådata kommunal modenhet'!$I$79</definedName>
    <definedName name="KMOD_RES_MK15_N">'Rådata kommunal modenhet'!$J$79</definedName>
    <definedName name="KMOD_RES_MK16">'Rådata kommunal modenhet'!$I$84</definedName>
    <definedName name="KMOD_RES_MK16_N">'Rådata kommunal modenhet'!$J$84</definedName>
    <definedName name="KMOD_RES_MK17">'Rådata kommunal modenhet'!$I$88</definedName>
    <definedName name="KMOD_RES_MK17_N">'Rådata kommunal modenhet'!$J$88</definedName>
    <definedName name="KMOD_RES_MK18">'Rådata kommunal modenhet'!$I$94</definedName>
    <definedName name="KMOD_RES_MK18_N">'Rådata kommunal modenhet'!$J$94</definedName>
    <definedName name="KMOD_RES_MK19">'Rådata kommunal modenhet'!$I$99</definedName>
    <definedName name="KMOD_RES_MK19_N">'Rådata kommunal modenhet'!$J$99</definedName>
    <definedName name="KMOD_RES_MK2">'Rådata kommunal modenhet'!$I$6</definedName>
    <definedName name="KMOD_RES_MK2_N">'Rådata kommunal modenhet'!$J$6</definedName>
    <definedName name="KMOD_RES_MK20">'Rådata kommunal modenhet'!$I$104</definedName>
    <definedName name="KMOD_RES_MK20_N">'Rådata kommunal modenhet'!$J$104</definedName>
    <definedName name="KMOD_RES_MK21">'Rådata kommunal modenhet'!$I$108</definedName>
    <definedName name="KMOD_RES_MK21_N">'Rådata kommunal modenhet'!$J$108</definedName>
    <definedName name="KMOD_RES_MK22">'Rådata kommunal modenhet'!$I$112</definedName>
    <definedName name="KMOD_RES_MK22_N">'Rådata kommunal modenhet'!$J$112</definedName>
    <definedName name="KMOD_RES_MK23">'Rådata kommunal modenhet'!$I$119</definedName>
    <definedName name="KMOD_RES_MK23_N">'Rådata kommunal modenhet'!$J$119</definedName>
    <definedName name="KMOD_RES_MK3">'Rådata kommunal modenhet'!$I$10</definedName>
    <definedName name="KMOD_RES_MK3_N">'Rådata kommunal modenhet'!$J$10</definedName>
    <definedName name="KMOD_RES_MK4">'Rådata kommunal modenhet'!$I$14</definedName>
    <definedName name="KMOD_RES_MK4_N">'Rådata kommunal modenhet'!$J$14</definedName>
    <definedName name="KMOD_RES_MK5">'Rådata kommunal modenhet'!$I$18</definedName>
    <definedName name="KMOD_RES_MK5_N">'Rådata kommunal modenhet'!$J$18</definedName>
    <definedName name="KMOD_RES_MK6">'Rådata kommunal modenhet'!$I$23</definedName>
    <definedName name="KMOD_RES_MK6_N">'Rådata kommunal modenhet'!$J$23</definedName>
    <definedName name="KMOD_RES_MK7">'Rådata kommunal modenhet'!$I$30</definedName>
    <definedName name="KMOD_RES_MK7_N">'Rådata kommunal modenhet'!$J$30</definedName>
    <definedName name="KMOD_RES_MK8">'Rådata kommunal modenhet'!$I$35</definedName>
    <definedName name="KMOD_RES_MK8_N">'Rådata kommunal modenhet'!$J$35</definedName>
    <definedName name="KMOD_RES_MK9">'Rådata kommunal modenhet'!$I$40</definedName>
    <definedName name="KMOD_RES_MK9_N">'Rådata kommunal modenhet'!$J$40</definedName>
    <definedName name="KRIT_RES_K1">'Rådata tjenestekritikalitet'!$I$6</definedName>
    <definedName name="KRIT_RES_K1_N">'Rådata tjenestekritikalitet'!$J$6</definedName>
    <definedName name="KRIT_RES_K1_NORM">'Rådata tjenestekritikalitet'!$J$6</definedName>
    <definedName name="KRIT_RES_K10">'Rådata tjenestekritikalitet'!$I$58</definedName>
    <definedName name="KRIT_RES_K10_N">'Rådata tjenestekritikalitet'!$J$58</definedName>
    <definedName name="KRIT_RES_K11">'Rådata tjenestekritikalitet'!$I$65</definedName>
    <definedName name="KRIT_RES_K11_N">'Rådata tjenestekritikalitet'!$J$65</definedName>
    <definedName name="KRIT_RES_K12">'Rådata tjenestekritikalitet'!$I$68</definedName>
    <definedName name="KRIT_RES_K12_N">'Rådata tjenestekritikalitet'!$J$68</definedName>
    <definedName name="KRIT_RES_K2">'Rådata tjenestekritikalitet'!$I$12</definedName>
    <definedName name="KRIT_RES_K2_N">'Rådata tjenestekritikalitet'!$J$12</definedName>
    <definedName name="KRIT_RES_K2_NORM">'Rådata tjenestekritikalitet'!$J$12</definedName>
    <definedName name="KRIT_RES_K3">'Rådata tjenestekritikalitet'!$I$18</definedName>
    <definedName name="KRIT_RES_K3_N">'Rådata tjenestekritikalitet'!$J$18</definedName>
    <definedName name="KRIT_RES_K4">'Rådata tjenestekritikalitet'!$I$29</definedName>
    <definedName name="KRIT_RES_K4_N">'Rådata tjenestekritikalitet'!$J$29</definedName>
    <definedName name="KRIT_RES_K5">'Rådata tjenestekritikalitet'!$I$33</definedName>
    <definedName name="KRIT_RES_K5_N">'Rådata tjenestekritikalitet'!$J$33</definedName>
    <definedName name="KRIT_RES_K6">'Rådata tjenestekritikalitet'!$I$39</definedName>
    <definedName name="KRIT_RES_K6_N">'Rådata tjenestekritikalitet'!$J$39</definedName>
    <definedName name="KRIT_RES_K7">'Rådata tjenestekritikalitet'!$I$43</definedName>
    <definedName name="KRIT_RES_K7_N">'Rådata tjenestekritikalitet'!$J$43</definedName>
    <definedName name="KRIT_RES_K8">'Rådata tjenestekritikalitet'!$I$47</definedName>
    <definedName name="KRIT_RES_K8_N">'Rådata tjenestekritikalitet'!$J$47</definedName>
    <definedName name="KRIT_RES_K9">'Rådata tjenestekritikalitet'!$I$53</definedName>
    <definedName name="KRIT_RES_K9_N">'Rådata tjenestekritikalitet'!$J$53</definedName>
    <definedName name="LEVERANDØR_MAVN">Veiledning!$C$17</definedName>
    <definedName name="LIS01_VALG">'Rådata innledende spørsmål tjen'!$G$3</definedName>
    <definedName name="LIS02_VALG">'Rådata innledende spørsmål tjen'!$G$6</definedName>
    <definedName name="LIS03_VALG">'Rådata innledende spørsmål tjen'!$G$11</definedName>
    <definedName name="LIS04_VALG">'Rådata innledende spørsmål tjen'!$G$16</definedName>
    <definedName name="LIS05_VALG">'Rådata innledende spørsmål tjen'!$G$19</definedName>
    <definedName name="LIS06_VALG">'Rådata innledende spørsmål tjen'!$G$23</definedName>
    <definedName name="LIS07_VALG">'Rådata innledende spørsmål tjen'!$G$26</definedName>
    <definedName name="LIS08_VALG">'Rådata innledende spørsmål tjen'!$G$30</definedName>
    <definedName name="LIS09_VALG">'Rådata innledende spørsmål tjen'!$G$34</definedName>
    <definedName name="LIS10_VALG">'Rådata innledende spørsmål tjen'!$G$40</definedName>
    <definedName name="LIS11_VALG">'Rådata innledende spørsmål tjen'!$G$44</definedName>
    <definedName name="LIS12_VALG">'Rådata innledende spørsmål tjen'!$G$48</definedName>
    <definedName name="LIS13_VALG">'Rådata innledende spørsmål tjen'!$G$52</definedName>
    <definedName name="LIS14_VALG">'Rådata innledende spørsmål tjen'!$G$61</definedName>
    <definedName name="LIS15_VALG">'Rådata innledende spørsmål tjen'!$G$68</definedName>
    <definedName name="LL_15_1_1_STATUS">'Rådata leverandør leveransesikk'!$L$550</definedName>
    <definedName name="LL_KOMP">'Rådata leverandør leveransesikk'!$M$5</definedName>
    <definedName name="LL_PROS">'Rådata leverandør leveransesikk'!$M$6</definedName>
    <definedName name="LL_UTV">'Rådata leverandør leveransesikk'!$M$7</definedName>
    <definedName name="LL_VED">'Rådata leverandør leveransesikk'!$M$8</definedName>
    <definedName name="LL10_1_1">'Rådata leverandør leveransesikk'!$I$229</definedName>
    <definedName name="LL10_1_1_N">'Rådata leverandør leveransesikk'!$J$229</definedName>
    <definedName name="LL10_2_1">'Rådata leverandør leveransesikk'!$I$235</definedName>
    <definedName name="LL10_2_1_N">'Rådata leverandør leveransesikk'!$J$235</definedName>
    <definedName name="LL10_2_2">'Rådata leverandør leveransesikk'!$I$239</definedName>
    <definedName name="LL10_2_2_N">'Rådata leverandør leveransesikk'!$J$239</definedName>
    <definedName name="LL10_2_3">'Rådata leverandør leveransesikk'!$I$244</definedName>
    <definedName name="LL10_2_3_N">'Rådata leverandør leveransesikk'!$J$244</definedName>
    <definedName name="LL10_2_4">'Rådata leverandør leveransesikk'!$I$249</definedName>
    <definedName name="LL10_2_4_N">'Rådata leverandør leveransesikk'!$J$249</definedName>
    <definedName name="LL10_2_5">'Rådata leverandør leveransesikk'!$I$253</definedName>
    <definedName name="LL10_2_5_N">'Rådata leverandør leveransesikk'!$J$253</definedName>
    <definedName name="LL10_3_1">'Rådata leverandør leveransesikk'!$I$259</definedName>
    <definedName name="LL10_3_1_N">'Rådata leverandør leveransesikk'!$J$259</definedName>
    <definedName name="LL10_3_2">'Rådata leverandør leveransesikk'!$I$264</definedName>
    <definedName name="LL10_3_2_N">'Rådata leverandør leveransesikk'!$J$264</definedName>
    <definedName name="LL10_3_3">'Rådata leverandør leveransesikk'!$I$269</definedName>
    <definedName name="LL10_3_3_N">'Rådata leverandør leveransesikk'!$J$269</definedName>
    <definedName name="LL10_3_4">'Rådata leverandør leveransesikk'!$I$276</definedName>
    <definedName name="LL10_3_4_N">'Rådata leverandør leveransesikk'!$J$276</definedName>
    <definedName name="LL10_3_5">'Rådata leverandør leveransesikk'!$I$282</definedName>
    <definedName name="LL10_3_5_N">'Rådata leverandør leveransesikk'!$J$282</definedName>
    <definedName name="LL11_1_1">'Rådata leverandør leveransesikk'!$I$288</definedName>
    <definedName name="LL11_1_1_N">'Rådata leverandør leveransesikk'!$J$288</definedName>
    <definedName name="LL11_2_1">'Rådata leverandør leveransesikk'!$I$294</definedName>
    <definedName name="LL11_2_1_N">'Rådata leverandør leveransesikk'!$J$294</definedName>
    <definedName name="LL11_2_2">'Rådata leverandør leveransesikk'!$I$299</definedName>
    <definedName name="LL11_2_2_N">'Rådata leverandør leveransesikk'!$J$299</definedName>
    <definedName name="LL11_2_3">'Rådata leverandør leveransesikk'!$I$304</definedName>
    <definedName name="LL11_2_3_N">'Rådata leverandør leveransesikk'!$J$304</definedName>
    <definedName name="LL12_1_1">'Rådata leverandør leveransesikk'!$I$310</definedName>
    <definedName name="LL12_1_1_N">'Rådata leverandør leveransesikk'!$J$310</definedName>
    <definedName name="LL12_1_2">'Rådata leverandør leveransesikk'!$I$316</definedName>
    <definedName name="LL12_1_2_N">'Rådata leverandør leveransesikk'!$J$316</definedName>
    <definedName name="LL12_1_3">'Rådata leverandør leveransesikk'!$I$321</definedName>
    <definedName name="LL12_1_3_N">'Rådata leverandør leveransesikk'!$J$321</definedName>
    <definedName name="LL12_1_4">'Rådata leverandør leveransesikk'!$I$327</definedName>
    <definedName name="LL12_1_4_N">'Rådata leverandør leveransesikk'!$J$327</definedName>
    <definedName name="LL12_1_5">'Rådata leverandør leveransesikk'!$I$332</definedName>
    <definedName name="LL12_1_5_N">'Rådata leverandør leveransesikk'!$J$332</definedName>
    <definedName name="LL13_1_1">'Rådata leverandør leveransesikk'!$I$338</definedName>
    <definedName name="LL13_1_1_N">'Rådata leverandør leveransesikk'!$J$338</definedName>
    <definedName name="LL13_10_1">'Rådata leverandør leveransesikk'!$I$478</definedName>
    <definedName name="LL13_10_1_N">'Rådata leverandør leveransesikk'!$J$478</definedName>
    <definedName name="LL13_10_2">'Rådata leverandør leveransesikk'!$I$482</definedName>
    <definedName name="LL13_10_2_N">'Rådata leverandør leveransesikk'!$J$482</definedName>
    <definedName name="LL13_10_3">'Rådata leverandør leveransesikk'!$I$486</definedName>
    <definedName name="LL13_10_3_N">'Rådata leverandør leveransesikk'!$J$486</definedName>
    <definedName name="LL13_10_4">'Rådata leverandør leveransesikk'!$I$490</definedName>
    <definedName name="LL13_10_4_N">'Rådata leverandør leveransesikk'!$J$490</definedName>
    <definedName name="LL13_11_1">'Rådata leverandør leveransesikk'!$I$495</definedName>
    <definedName name="LL13_11_1_N">'Rådata leverandør leveransesikk'!$J$495</definedName>
    <definedName name="LL13_11_2">'Rådata leverandør leveransesikk'!$I$503</definedName>
    <definedName name="LL13_11_2_N">'Rådata leverandør leveransesikk'!$J$503</definedName>
    <definedName name="LL13_11_3">'Rådata leverandør leveransesikk'!$I$508</definedName>
    <definedName name="LL13_11_3_N">'Rådata leverandør leveransesikk'!$J$508</definedName>
    <definedName name="LL13_11_4">'Rådata leverandør leveransesikk'!$I$513</definedName>
    <definedName name="LL13_11_4_N">'Rådata leverandør leveransesikk'!$J$513</definedName>
    <definedName name="LL13_11_5">'Rådata leverandør leveransesikk'!$I$520</definedName>
    <definedName name="LL13_11_5_N">'Rådata leverandør leveransesikk'!$J$520</definedName>
    <definedName name="LL13_2_1_N">'Rådata leverandør leveransesikk'!$J$345</definedName>
    <definedName name="LL13_2_2">'Rådata leverandør leveransesikk'!$I$345</definedName>
    <definedName name="LL13_3_1">'Rådata leverandør leveransesikk'!$I$352</definedName>
    <definedName name="LL13_3_1_N">'Rådata leverandør leveransesikk'!$J$352</definedName>
    <definedName name="LL13_3_2">'Rådata leverandør leveransesikk'!$I$357</definedName>
    <definedName name="LL13_3_2_N">'Rådata leverandør leveransesikk'!$J$357</definedName>
    <definedName name="LL13_4_1">'Rådata leverandør leveransesikk'!$I$363</definedName>
    <definedName name="LL13_4_1_N">'Rådata leverandør leveransesikk'!$J$363</definedName>
    <definedName name="LL13_4_2">'Rådata leverandør leveransesikk'!$I$368</definedName>
    <definedName name="LL13_4_2_N">'Rådata leverandør leveransesikk'!$J$368</definedName>
    <definedName name="LL13_4_3">'Rådata leverandør leveransesikk'!$I$373</definedName>
    <definedName name="LL13_4_3_N">'Rådata leverandør leveransesikk'!$J$373</definedName>
    <definedName name="LL13_5_1">'Rådata leverandør leveransesikk'!$I$379</definedName>
    <definedName name="LL13_5_1_N">'Rådata leverandør leveransesikk'!$J$379</definedName>
    <definedName name="LL13_5_2">'Rådata leverandør leveransesikk'!$I$384</definedName>
    <definedName name="LL13_5_2_N">'Rådata leverandør leveransesikk'!$J$384</definedName>
    <definedName name="LL13_6_1">'Rådata leverandør leveransesikk'!$I$391</definedName>
    <definedName name="LL13_6_1_N">'Rådata leverandør leveransesikk'!$J$391</definedName>
    <definedName name="LL13_6_2">'Rådata leverandør leveransesikk'!$I$394</definedName>
    <definedName name="LL13_6_2_N">'Rådata leverandør leveransesikk'!$J$394</definedName>
    <definedName name="LL13_7_1">'Rådata leverandør leveransesikk'!$I$399</definedName>
    <definedName name="LL13_7_1_N">'Rådata leverandør leveransesikk'!$J$399</definedName>
    <definedName name="LL13_7_2">'Rådata leverandør leveransesikk'!$I$403</definedName>
    <definedName name="LL13_7_2_N">'Rådata leverandør leveransesikk'!$J$403</definedName>
    <definedName name="LL13_7_3">'Rådata leverandør leveransesikk'!$I$409</definedName>
    <definedName name="LL13_7_3_N">'Rådata leverandør leveransesikk'!$J$409</definedName>
    <definedName name="LL13_7_4">'Rådata leverandør leveransesikk'!$I$414</definedName>
    <definedName name="LL13_7_4_N">'Rådata leverandør leveransesikk'!$J$414</definedName>
    <definedName name="LL13_7_5">'Rådata leverandør leveransesikk'!$I$419</definedName>
    <definedName name="LL13_7_5_N">'Rådata leverandør leveransesikk'!$J$419</definedName>
    <definedName name="LL13_7_6">'Rådata leverandør leveransesikk'!$I$424</definedName>
    <definedName name="LL13_7_6_N">'Rådata leverandør leveransesikk'!$J$424</definedName>
    <definedName name="LL13_8_1">'Rådata leverandør leveransesikk'!$I$430</definedName>
    <definedName name="LL13_8_1_N">'Rådata leverandør leveransesikk'!$J$430</definedName>
    <definedName name="LL13_8_2">'Rådata leverandør leveransesikk'!$I$434</definedName>
    <definedName name="LL13_8_2_N">'Rådata leverandør leveransesikk'!$J$434</definedName>
    <definedName name="LL13_8_3">'Rådata leverandør leveransesikk'!$I$439</definedName>
    <definedName name="LL13_8_3_N">'Rådata leverandør leveransesikk'!$J$439</definedName>
    <definedName name="LL13_8_4">'Rådata leverandør leveransesikk'!$I$444</definedName>
    <definedName name="LL13_8_4_N">'Rådata leverandør leveransesikk'!$J$444</definedName>
    <definedName name="LL13_8_5">'Rådata leverandør leveransesikk'!$I$448</definedName>
    <definedName name="LL13_8_5_N">'Rådata leverandør leveransesikk'!$J$448</definedName>
    <definedName name="LL13_8_6">'Rådata leverandør leveransesikk'!$I$454</definedName>
    <definedName name="LL13_8_6_N">'Rådata leverandør leveransesikk'!$J$454</definedName>
    <definedName name="LL13_8_7">'Rådata leverandør leveransesikk'!$I$457</definedName>
    <definedName name="LL13_8_7_N">'Rådata leverandør leveransesikk'!$J$457</definedName>
    <definedName name="LL13_9_1">'Rådata leverandør leveransesikk'!$I$463</definedName>
    <definedName name="LL13_9_1_N">'Rådata leverandør leveransesikk'!$J$463</definedName>
    <definedName name="LL13_9_2">'Rådata leverandør leveransesikk'!$I$468</definedName>
    <definedName name="LL13_9_2_N">'Rådata leverandør leveransesikk'!$J$468</definedName>
    <definedName name="LL13_9_3">'Rådata leverandør leveransesikk'!$I$473</definedName>
    <definedName name="LL13_9_3_N">'Rådata leverandør leveransesikk'!$J$473</definedName>
    <definedName name="LL14_1_1">'Rådata leverandør leveransesikk'!$I$527</definedName>
    <definedName name="LL14_1_1_N">'Rådata leverandør leveransesikk'!$J$527</definedName>
    <definedName name="LL14_1_2">'Rådata leverandør leveransesikk'!$I$531</definedName>
    <definedName name="LL14_1_2_N">'Rådata leverandør leveransesikk'!$J$531</definedName>
    <definedName name="LL14_1_3">'Rådata leverandør leveransesikk'!$I$536</definedName>
    <definedName name="LL14_1_3_N">'Rådata leverandør leveransesikk'!$J$536</definedName>
    <definedName name="LL14_1_4">'Rådata leverandør leveransesikk'!$I$540</definedName>
    <definedName name="LL14_1_4_N">'Rådata leverandør leveransesikk'!$J$540</definedName>
    <definedName name="LL14_1_5">'Rådata leverandør leveransesikk'!$I$544</definedName>
    <definedName name="LL14_1_5_N">'Rådata leverandør leveransesikk'!$J$544</definedName>
    <definedName name="LL15_1_1">'Rådata leverandør leveransesikk'!$I$550</definedName>
    <definedName name="LL15_1_1_N">'Rådata leverandør leveransesikk'!$J$550</definedName>
    <definedName name="LL15_1_1_STATUS">'Rådata leverandør leveransesikk'!$L$550</definedName>
    <definedName name="LL16_1_1">'Rådata leverandør leveransesikk'!$I$556</definedName>
    <definedName name="LL16_1_1_N">'Rådata leverandør leveransesikk'!$J$555</definedName>
    <definedName name="LL16_1_2">'Rådata leverandør leveransesikk'!$I$563</definedName>
    <definedName name="LL16_1_2_N">'Rådata leverandør leveransesikk'!$J$563</definedName>
    <definedName name="LL16_1_3">'Rådata leverandør leveransesikk'!$I$568</definedName>
    <definedName name="LL16_1_3_N">'Rådata leverandør leveransesikk'!$J$568</definedName>
    <definedName name="LL5_1_1">'Rådata leverandør leveransesikk'!$I$3</definedName>
    <definedName name="LL5_1_1_N">'Rådata leverandør leveransesikk'!$J$3</definedName>
    <definedName name="LL5_1_2">'Rådata leverandør leveransesikk'!$I$8</definedName>
    <definedName name="LL5_1_2_N">'Rådata leverandør leveransesikk'!$J$8</definedName>
    <definedName name="LL5_1_3">'Rådata leverandør leveransesikk'!$I$12</definedName>
    <definedName name="LL5_1_3_N">'Rådata leverandør leveransesikk'!$J$12</definedName>
    <definedName name="LL5_1_4">'Rådata leverandør leveransesikk'!$I$17</definedName>
    <definedName name="LL5_1_4_N">'Rådata leverandør leveransesikk'!$J$17</definedName>
    <definedName name="LL5_1_5">'Rådata leverandør leveransesikk'!$I$21</definedName>
    <definedName name="LL5_1_5_N">'Rådata leverandør leveransesikk'!$J$21</definedName>
    <definedName name="LL5_1_6">'Rådata leverandør leveransesikk'!$I$26</definedName>
    <definedName name="LL5_1_6_N">'Rådata leverandør leveransesikk'!$J$26</definedName>
    <definedName name="LL5_1_7">'Rådata leverandør leveransesikk'!$I$30</definedName>
    <definedName name="LL5_1_7_N">'Rådata leverandør leveransesikk'!$J$30</definedName>
    <definedName name="LL5_1_8">'Rådata leverandør leveransesikk'!$I$34</definedName>
    <definedName name="LL5_1_8_N">'Rådata leverandør leveransesikk'!$J$34</definedName>
    <definedName name="LL6_1_1">'Rådata leverandør leveransesikk'!$I$49</definedName>
    <definedName name="LL6_1_1_N">'Rådata leverandør leveransesikk'!$J$49</definedName>
    <definedName name="LL6_1_2">'Rådata leverandør leveransesikk'!$I$52</definedName>
    <definedName name="LL6_1_2_N">'Rådata leverandør leveransesikk'!$J$52</definedName>
    <definedName name="LL6_1_3">'Rådata leverandør leveransesikk'!$I$56</definedName>
    <definedName name="LL6_1_3_N">'Rådata leverandør leveransesikk'!$J$56</definedName>
    <definedName name="LL6_1_4">'Rådata leverandør leveransesikk'!$I$59</definedName>
    <definedName name="LL6_1_4_N">'Rådata leverandør leveransesikk'!$J$59</definedName>
    <definedName name="LL6_1_5">'Rådata leverandør leveransesikk'!$I$65</definedName>
    <definedName name="LL6_1_5_N">'Rådata leverandør leveransesikk'!$J$65</definedName>
    <definedName name="LL6_1_6">'Rådata leverandør leveransesikk'!$I$69</definedName>
    <definedName name="LL6_1_6_N">'Rådata leverandør leveransesikk'!$J$69</definedName>
    <definedName name="LL6_2_1">'Rådata leverandør leveransesikk'!$I$75</definedName>
    <definedName name="LL6_2_1_N">'Rådata leverandør leveransesikk'!$J$75</definedName>
    <definedName name="LL6_2_2">'Rådata leverandør leveransesikk'!$I$78</definedName>
    <definedName name="LL6_2_2_N">'Rådata leverandør leveransesikk'!$J$78</definedName>
    <definedName name="LL6_2_3">'Rådata leverandør leveransesikk'!$I$83</definedName>
    <definedName name="LL6_2_3_N">'Rådata leverandør leveransesikk'!$J$83</definedName>
    <definedName name="LL6_2_4">'Rådata leverandør leveransesikk'!$I$87</definedName>
    <definedName name="LL6_2_4_N">'Rådata leverandør leveransesikk'!$J$87</definedName>
    <definedName name="LL6_2_5">'Rådata leverandør leveransesikk'!$I$93</definedName>
    <definedName name="LL6_2_5_N">'Rådata leverandør leveransesikk'!$J$93</definedName>
    <definedName name="LL6_2_6">'Rådata leverandør leveransesikk'!$I$99</definedName>
    <definedName name="LL6_2_6_N">'Rådata leverandør leveransesikk'!$J$99</definedName>
    <definedName name="LL6_2_6_STATUS">'Rådata leverandør leveransesikk'!$L$99</definedName>
    <definedName name="LL7_1_1">'Rådata leverandør leveransesikk'!$I$106</definedName>
    <definedName name="LL7_1_1_N">'Rådata leverandør leveransesikk'!$J$106</definedName>
    <definedName name="LL7_1_2">'Rådata leverandør leveransesikk'!$I$110</definedName>
    <definedName name="LL7_1_2_N">'Rådata leverandør leveransesikk'!$J$110</definedName>
    <definedName name="LL7_1_3">'Rådata leverandør leveransesikk'!$I$117</definedName>
    <definedName name="LL7_1_3_N">'Rådata leverandør leveransesikk'!$J$117</definedName>
    <definedName name="LL7_1_4">'Rådata leverandør leveransesikk'!$I$123</definedName>
    <definedName name="LL7_1_4_N">'Rådata leverandør leveransesikk'!$J$123</definedName>
    <definedName name="LL7_1_5">'Rådata leverandør leveransesikk'!$I$127</definedName>
    <definedName name="LL7_1_6">'Rådata leverandør leveransesikk'!$I$131</definedName>
    <definedName name="LL7_1_6_N">'Rådata leverandør leveransesikk'!$J$131</definedName>
    <definedName name="LL7_1_7">'Rådata leverandør leveransesikk'!$I$135</definedName>
    <definedName name="LL7_1_7_N">'Rådata leverandør leveransesikk'!$J$135</definedName>
    <definedName name="LL7_1_8">'Rådata leverandør leveransesikk'!$I$140</definedName>
    <definedName name="LL7_1_8_N">'Rådata leverandør leveransesikk'!$J$140</definedName>
    <definedName name="LL8_1_1">'Rådata leverandør leveransesikk'!$I$145</definedName>
    <definedName name="LL8_1_1_N">'Rådata leverandør leveransesikk'!$J$145</definedName>
    <definedName name="LL8_1_2">'Rådata leverandør leveransesikk'!$I$149</definedName>
    <definedName name="LL8_1_2_N">'Rådata leverandør leveransesikk'!$J$149</definedName>
    <definedName name="LL8_1_3">'Rådata leverandør leveransesikk'!$I$154</definedName>
    <definedName name="LL8_1_3_N">'Rådata leverandør leveransesikk'!$J$154</definedName>
    <definedName name="LL8_1_4">'Rådata leverandør leveransesikk'!$I$159</definedName>
    <definedName name="LL8_1_4_N">'Rådata leverandør leveransesikk'!$J$159</definedName>
    <definedName name="LL8_1_5">'Rådata leverandør leveransesikk'!$I$165</definedName>
    <definedName name="LL8_1_5_N">'Rådata leverandør leveransesikk'!$J$165</definedName>
    <definedName name="LL8_1_6">'Rådata leverandør leveransesikk'!$I$172</definedName>
    <definedName name="LL8_1_6_N">'Rådata leverandør leveransesikk'!$J$172</definedName>
    <definedName name="LL8_1_7">'Rådata leverandør leveransesikk'!$I$175</definedName>
    <definedName name="LL8_1_7_N">'Rådata leverandør leveransesikk'!$J$175</definedName>
    <definedName name="LL8_1_8">'Rådata leverandør leveransesikk'!$I$180</definedName>
    <definedName name="LL8_1_8_N">'Rådata leverandør leveransesikk'!$J$180</definedName>
    <definedName name="LL9_1_1">'Rådata leverandør leveransesikk'!$I$197</definedName>
    <definedName name="LL9_1_1_N">'Rådata leverandør leveransesikk'!$J$197</definedName>
    <definedName name="LL9_1_2">#REF!</definedName>
    <definedName name="LL9_1_2_N">'Rådata leverandør leveransesikk'!$J$203</definedName>
    <definedName name="LL9_1_3">'Rådata leverandør leveransesikk'!$I$207</definedName>
    <definedName name="LL9_1_3_N">'Rådata leverandør leveransesikk'!$J$207</definedName>
    <definedName name="LL9_2_1">'Rådata leverandør leveransesikk'!$I$214</definedName>
    <definedName name="LL9_2_1_N">'Rådata leverandør leveransesikk'!$J$214</definedName>
    <definedName name="LL9_2_2_N">'Rådata leverandør leveransesikk'!$J$219</definedName>
    <definedName name="LL9_3_1">'Rådata leverandør leveransesikk'!$I$219</definedName>
    <definedName name="LL9_3_1_N">'Rådata leverandør leveransesikk'!$J$219</definedName>
    <definedName name="LL9_3_2">'Rådata leverandør leveransesikk'!$I$223</definedName>
    <definedName name="LL9_3_2_N">'Rådata leverandør leveransesikk'!$J$223</definedName>
    <definedName name="LM1_1_1">'Rådata leverandør modenhet'!$I$3</definedName>
    <definedName name="LM1_1_1_N">'Rådata leverandør modenhet'!$J$3</definedName>
    <definedName name="LM1_1_2">'Rådata leverandør modenhet'!$I$8</definedName>
    <definedName name="LM1_1_2_N">'Rådata leverandør modenhet'!$J$8</definedName>
    <definedName name="LM1_1_3">'Rådata leverandør modenhet'!$I$12</definedName>
    <definedName name="LM1_1_3_N">'Rådata leverandør modenhet'!$J$12</definedName>
    <definedName name="LM1_1_4">'Rådata leverandør modenhet'!$I$17</definedName>
    <definedName name="LM1_1_4_N">'Rådata leverandør modenhet'!$J$17</definedName>
    <definedName name="LM1_1_5">'Rådata leverandør modenhet'!$I$22</definedName>
    <definedName name="LM1_1_5_N">'Rådata leverandør modenhet'!$J$22</definedName>
    <definedName name="LM1_1_6">'Rådata leverandør modenhet'!$I$27</definedName>
    <definedName name="LM1_1_6_N">'Rådata leverandør modenhet'!$J$27</definedName>
    <definedName name="LM1_1_7">'Rådata leverandør modenhet'!$I$33</definedName>
    <definedName name="LM1_1_7_N">'Rådata leverandør modenhet'!$J$33</definedName>
    <definedName name="LM1_1_8">'Rådata leverandør modenhet'!$I$39</definedName>
    <definedName name="LM1_1_8_N">'Rådata leverandør modenhet'!$J$39</definedName>
    <definedName name="LM1_2_1">'Rådata leverandør modenhet'!$I$45</definedName>
    <definedName name="LM1_2_1_N">'Rådata leverandør modenhet'!$J$45</definedName>
    <definedName name="LM1_2_2">'Rådata leverandør modenhet'!$I$50</definedName>
    <definedName name="LM1_2_2_N">'Rådata leverandør modenhet'!$J$50</definedName>
    <definedName name="LM1_2_3">'Rådata leverandør modenhet'!$I$60</definedName>
    <definedName name="LM1_2_3_N">'Rådata leverandør modenhet'!$J$60</definedName>
    <definedName name="LM1_2_4">'Rådata leverandør modenhet'!$I$65</definedName>
    <definedName name="LM1_2_4_N">'Rådata leverandør modenhet'!$J$65</definedName>
    <definedName name="LM1_2_5">'Rådata leverandør modenhet'!$I$70</definedName>
    <definedName name="LM1_2_5_N">'Rådata leverandør modenhet'!$J$70</definedName>
    <definedName name="LM1_2_6">'Rådata leverandør modenhet'!$I$76</definedName>
    <definedName name="LM1_2_6_N">'Rådata leverandør modenhet'!$J$76</definedName>
    <definedName name="LM1_2_7">'Rådata leverandør modenhet'!#REF!</definedName>
    <definedName name="LM1_2_7_N">'Rådata leverandør modenhet'!#REF!</definedName>
    <definedName name="LM1_3_1">'Rådata leverandør modenhet'!$I$82</definedName>
    <definedName name="LM1_3_1_N">'Rådata leverandør modenhet'!$J$82</definedName>
    <definedName name="LM2_1_1">'Rådata leverandør modenhet'!$I$87</definedName>
    <definedName name="LM2_1_1_N">'Rådata leverandør modenhet'!$J$87</definedName>
    <definedName name="LM2_1_2">'Rådata leverandør modenhet'!$I$92</definedName>
    <definedName name="LM2_1_2_N">'Rådata leverandør modenhet'!$J$92</definedName>
    <definedName name="LM2_1_3">'Rådata leverandør modenhet'!$I$97</definedName>
    <definedName name="LM2_1_3_N">'Rådata leverandør modenhet'!$J$97</definedName>
    <definedName name="LM3_1_1">'Rådata leverandør modenhet'!$I$102</definedName>
    <definedName name="LM3_1_1_N">'Rådata leverandør modenhet'!$J$102</definedName>
    <definedName name="LM3_1_2">'Rådata leverandør modenhet'!$I$107</definedName>
    <definedName name="LM3_1_2_N">'Rådata leverandør modenhet'!$J$107</definedName>
    <definedName name="LM4_1_1">'Rådata leverandør modenhet'!$I$114</definedName>
    <definedName name="LM4_1_1_N">'Rådata leverandør modenhet'!$J$114</definedName>
    <definedName name="LM4_1_2">'Rådata leverandør modenhet'!$I$120</definedName>
    <definedName name="LM4_1_2_N">'Rådata leverandør modenhet'!$J$120</definedName>
    <definedName name="LM4_1_3">'Rådata leverandør modenhet'!$I$126</definedName>
    <definedName name="LM4_1_3_N">'Rådata leverandør modenhet'!$J$126</definedName>
    <definedName name="LM4_1_4">'Rådata leverandør modenhet'!$I$131</definedName>
    <definedName name="LM4_1_4_N">'Rådata leverandør modenhet'!$J$131</definedName>
    <definedName name="LM4_1_5">'Rådata leverandør modenhet'!$I$136</definedName>
    <definedName name="LM4_1_5_N">'Rådata leverandør modenhet'!$J$136</definedName>
    <definedName name="LM4_1_6">'Rådata leverandør modenhet'!$I$142</definedName>
    <definedName name="LM4_1_6_N">'Rådata leverandør modenhet'!$J$142</definedName>
    <definedName name="LM4_1_7">'Rådata leverandør modenhet'!$I$147</definedName>
    <definedName name="LM4_1_7_N">'Rådata leverandør modenhet'!$J$147</definedName>
    <definedName name="LM4_1_8">'Rådata leverandør modenhet'!$I$152</definedName>
    <definedName name="LM4_1_8_N">'Rådata leverandør modenhet'!$J$152</definedName>
    <definedName name="OVERORDNET_KRIT_N">'Rådata tjenestekritikalitet'!$O$11</definedName>
    <definedName name="Res_Krit_k1">#REF!</definedName>
    <definedName name="Res_Krit_k10">#REF!</definedName>
    <definedName name="Res_Krit_k11">#REF!</definedName>
    <definedName name="Res_Krit_k12">#REF!</definedName>
    <definedName name="Res_Krit_k13">#REF!</definedName>
    <definedName name="res_krit_k14">#REF!</definedName>
    <definedName name="Res_Krit_k2">#REF!</definedName>
    <definedName name="Res_Krit_k3">#REF!</definedName>
    <definedName name="Res_Krit_k7">#REF!</definedName>
    <definedName name="Res_Krit_k8">#REF!</definedName>
    <definedName name="Res_Krit_k9">#REF!</definedName>
    <definedName name="RES_Krit_L1">#REF!</definedName>
    <definedName name="RES_Krit_O1">#REF!</definedName>
    <definedName name="RES_Krit_O2">#REF!</definedName>
    <definedName name="RES_Krit_O3">#REF!</definedName>
    <definedName name="RES_Krit_S1">#REF!</definedName>
    <definedName name="RES_Krit_S2">#REF!</definedName>
    <definedName name="RES_LIS0">'Rådata innledende spørsmål tjen'!$H$26</definedName>
    <definedName name="RES_LIS00">'Rådata innledende spørsmål tjen'!$G$2</definedName>
    <definedName name="RES_LIS01">'Rådata innledende spørsmål tjen'!$H$3</definedName>
    <definedName name="RES_LIS01_N">'Rådata innledende spørsmål tjen'!$I$3</definedName>
    <definedName name="RES_LIS02">'Rådata innledende spørsmål tjen'!$H$6</definedName>
    <definedName name="RES_LIS02_N">'Rådata innledende spørsmål tjen'!$I$6</definedName>
    <definedName name="RES_LIS03">'Rådata innledende spørsmål tjen'!$H$11</definedName>
    <definedName name="RES_LIS03_N">'Rådata innledende spørsmål tjen'!$I$11</definedName>
    <definedName name="RES_LIS04">'Rådata innledende spørsmål tjen'!$H$16</definedName>
    <definedName name="RES_LIS04_N">'Rådata innledende spørsmål tjen'!$I$16</definedName>
    <definedName name="RES_LIS05">'Rådata innledende spørsmål tjen'!$H$19</definedName>
    <definedName name="RES_LIS05_N">'Rådata innledende spørsmål tjen'!$I$19</definedName>
    <definedName name="RES_LIS06">'Rådata innledende spørsmål tjen'!$H$23</definedName>
    <definedName name="RES_LIS06_N">'Rådata innledende spørsmål tjen'!$I$23</definedName>
    <definedName name="RES_LIS07">'Rådata innledende spørsmål tjen'!$H$26</definedName>
    <definedName name="RES_LIS07_N">'Rådata innledende spørsmål tjen'!$I$26</definedName>
    <definedName name="RES_LIS08">'Rådata innledende spørsmål tjen'!$H$30</definedName>
    <definedName name="RES_LIS08_N">'Rådata innledende spørsmål tjen'!$I$30</definedName>
    <definedName name="RES_LIS08N">'Rådata innledende spørsmål tjen'!$I$30</definedName>
    <definedName name="RES_LIS09">'Rådata innledende spørsmål tjen'!$H$34</definedName>
    <definedName name="RES_LIS09_N">'Rådata innledende spørsmål tjen'!$I$34</definedName>
    <definedName name="RES_LIS10">'Rådata innledende spørsmål tjen'!$H$40</definedName>
    <definedName name="RES_LIS10_N">'Rådata innledende spørsmål tjen'!$I$40</definedName>
    <definedName name="RES_LIS11">'Rådata innledende spørsmål tjen'!$H$44</definedName>
    <definedName name="RES_LIS11_N">'Rådata innledende spørsmål tjen'!$I$44</definedName>
    <definedName name="RES_LIS12">'Rådata innledende spørsmål tjen'!$H$48</definedName>
    <definedName name="RES_LIS12_N">'Rådata innledende spørsmål tjen'!$I$48</definedName>
    <definedName name="RES_LIS13">'Rådata innledende spørsmål tjen'!$H$52</definedName>
    <definedName name="RES_LIS13_N">'Rådata innledende spørsmål tjen'!$I$52</definedName>
    <definedName name="RES_LIS14">'Rådata innledende spørsmål tjen'!$H$61</definedName>
    <definedName name="RES_LIS14_N">'Rådata innledende spørsmål tjen'!$I$61</definedName>
    <definedName name="RES_LIS15">'Rådata innledende spørsmål tjen'!$H$68</definedName>
    <definedName name="RES_LIS15_N">'Rådata innledende spørsmål tjen'!$I$68</definedName>
    <definedName name="SKJEMA_KRIT">Veiledning!$C$9</definedName>
    <definedName name="SKJEMA_LEV">Veiledning!$C$11</definedName>
    <definedName name="SUM_AVHENGIGHETER">'Rådata kommunal modenhet'!$M$10</definedName>
    <definedName name="SUM_AVHENGIGHETER_N">'Rådata kommunal modenhet'!$O$10</definedName>
    <definedName name="SUM_KONFIDENSIALITET_N">'Rådata tjenestekritikalitet'!$O$13</definedName>
    <definedName name="SUM_KRITIKALITET">'Rådata tjenestekritikalitet'!$M$8</definedName>
    <definedName name="SUM_KRITIKALITET_N">'Rådata tjenestekritikalitet'!$O$8</definedName>
    <definedName name="SUM_L_AUTENTISERING">'Rådata leverandør leveransesikk'!$O$16</definedName>
    <definedName name="SUM_L_BEREDSKAP_KONTINUITET">'Rådata leverandør leveransesikk'!$O$10</definedName>
    <definedName name="SUM_L_DATALAGRING">'Rådata innledende spørsmål tjen'!$N$13</definedName>
    <definedName name="SUM_L_DOKUMENTASJON">'Rådata leverandør leveransesikk'!$O$33</definedName>
    <definedName name="SUM_L_HENDELSER">'Rådata leverandør leveransesikk'!$O$9</definedName>
    <definedName name="SUM_L_INTEGRASJON">'Rådata leverandør leveransesikk'!$O$33</definedName>
    <definedName name="SUM_L_KRYPT_KONTROLL">'Rådata leverandør leveransesikk'!$O$17</definedName>
    <definedName name="SUM_L_KRYPT_TILTAK">'Rådata leverandør leveransesikk'!$O$18</definedName>
    <definedName name="SUM_L_LOGGING">'Rådata leverandør leveransesikk'!$O$28</definedName>
    <definedName name="SUM_L_OVERVÅK">'Rådata leverandør leveransesikk'!$O$27</definedName>
    <definedName name="SUM_L_SIKKERHET">'Rådata leverandør leveransesikk'!$O$30</definedName>
    <definedName name="SUM_L_SIKKERHETSKOPI">'Rådata leverandør leveransesikk'!$O$26</definedName>
    <definedName name="SUM_L_SIKKERHETSORG">'Rådata leverandør modenhet'!$O$9</definedName>
    <definedName name="SUM_L_SUPPORT">'Rådata innledende spørsmål tjen'!$N$11</definedName>
    <definedName name="SUM_L_TILGANGSKONTROLL">'Rådata leverandør leveransesikk'!$O$15</definedName>
    <definedName name="SUM_SEPARASJON_N">'Rådata leverandør leveransesikk'!$O$24</definedName>
    <definedName name="SYSTEMANSVARLIG_INVOLVERING">'Rådata kommunal modenhet'!$O$23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2" l="1"/>
  <c r="N11" i="2"/>
  <c r="N9" i="2"/>
  <c r="G229" i="6" a="1"/>
  <c r="G3" i="4" a="1"/>
  <c r="G239" i="6" a="1"/>
  <c r="G40" i="4" a="1"/>
  <c r="G327" i="6" a="1"/>
  <c r="G102" i="5" a="1"/>
  <c r="G55" i="5" a="1"/>
  <c r="G76" i="5" a="1"/>
  <c r="G131" i="5" a="1"/>
  <c r="G43" i="1" a="1"/>
  <c r="G8" i="5" a="1"/>
  <c r="G106" i="6" a="1"/>
  <c r="G123" i="6" a="1"/>
  <c r="G269" i="6" a="1"/>
  <c r="G65" i="1" a="1"/>
  <c r="G51" i="5" a="1"/>
  <c r="G316" i="6" a="1"/>
  <c r="G202" i="6" a="1"/>
  <c r="G185" i="6" a="1"/>
  <c r="G332" i="6" a="1"/>
  <c r="G430" i="6" a="1"/>
  <c r="G282" i="6" a="1"/>
  <c r="G41" i="6" a="1"/>
  <c r="G514" i="6" a="1"/>
  <c r="G83" i="6" a="1"/>
  <c r="G338" i="6" a="1"/>
  <c r="G110" i="5" a="1"/>
  <c r="G52" i="4" a="1"/>
  <c r="G519" i="6" a="1"/>
  <c r="G147" i="5" a="1"/>
  <c r="G540" i="6" a="1"/>
  <c r="G30" i="4" a="1"/>
  <c r="G111" i="5" a="1"/>
  <c r="G108" i="2" a="1"/>
  <c r="G463" i="6" a="1"/>
  <c r="G527" i="6" a="1"/>
  <c r="G554" i="6" a="1"/>
  <c r="G16" i="4" a="1"/>
  <c r="G127" i="6" a="1"/>
  <c r="G100" i="6" a="1"/>
  <c r="G93" i="6" a="1"/>
  <c r="G49" i="6" a="1"/>
  <c r="G126" i="5" a="1"/>
  <c r="G42" i="6" a="1"/>
  <c r="C15" i="10" a="1"/>
  <c r="G12" i="5" a="1"/>
  <c r="G17" i="6" a="1"/>
  <c r="G60" i="5" a="1"/>
  <c r="G11" i="4" a="1"/>
  <c r="G568" i="6" a="1"/>
  <c r="G3" i="2" a="1"/>
  <c r="G109" i="5" a="1"/>
  <c r="G119" i="2" a="1"/>
  <c r="G99" i="2" a="1"/>
  <c r="G87" i="5" a="1"/>
  <c r="G75" i="6" a="1"/>
  <c r="G14" i="2" a="1"/>
  <c r="G39" i="1" a="1"/>
  <c r="G30" i="6" a="1"/>
  <c r="G414" i="6" a="1"/>
  <c r="G18" i="1" a="1"/>
  <c r="G142" i="5" a="1"/>
  <c r="G439" i="6" a="1"/>
  <c r="G112" i="5" a="1"/>
  <c r="G172" i="6" a="1"/>
  <c r="G117" i="6" a="1"/>
  <c r="G515" i="6" a="1"/>
  <c r="G567" i="6" a="1"/>
  <c r="G40" i="2" a="1"/>
  <c r="G561" i="6" a="1"/>
  <c r="G384" i="6" a="1"/>
  <c r="G368" i="6" a="1"/>
  <c r="G165" i="6" a="1"/>
  <c r="G58" i="5" a="1"/>
  <c r="G468" i="6" a="1"/>
  <c r="G61" i="4" a="1"/>
  <c r="G27" i="5" a="1"/>
  <c r="G448" i="6" a="1"/>
  <c r="G60" i="6" a="1"/>
  <c r="G52" i="6" a="1"/>
  <c r="G486" i="6" a="1"/>
  <c r="G553" i="6" a="1"/>
  <c r="G552" i="6" a="1"/>
  <c r="G65" i="5" a="1"/>
  <c r="G115" i="2" a="1"/>
  <c r="G551" i="6" a="1"/>
  <c r="G113" i="2" a="1"/>
  <c r="G294" i="6" a="1"/>
  <c r="G145" i="6" a="1"/>
  <c r="G50" i="2" a="1"/>
  <c r="G114" i="5" a="1"/>
  <c r="G288" i="6" a="1"/>
  <c r="G45" i="5" a="1"/>
  <c r="G69" i="6" a="1"/>
  <c r="G44" i="6" a="1"/>
  <c r="G520" i="6" a="1"/>
  <c r="G114" i="2" a="1"/>
  <c r="G321" i="6" a="1"/>
  <c r="G99" i="6" a="1"/>
  <c r="G379" i="6" a="1"/>
  <c r="G207" i="6" a="1"/>
  <c r="G21" i="6" a="1"/>
  <c r="G56" i="5" a="1"/>
  <c r="G108" i="5" a="1"/>
  <c r="G566" i="6" a="1"/>
  <c r="G135" i="6" a="1"/>
  <c r="G159" i="6" a="1"/>
  <c r="G110" i="6" a="1"/>
  <c r="G43" i="6" a="1"/>
  <c r="G75" i="2" a="1"/>
  <c r="G197" i="6" a="1"/>
  <c r="G84" i="2" a="1"/>
  <c r="G253" i="6" a="1"/>
  <c r="G120" i="6" a="1"/>
  <c r="G64" i="6" a="1"/>
  <c r="G56" i="2" a="1"/>
  <c r="G3" i="6" a="1"/>
  <c r="G122" i="6" a="1"/>
  <c r="G399" i="6" a="1"/>
  <c r="G562" i="6" a="1"/>
  <c r="G478" i="6" a="1"/>
  <c r="G59" i="5" a="1"/>
  <c r="G12" i="1" a="1"/>
  <c r="G149" i="6" a="1"/>
  <c r="G45" i="2" a="1"/>
  <c r="G304" i="6" a="1"/>
  <c r="G68" i="4" a="1"/>
  <c r="G24" i="1" a="1"/>
  <c r="G10" i="2" a="1"/>
  <c r="G92" i="5" a="1"/>
  <c r="G30" i="2" a="1"/>
  <c r="G564" i="6" a="1"/>
  <c r="G154" i="6" a="1"/>
  <c r="G103" i="6" a="1"/>
  <c r="G17" i="5" a="1"/>
  <c r="G6" i="2" a="1"/>
  <c r="G214" i="6" a="1"/>
  <c r="G53" i="5" a="1"/>
  <c r="G88" i="2" a="1"/>
  <c r="G26" i="6" a="1"/>
  <c r="G70" i="5" a="1"/>
  <c r="G550" i="6" a="1"/>
  <c r="G531" i="6" a="1"/>
  <c r="G536" i="6" a="1"/>
  <c r="G565" i="6" a="1"/>
  <c r="G68" i="2" a="1"/>
  <c r="G249" i="6" a="1"/>
  <c r="G54" i="5" a="1"/>
  <c r="G517" i="6" a="1"/>
  <c r="G8" i="6" a="1"/>
  <c r="G65" i="6" a="1"/>
  <c r="G516" i="6" a="1"/>
  <c r="G244" i="6" a="1"/>
  <c r="G119" i="6" a="1"/>
  <c r="G419" i="6" a="1"/>
  <c r="G131" i="6" a="1"/>
  <c r="G394" i="6" a="1"/>
  <c r="G259" i="6" a="1"/>
  <c r="G104" i="2" a="1"/>
  <c r="G140" i="6" a="1"/>
  <c r="G23" i="2" a="1"/>
  <c r="G116" i="2" a="1"/>
  <c r="G104" i="6" a="1"/>
  <c r="G136" i="5" a="1"/>
  <c r="G276" i="6" a="1"/>
  <c r="G2" i="4" a="1"/>
  <c r="G556" i="6" a="1"/>
  <c r="G79" i="2" a="1"/>
  <c r="G310" i="6" a="1"/>
  <c r="G264" i="6" a="1"/>
  <c r="G29" i="1" a="1"/>
  <c r="G23" i="4" a="1"/>
  <c r="G34" i="6" a="1"/>
  <c r="G12" i="6" a="1"/>
  <c r="G47" i="1" a="1"/>
  <c r="G33" i="1" a="1"/>
  <c r="G482" i="6" a="1"/>
  <c r="G68" i="1" a="1"/>
  <c r="G22" i="5" a="1"/>
  <c r="G544" i="6" a="1"/>
  <c r="G152" i="5" a="1"/>
  <c r="G6" i="1" a="1"/>
  <c r="G424" i="6" a="1"/>
  <c r="G373" i="6" a="1"/>
  <c r="G18" i="2" a="1"/>
  <c r="G97" i="5" a="1"/>
  <c r="G518" i="6" a="1"/>
  <c r="G495" i="6" a="1"/>
  <c r="G180" i="6" a="1"/>
  <c r="G219" i="6" a="1"/>
  <c r="G82" i="5" a="1"/>
  <c r="G101" i="6" a="1"/>
  <c r="G94" i="2" a="1"/>
  <c r="G61" i="6" a="1"/>
  <c r="C17" i="10" a="1"/>
  <c r="G120" i="5" a="1"/>
  <c r="G357" i="6" a="1"/>
  <c r="G6" i="4" a="1"/>
  <c r="G235" i="6" a="1"/>
  <c r="G53" i="1" a="1"/>
  <c r="G33" i="5" a="1"/>
  <c r="G473" i="6" a="1"/>
  <c r="G87" i="6" a="1"/>
  <c r="G299" i="6" a="1"/>
  <c r="G58" i="1" a="1"/>
  <c r="G560" i="6" a="1"/>
  <c r="G3" i="5" a="1"/>
  <c r="G39" i="5" a="1"/>
  <c r="G117" i="2" a="1"/>
  <c r="G78" i="6" a="1"/>
  <c r="G26" i="4" a="1"/>
  <c r="G61" i="2" a="1"/>
  <c r="G44" i="4" a="1"/>
  <c r="G557" i="6" a="1"/>
  <c r="G48" i="4" a="1"/>
  <c r="G56" i="6" a="1"/>
  <c r="G434" i="6" a="1"/>
  <c r="G508" i="6" a="1"/>
  <c r="G352" i="6" a="1"/>
  <c r="G457" i="6" a="1"/>
  <c r="G57" i="5" a="1"/>
  <c r="G391" i="6" a="1"/>
  <c r="G52" i="5" a="1"/>
  <c r="G490" i="6" a="1"/>
  <c r="G34" i="4" a="1"/>
  <c r="G503" i="6" a="1"/>
  <c r="G19" i="4" a="1"/>
  <c r="G102" i="6" a="1"/>
  <c r="G62" i="6" a="1"/>
  <c r="G63" i="6" a="1"/>
  <c r="G118" i="6" a="1"/>
  <c r="G559" i="6" a="1"/>
  <c r="G121" i="6" a="1"/>
  <c r="G363" i="6" a="1"/>
  <c r="G223" i="6" a="1"/>
  <c r="G175" i="6" a="1"/>
  <c r="G345" i="6" a="1"/>
  <c r="G444" i="6" a="1"/>
  <c r="G409" i="6" a="1"/>
  <c r="G454" i="6" a="1"/>
  <c r="G190" i="6" a="1"/>
  <c r="G558" i="6" a="1"/>
  <c r="G403" i="6" a="1"/>
  <c r="G35" i="2" a="1"/>
  <c r="G473" i="6" l="1"/>
  <c r="H473" i="6" s="1"/>
  <c r="I473" i="6" s="1"/>
  <c r="J473" i="6" s="1"/>
  <c r="G557" i="6"/>
  <c r="G16" i="4"/>
  <c r="G57" i="5"/>
  <c r="G64" i="6"/>
  <c r="G123" i="6"/>
  <c r="H123" i="6" s="1"/>
  <c r="I123" i="6" s="1"/>
  <c r="J123" i="6" s="1"/>
  <c r="G17" i="5"/>
  <c r="H17" i="5" s="1"/>
  <c r="I17" i="5" s="1"/>
  <c r="J17" i="5" s="1"/>
  <c r="G3" i="2"/>
  <c r="H3" i="2" s="1"/>
  <c r="I3" i="2" s="1"/>
  <c r="G180" i="6"/>
  <c r="H180" i="6" s="1"/>
  <c r="I180" i="6" s="1"/>
  <c r="J180" i="6" s="1"/>
  <c r="G8" i="6"/>
  <c r="H8" i="6" s="1"/>
  <c r="I8" i="6" s="1"/>
  <c r="J8" i="6" s="1"/>
  <c r="G118" i="6"/>
  <c r="G468" i="6"/>
  <c r="H468" i="6" s="1"/>
  <c r="I468" i="6" s="1"/>
  <c r="J468" i="6" s="1"/>
  <c r="G117" i="6"/>
  <c r="G29" i="1"/>
  <c r="H29" i="1" s="1"/>
  <c r="I29" i="1" s="1"/>
  <c r="G244" i="6"/>
  <c r="H244" i="6" s="1"/>
  <c r="I244" i="6" s="1"/>
  <c r="J244" i="6" s="1"/>
  <c r="G53" i="1"/>
  <c r="H53" i="1" s="1"/>
  <c r="I53" i="1" s="1"/>
  <c r="G84" i="2"/>
  <c r="H84" i="2" s="1"/>
  <c r="I84" i="2" s="1"/>
  <c r="J84" i="2" s="1"/>
  <c r="G558" i="6"/>
  <c r="G30" i="4"/>
  <c r="H30" i="4" s="1"/>
  <c r="I30" i="4" s="1"/>
  <c r="G112" i="5"/>
  <c r="G556" i="6"/>
  <c r="G88" i="2"/>
  <c r="H88" i="2" s="1"/>
  <c r="I88" i="2" s="1"/>
  <c r="G554" i="6"/>
  <c r="G97" i="5"/>
  <c r="H97" i="5" s="1"/>
  <c r="I97" i="5" s="1"/>
  <c r="J97" i="5" s="1"/>
  <c r="G12" i="1"/>
  <c r="H12" i="1" s="1"/>
  <c r="I12" i="1" s="1"/>
  <c r="J12" i="1" s="1"/>
  <c r="G68" i="1"/>
  <c r="H68" i="1" s="1"/>
  <c r="I68" i="1" s="1"/>
  <c r="J68" i="1" s="1"/>
  <c r="G515" i="6"/>
  <c r="G482" i="6"/>
  <c r="H482" i="6" s="1"/>
  <c r="I482" i="6" s="1"/>
  <c r="J482" i="6" s="1"/>
  <c r="G3" i="4"/>
  <c r="H3" i="4" s="1"/>
  <c r="G44" i="4"/>
  <c r="G518" i="6"/>
  <c r="G490" i="6"/>
  <c r="H490" i="6" s="1"/>
  <c r="I490" i="6" s="1"/>
  <c r="J490" i="6" s="1"/>
  <c r="G11" i="4"/>
  <c r="G562" i="6"/>
  <c r="G304" i="6"/>
  <c r="H304" i="6" s="1"/>
  <c r="I304" i="6" s="1"/>
  <c r="J304" i="6" s="1"/>
  <c r="G33" i="1"/>
  <c r="H33" i="1" s="1"/>
  <c r="I33" i="1" s="1"/>
  <c r="G65" i="1"/>
  <c r="H65" i="1" s="1"/>
  <c r="I65" i="1" s="1"/>
  <c r="G154" i="6"/>
  <c r="H154" i="6" s="1"/>
  <c r="I154" i="6" s="1"/>
  <c r="J154" i="6" s="1"/>
  <c r="G104" i="2"/>
  <c r="H104" i="2" s="1"/>
  <c r="I104" i="2" s="1"/>
  <c r="G110" i="6"/>
  <c r="H110" i="6" s="1"/>
  <c r="I110" i="6" s="1"/>
  <c r="G65" i="5"/>
  <c r="H65" i="5" s="1"/>
  <c r="I65" i="5" s="1"/>
  <c r="J65" i="5" s="1"/>
  <c r="G82" i="5"/>
  <c r="H82" i="5" s="1"/>
  <c r="I82" i="5" s="1"/>
  <c r="G175" i="6"/>
  <c r="H175" i="6" s="1"/>
  <c r="I175" i="6" s="1"/>
  <c r="J175" i="6" s="1"/>
  <c r="G127" i="6"/>
  <c r="H127" i="6" s="1"/>
  <c r="I127" i="6" s="1"/>
  <c r="J127" i="6" s="1"/>
  <c r="G478" i="6"/>
  <c r="H478" i="6" s="1"/>
  <c r="I478" i="6" s="1"/>
  <c r="G18" i="2"/>
  <c r="H18" i="2" s="1"/>
  <c r="I18" i="2" s="1"/>
  <c r="G109" i="5"/>
  <c r="G30" i="6"/>
  <c r="H30" i="6" s="1"/>
  <c r="I30" i="6" s="1"/>
  <c r="G94" i="2"/>
  <c r="H94" i="2" s="1"/>
  <c r="I94" i="2" s="1"/>
  <c r="G117" i="2"/>
  <c r="G99" i="6"/>
  <c r="G87" i="5"/>
  <c r="H87" i="5" s="1"/>
  <c r="I87" i="5" s="1"/>
  <c r="G114" i="2"/>
  <c r="G550" i="6"/>
  <c r="G288" i="6"/>
  <c r="H288" i="6" s="1"/>
  <c r="I288" i="6" s="1"/>
  <c r="G58" i="5"/>
  <c r="G332" i="6"/>
  <c r="H332" i="6" s="1"/>
  <c r="I332" i="6" s="1"/>
  <c r="J332" i="6" s="1"/>
  <c r="G49" i="6"/>
  <c r="H49" i="6" s="1"/>
  <c r="I49" i="6" s="1"/>
  <c r="G559" i="6"/>
  <c r="G6" i="1"/>
  <c r="H6" i="1" s="1"/>
  <c r="I6" i="1" s="1"/>
  <c r="G35" i="2"/>
  <c r="H35" i="2" s="1"/>
  <c r="I35" i="2" s="1"/>
  <c r="J35" i="2" s="1"/>
  <c r="G114" i="5"/>
  <c r="H114" i="5" s="1"/>
  <c r="I114" i="5" s="1"/>
  <c r="G214" i="6"/>
  <c r="H214" i="6" s="1"/>
  <c r="I214" i="6" s="1"/>
  <c r="G486" i="6"/>
  <c r="H486" i="6" s="1"/>
  <c r="I486" i="6" s="1"/>
  <c r="J486" i="6" s="1"/>
  <c r="G145" i="6"/>
  <c r="H145" i="6" s="1"/>
  <c r="I145" i="6" s="1"/>
  <c r="G379" i="6"/>
  <c r="H379" i="6" s="1"/>
  <c r="I379" i="6" s="1"/>
  <c r="G391" i="6"/>
  <c r="H391" i="6" s="1"/>
  <c r="I391" i="6" s="1"/>
  <c r="G135" i="6"/>
  <c r="H135" i="6" s="1"/>
  <c r="I135" i="6" s="1"/>
  <c r="J135" i="6" s="1"/>
  <c r="G276" i="6"/>
  <c r="H276" i="6" s="1"/>
  <c r="I276" i="6" s="1"/>
  <c r="J276" i="6" s="1"/>
  <c r="G40" i="4"/>
  <c r="H40" i="4" s="1"/>
  <c r="G424" i="6"/>
  <c r="H424" i="6" s="1"/>
  <c r="I424" i="6" s="1"/>
  <c r="G352" i="6"/>
  <c r="H352" i="6" s="1"/>
  <c r="I352" i="6" s="1"/>
  <c r="G448" i="6"/>
  <c r="H448" i="6" s="1"/>
  <c r="I448" i="6" s="1"/>
  <c r="J448" i="6" s="1"/>
  <c r="G120" i="5"/>
  <c r="H120" i="5" s="1"/>
  <c r="I120" i="5" s="1"/>
  <c r="J120" i="5" s="1"/>
  <c r="G12" i="6"/>
  <c r="H12" i="6" s="1"/>
  <c r="I12" i="6" s="1"/>
  <c r="J12" i="6" s="1"/>
  <c r="G514" i="6"/>
  <c r="G565" i="6"/>
  <c r="G21" i="6"/>
  <c r="H21" i="6" s="1"/>
  <c r="I21" i="6" s="1"/>
  <c r="J21" i="6" s="1"/>
  <c r="G33" i="5"/>
  <c r="H33" i="5" s="1"/>
  <c r="I33" i="5" s="1"/>
  <c r="J33" i="5" s="1"/>
  <c r="O15" i="5" s="1"/>
  <c r="C15" i="10"/>
  <c r="G495" i="6"/>
  <c r="H495" i="6" s="1"/>
  <c r="I495" i="6" s="1"/>
  <c r="G403" i="6"/>
  <c r="H403" i="6" s="1"/>
  <c r="I403" i="6" s="1"/>
  <c r="J403" i="6" s="1"/>
  <c r="G42" i="6"/>
  <c r="G110" i="5"/>
  <c r="G47" i="1"/>
  <c r="H47" i="1" s="1"/>
  <c r="I47" i="1" s="1"/>
  <c r="J47" i="1" s="1"/>
  <c r="G202" i="6"/>
  <c r="H202" i="6" s="1"/>
  <c r="I202" i="6" s="1"/>
  <c r="J202" i="6" s="1"/>
  <c r="G566" i="6"/>
  <c r="G136" i="5"/>
  <c r="H136" i="5" s="1"/>
  <c r="I136" i="5" s="1"/>
  <c r="J136" i="5" s="1"/>
  <c r="G172" i="6"/>
  <c r="H172" i="6" s="1"/>
  <c r="I172" i="6" s="1"/>
  <c r="J172" i="6" s="1"/>
  <c r="G70" i="5"/>
  <c r="H70" i="5" s="1"/>
  <c r="I70" i="5" s="1"/>
  <c r="J70" i="5" s="1"/>
  <c r="G119" i="2"/>
  <c r="H119" i="2" s="1"/>
  <c r="I119" i="2" s="1"/>
  <c r="J119" i="2" s="1"/>
  <c r="G561" i="6"/>
  <c r="G249" i="6"/>
  <c r="H249" i="6" s="1"/>
  <c r="I249" i="6" s="1"/>
  <c r="J249" i="6" s="1"/>
  <c r="G52" i="6"/>
  <c r="H52" i="6" s="1"/>
  <c r="I52" i="6" s="1"/>
  <c r="J52" i="6" s="1"/>
  <c r="G142" i="5"/>
  <c r="H142" i="5" s="1"/>
  <c r="I142" i="5" s="1"/>
  <c r="J142" i="5" s="1"/>
  <c r="G14" i="2"/>
  <c r="H14" i="2" s="1"/>
  <c r="I14" i="2" s="1"/>
  <c r="J14" i="2" s="1"/>
  <c r="G149" i="6"/>
  <c r="H149" i="6" s="1"/>
  <c r="I149" i="6" s="1"/>
  <c r="J149" i="6" s="1"/>
  <c r="G63" i="6"/>
  <c r="G310" i="6"/>
  <c r="H310" i="6" s="1"/>
  <c r="I310" i="6" s="1"/>
  <c r="G75" i="6"/>
  <c r="H75" i="6" s="1"/>
  <c r="I75" i="6" s="1"/>
  <c r="G56" i="2"/>
  <c r="H56" i="2" s="1"/>
  <c r="I56" i="2" s="1"/>
  <c r="J56" i="2" s="1"/>
  <c r="G414" i="6"/>
  <c r="H414" i="6" s="1"/>
  <c r="I414" i="6" s="1"/>
  <c r="J414" i="6" s="1"/>
  <c r="G79" i="2"/>
  <c r="H79" i="2" s="1"/>
  <c r="I79" i="2" s="1"/>
  <c r="J79" i="2" s="1"/>
  <c r="G520" i="6"/>
  <c r="H520" i="6" s="1"/>
  <c r="I520" i="6" s="1"/>
  <c r="J520" i="6" s="1"/>
  <c r="G113" i="2"/>
  <c r="G56" i="5"/>
  <c r="G269" i="6"/>
  <c r="H269" i="6" s="1"/>
  <c r="I269" i="6" s="1"/>
  <c r="J269" i="6" s="1"/>
  <c r="G131" i="5"/>
  <c r="H131" i="5" s="1"/>
  <c r="I131" i="5" s="1"/>
  <c r="G45" i="5"/>
  <c r="H45" i="5" s="1"/>
  <c r="I45" i="5" s="1"/>
  <c r="G106" i="6"/>
  <c r="H106" i="6" s="1"/>
  <c r="I106" i="6" s="1"/>
  <c r="G253" i="6"/>
  <c r="H253" i="6" s="1"/>
  <c r="I253" i="6" s="1"/>
  <c r="J253" i="6" s="1"/>
  <c r="G99" i="2"/>
  <c r="H99" i="2" s="1"/>
  <c r="I99" i="2" s="1"/>
  <c r="J99" i="2" s="1"/>
  <c r="C5" i="8" s="1"/>
  <c r="D5" i="8" s="1"/>
  <c r="G10" i="2"/>
  <c r="H10" i="2" s="1"/>
  <c r="I10" i="2" s="1"/>
  <c r="J10" i="2" s="1"/>
  <c r="G69" i="6"/>
  <c r="H69" i="6" s="1"/>
  <c r="I69" i="6" s="1"/>
  <c r="G536" i="6"/>
  <c r="H536" i="6" s="1"/>
  <c r="I536" i="6" s="1"/>
  <c r="J536" i="6" s="1"/>
  <c r="G43" i="1"/>
  <c r="H43" i="1" s="1"/>
  <c r="I43" i="1" s="1"/>
  <c r="J43" i="1" s="1"/>
  <c r="G131" i="6"/>
  <c r="H131" i="6" s="1"/>
  <c r="I131" i="6" s="1"/>
  <c r="J131" i="6" s="1"/>
  <c r="G24" i="1"/>
  <c r="H24" i="1" s="1"/>
  <c r="I24" i="1" s="1"/>
  <c r="J24" i="1" s="1"/>
  <c r="G457" i="6"/>
  <c r="H457" i="6" s="1"/>
  <c r="I457" i="6" s="1"/>
  <c r="J457" i="6" s="1"/>
  <c r="G27" i="5"/>
  <c r="H27" i="5" s="1"/>
  <c r="I27" i="5" s="1"/>
  <c r="J27" i="5" s="1"/>
  <c r="G68" i="4"/>
  <c r="H68" i="4" s="1"/>
  <c r="G384" i="6"/>
  <c r="H384" i="6" s="1"/>
  <c r="I384" i="6" s="1"/>
  <c r="J384" i="6" s="1"/>
  <c r="G108" i="5"/>
  <c r="G48" i="4"/>
  <c r="H48" i="4" s="1"/>
  <c r="I48" i="4" s="1"/>
  <c r="G102" i="5"/>
  <c r="H102" i="5" s="1"/>
  <c r="I102" i="5" s="1"/>
  <c r="G18" i="1"/>
  <c r="H18" i="1" s="1"/>
  <c r="I18" i="1" s="1"/>
  <c r="J18" i="1" s="1"/>
  <c r="G111" i="5"/>
  <c r="G6" i="4"/>
  <c r="G544" i="6"/>
  <c r="H544" i="6" s="1"/>
  <c r="I544" i="6" s="1"/>
  <c r="J544" i="6" s="1"/>
  <c r="C17" i="10"/>
  <c r="G338" i="6"/>
  <c r="H338" i="6" s="1"/>
  <c r="I338" i="6" s="1"/>
  <c r="G8" i="5"/>
  <c r="H8" i="5" s="1"/>
  <c r="I8" i="5" s="1"/>
  <c r="J8" i="5" s="1"/>
  <c r="G87" i="6"/>
  <c r="H87" i="6" s="1"/>
  <c r="I87" i="6" s="1"/>
  <c r="J87" i="6" s="1"/>
  <c r="G373" i="6"/>
  <c r="H373" i="6" s="1"/>
  <c r="I373" i="6" s="1"/>
  <c r="J373" i="6" s="1"/>
  <c r="G444" i="6"/>
  <c r="H444" i="6" s="1"/>
  <c r="I444" i="6" s="1"/>
  <c r="J444" i="6" s="1"/>
  <c r="G26" i="6"/>
  <c r="H26" i="6" s="1"/>
  <c r="I26" i="6" s="1"/>
  <c r="J26" i="6" s="1"/>
  <c r="G45" i="2"/>
  <c r="H45" i="2" s="1"/>
  <c r="I45" i="2" s="1"/>
  <c r="J45" i="2" s="1"/>
  <c r="G83" i="6"/>
  <c r="H83" i="6" s="1"/>
  <c r="I83" i="6" s="1"/>
  <c r="J83" i="6" s="1"/>
  <c r="G454" i="6"/>
  <c r="H454" i="6" s="1"/>
  <c r="I454" i="6" s="1"/>
  <c r="J454" i="6" s="1"/>
  <c r="G50" i="2"/>
  <c r="G12" i="5"/>
  <c r="H12" i="5" s="1"/>
  <c r="I12" i="5" s="1"/>
  <c r="J12" i="5" s="1"/>
  <c r="G316" i="6"/>
  <c r="H316" i="6" s="1"/>
  <c r="I316" i="6" s="1"/>
  <c r="J316" i="6" s="1"/>
  <c r="G59" i="5"/>
  <c r="G93" i="6"/>
  <c r="H93" i="6" s="1"/>
  <c r="I93" i="6" s="1"/>
  <c r="J93" i="6" s="1"/>
  <c r="G61" i="4"/>
  <c r="H61" i="4" s="1"/>
  <c r="I61" i="4" s="1"/>
  <c r="G54" i="5"/>
  <c r="G121" i="6"/>
  <c r="G147" i="5"/>
  <c r="H147" i="5" s="1"/>
  <c r="I147" i="5" s="1"/>
  <c r="J147" i="5" s="1"/>
  <c r="G23" i="4"/>
  <c r="H23" i="4" s="1"/>
  <c r="I23" i="4" s="1"/>
  <c r="G65" i="6"/>
  <c r="H65" i="6" s="1"/>
  <c r="I65" i="6" s="1"/>
  <c r="J65" i="6" s="1"/>
  <c r="G104" i="6"/>
  <c r="G363" i="6"/>
  <c r="H363" i="6" s="1"/>
  <c r="I363" i="6" s="1"/>
  <c r="G119" i="6"/>
  <c r="G101" i="6"/>
  <c r="G58" i="1"/>
  <c r="H58" i="1" s="1"/>
  <c r="I58" i="1" s="1"/>
  <c r="J58" i="1" s="1"/>
  <c r="C7" i="8" s="1"/>
  <c r="D7" i="8" s="1"/>
  <c r="G3" i="5"/>
  <c r="H3" i="5" s="1"/>
  <c r="I3" i="5" s="1"/>
  <c r="G399" i="6"/>
  <c r="H399" i="6" s="1"/>
  <c r="I399" i="6" s="1"/>
  <c r="G560" i="6"/>
  <c r="G55" i="5"/>
  <c r="G517" i="6"/>
  <c r="G345" i="6"/>
  <c r="H345" i="6" s="1"/>
  <c r="I345" i="6" s="1"/>
  <c r="G439" i="6"/>
  <c r="H439" i="6" s="1"/>
  <c r="I439" i="6" s="1"/>
  <c r="J439" i="6" s="1"/>
  <c r="G299" i="6"/>
  <c r="H299" i="6" s="1"/>
  <c r="I299" i="6" s="1"/>
  <c r="J299" i="6" s="1"/>
  <c r="G527" i="6"/>
  <c r="H527" i="6" s="1"/>
  <c r="I527" i="6" s="1"/>
  <c r="G43" i="6"/>
  <c r="G41" i="6"/>
  <c r="G76" i="5"/>
  <c r="H76" i="5" s="1"/>
  <c r="I76" i="5" s="1"/>
  <c r="J76" i="5" s="1"/>
  <c r="G463" i="6"/>
  <c r="H463" i="6" s="1"/>
  <c r="I463" i="6" s="1"/>
  <c r="G551" i="6"/>
  <c r="G531" i="6"/>
  <c r="H531" i="6" s="1"/>
  <c r="I531" i="6" s="1"/>
  <c r="J531" i="6" s="1"/>
  <c r="G100" i="6"/>
  <c r="G78" i="6"/>
  <c r="H78" i="6" s="1"/>
  <c r="I78" i="6" s="1"/>
  <c r="J78" i="6" s="1"/>
  <c r="G17" i="6"/>
  <c r="H17" i="6" s="1"/>
  <c r="I17" i="6" s="1"/>
  <c r="J17" i="6" s="1"/>
  <c r="G116" i="2"/>
  <c r="G235" i="6"/>
  <c r="H235" i="6" s="1"/>
  <c r="I235" i="6" s="1"/>
  <c r="G321" i="6"/>
  <c r="H321" i="6" s="1"/>
  <c r="I321" i="6" s="1"/>
  <c r="J321" i="6" s="1"/>
  <c r="G567" i="6"/>
  <c r="G568" i="6"/>
  <c r="H568" i="6" s="1"/>
  <c r="I568" i="6" s="1"/>
  <c r="J568" i="6" s="1"/>
  <c r="G52" i="4"/>
  <c r="G102" i="6"/>
  <c r="G327" i="6"/>
  <c r="H327" i="6" s="1"/>
  <c r="I327" i="6" s="1"/>
  <c r="J327" i="6" s="1"/>
  <c r="G53" i="5"/>
  <c r="G207" i="6"/>
  <c r="H207" i="6" s="1"/>
  <c r="I207" i="6" s="1"/>
  <c r="J207" i="6" s="1"/>
  <c r="G519" i="6"/>
  <c r="G503" i="6"/>
  <c r="H503" i="6" s="1"/>
  <c r="I503" i="6" s="1"/>
  <c r="J503" i="6" s="1"/>
  <c r="G23" i="2"/>
  <c r="H23" i="2" s="1"/>
  <c r="I23" i="2" s="1"/>
  <c r="J23" i="2" s="1"/>
  <c r="G394" i="6"/>
  <c r="H394" i="6" s="1"/>
  <c r="I394" i="6" s="1"/>
  <c r="J394" i="6" s="1"/>
  <c r="G61" i="2"/>
  <c r="G282" i="6"/>
  <c r="H282" i="6" s="1"/>
  <c r="I282" i="6" s="1"/>
  <c r="J282" i="6" s="1"/>
  <c r="G409" i="6"/>
  <c r="H409" i="6" s="1"/>
  <c r="I409" i="6" s="1"/>
  <c r="J409" i="6" s="1"/>
  <c r="G140" i="6"/>
  <c r="H140" i="6" s="1"/>
  <c r="I140" i="6" s="1"/>
  <c r="J140" i="6" s="1"/>
  <c r="G239" i="6"/>
  <c r="H239" i="6" s="1"/>
  <c r="I239" i="6" s="1"/>
  <c r="J239" i="6" s="1"/>
  <c r="G68" i="2"/>
  <c r="H68" i="2" s="1"/>
  <c r="I68" i="2" s="1"/>
  <c r="G185" i="6"/>
  <c r="H185" i="6" s="1"/>
  <c r="I185" i="6" s="1"/>
  <c r="J185" i="6" s="1"/>
  <c r="G39" i="5"/>
  <c r="H39" i="5" s="1"/>
  <c r="I39" i="5" s="1"/>
  <c r="J39" i="5" s="1"/>
  <c r="G368" i="6"/>
  <c r="H368" i="6" s="1"/>
  <c r="I368" i="6" s="1"/>
  <c r="J368" i="6" s="1"/>
  <c r="G75" i="2"/>
  <c r="H75" i="2" s="1"/>
  <c r="I75" i="2" s="1"/>
  <c r="J75" i="2" s="1"/>
  <c r="G26" i="4"/>
  <c r="G294" i="6"/>
  <c r="H294" i="6" s="1"/>
  <c r="I294" i="6" s="1"/>
  <c r="G540" i="6"/>
  <c r="H540" i="6" s="1"/>
  <c r="I540" i="6" s="1"/>
  <c r="J540" i="6" s="1"/>
  <c r="G223" i="6"/>
  <c r="H223" i="6" s="1"/>
  <c r="I223" i="6" s="1"/>
  <c r="J223" i="6" s="1"/>
  <c r="G52" i="5"/>
  <c r="G553" i="6"/>
  <c r="G6" i="2"/>
  <c r="H6" i="2" s="1"/>
  <c r="I6" i="2" s="1"/>
  <c r="G516" i="6"/>
  <c r="G552" i="6"/>
  <c r="G430" i="6"/>
  <c r="H430" i="6" s="1"/>
  <c r="I430" i="6" s="1"/>
  <c r="G259" i="6"/>
  <c r="H259" i="6" s="1"/>
  <c r="I259" i="6" s="1"/>
  <c r="G197" i="6"/>
  <c r="H197" i="6" s="1"/>
  <c r="I197" i="6" s="1"/>
  <c r="G56" i="6"/>
  <c r="H56" i="6" s="1"/>
  <c r="I56" i="6" s="1"/>
  <c r="J56" i="6" s="1"/>
  <c r="G3" i="6"/>
  <c r="H3" i="6" s="1"/>
  <c r="I3" i="6" s="1"/>
  <c r="G434" i="6"/>
  <c r="H434" i="6" s="1"/>
  <c r="I434" i="6" s="1"/>
  <c r="J434" i="6" s="1"/>
  <c r="G40" i="2"/>
  <c r="H40" i="2" s="1"/>
  <c r="I40" i="2" s="1"/>
  <c r="G60" i="5"/>
  <c r="H60" i="5" s="1"/>
  <c r="I60" i="5" s="1"/>
  <c r="G61" i="6"/>
  <c r="G229" i="6"/>
  <c r="H229" i="6" s="1"/>
  <c r="I229" i="6" s="1"/>
  <c r="G34" i="6"/>
  <c r="H34" i="6" s="1"/>
  <c r="I34" i="6" s="1"/>
  <c r="G122" i="6"/>
  <c r="G34" i="4"/>
  <c r="H34" i="4" s="1"/>
  <c r="G219" i="6"/>
  <c r="H219" i="6" s="1"/>
  <c r="I219" i="6" s="1"/>
  <c r="G126" i="5"/>
  <c r="H126" i="5" s="1"/>
  <c r="I126" i="5" s="1"/>
  <c r="J126" i="5" s="1"/>
  <c r="G419" i="6"/>
  <c r="H419" i="6" s="1"/>
  <c r="I419" i="6" s="1"/>
  <c r="J419" i="6" s="1"/>
  <c r="G508" i="6"/>
  <c r="H508" i="6" s="1"/>
  <c r="I508" i="6" s="1"/>
  <c r="J508" i="6" s="1"/>
  <c r="G30" i="2"/>
  <c r="H30" i="2" s="1"/>
  <c r="I30" i="2" s="1"/>
  <c r="G564" i="6"/>
  <c r="G39" i="1"/>
  <c r="H39" i="1" s="1"/>
  <c r="I39" i="1" s="1"/>
  <c r="G22" i="5"/>
  <c r="H22" i="5" s="1"/>
  <c r="I22" i="5" s="1"/>
  <c r="J22" i="5" s="1"/>
  <c r="G60" i="6"/>
  <c r="G103" i="6"/>
  <c r="G115" i="2"/>
  <c r="G51" i="5"/>
  <c r="G120" i="6"/>
  <c r="G357" i="6"/>
  <c r="H357" i="6" s="1"/>
  <c r="I357" i="6" s="1"/>
  <c r="J357" i="6" s="1"/>
  <c r="G44" i="6"/>
  <c r="G2" i="4"/>
  <c r="C4" i="7" s="1"/>
  <c r="G92" i="5"/>
  <c r="H92" i="5" s="1"/>
  <c r="I92" i="5" s="1"/>
  <c r="J92" i="5" s="1"/>
  <c r="G159" i="6"/>
  <c r="H159" i="6" s="1"/>
  <c r="I159" i="6" s="1"/>
  <c r="J159" i="6" s="1"/>
  <c r="G19" i="4"/>
  <c r="G165" i="6"/>
  <c r="H165" i="6" s="1"/>
  <c r="I165" i="6" s="1"/>
  <c r="J165" i="6" s="1"/>
  <c r="G190" i="6"/>
  <c r="H190" i="6" s="1"/>
  <c r="I190" i="6" s="1"/>
  <c r="J190" i="6" s="1"/>
  <c r="G152" i="5"/>
  <c r="H152" i="5" s="1"/>
  <c r="I152" i="5" s="1"/>
  <c r="J152" i="5" s="1"/>
  <c r="G62" i="6"/>
  <c r="G108" i="2"/>
  <c r="H108" i="2" s="1"/>
  <c r="I108" i="2" s="1"/>
  <c r="J108" i="2" s="1"/>
  <c r="G264" i="6"/>
  <c r="H264" i="6" s="1"/>
  <c r="I264" i="6" s="1"/>
  <c r="L99" i="6" a="1"/>
  <c r="H61" i="2" l="1"/>
  <c r="I61" i="2" s="1"/>
  <c r="J61" i="2" s="1"/>
  <c r="H50" i="2"/>
  <c r="I50" i="2" s="1"/>
  <c r="H563" i="6"/>
  <c r="I563" i="6" s="1"/>
  <c r="J563" i="6" s="1"/>
  <c r="H59" i="6"/>
  <c r="I59" i="6" s="1"/>
  <c r="J59" i="6" s="1"/>
  <c r="L99" i="6"/>
  <c r="C3" i="7"/>
  <c r="D3" i="3" a="1"/>
  <c r="D3" i="3" s="1"/>
  <c r="H513" i="6"/>
  <c r="I513" i="6" s="1"/>
  <c r="J513" i="6" s="1"/>
  <c r="J352" i="6"/>
  <c r="O22" i="6" s="1"/>
  <c r="F37" i="7" s="1"/>
  <c r="M22" i="6"/>
  <c r="E37" i="7" s="1"/>
  <c r="M18" i="1"/>
  <c r="J6" i="1"/>
  <c r="O11" i="1" s="1"/>
  <c r="M8" i="1"/>
  <c r="M11" i="1"/>
  <c r="M9" i="5"/>
  <c r="J87" i="5"/>
  <c r="E20" i="7"/>
  <c r="J30" i="6"/>
  <c r="M38" i="6"/>
  <c r="O38" i="6" s="1"/>
  <c r="S56" i="7"/>
  <c r="J110" i="6"/>
  <c r="J33" i="1"/>
  <c r="O20" i="1" s="1"/>
  <c r="M20" i="1"/>
  <c r="M22" i="1"/>
  <c r="J53" i="1"/>
  <c r="M14" i="1"/>
  <c r="M8" i="2"/>
  <c r="M15" i="2"/>
  <c r="J3" i="2"/>
  <c r="M5" i="2"/>
  <c r="O5" i="2" s="1"/>
  <c r="M14" i="6"/>
  <c r="J229" i="6"/>
  <c r="O14" i="6" s="1"/>
  <c r="M23" i="2"/>
  <c r="J6" i="2"/>
  <c r="O23" i="2" s="1"/>
  <c r="M28" i="6"/>
  <c r="E43" i="7" s="1"/>
  <c r="J463" i="6"/>
  <c r="O28" i="6" s="1"/>
  <c r="M6" i="5"/>
  <c r="E17" i="7"/>
  <c r="M14" i="5"/>
  <c r="J3" i="5"/>
  <c r="E16" i="7"/>
  <c r="M5" i="5"/>
  <c r="M23" i="6"/>
  <c r="E38" i="7" s="1"/>
  <c r="J363" i="6"/>
  <c r="O23" i="6" s="1"/>
  <c r="F38" i="7" s="1"/>
  <c r="M20" i="8"/>
  <c r="J131" i="5"/>
  <c r="J75" i="6"/>
  <c r="O8" i="6" s="1"/>
  <c r="F27" i="7" s="1"/>
  <c r="M8" i="6"/>
  <c r="E27" i="7" s="1"/>
  <c r="I50" i="5"/>
  <c r="J3" i="6"/>
  <c r="M37" i="6"/>
  <c r="O37" i="6" s="1"/>
  <c r="M6" i="6"/>
  <c r="E25" i="7" s="1"/>
  <c r="M5" i="6"/>
  <c r="E24" i="7" s="1"/>
  <c r="M27" i="6"/>
  <c r="E42" i="7" s="1"/>
  <c r="J430" i="6"/>
  <c r="O27" i="6" s="1"/>
  <c r="F42" i="7" s="1"/>
  <c r="J310" i="6"/>
  <c r="O19" i="6" s="1"/>
  <c r="F34" i="7" s="1"/>
  <c r="M19" i="6"/>
  <c r="E34" i="7" s="1"/>
  <c r="J424" i="6"/>
  <c r="S67" i="7"/>
  <c r="J391" i="6"/>
  <c r="O25" i="6" s="1"/>
  <c r="F40" i="7" s="1"/>
  <c r="M25" i="6"/>
  <c r="E40" i="7" s="1"/>
  <c r="J214" i="6"/>
  <c r="O12" i="6" s="1"/>
  <c r="M12" i="6"/>
  <c r="J288" i="6"/>
  <c r="O17" i="6" s="1"/>
  <c r="M17" i="6"/>
  <c r="M22" i="2"/>
  <c r="J104" i="2"/>
  <c r="H117" i="6"/>
  <c r="I117" i="6" s="1"/>
  <c r="J117" i="6" s="1"/>
  <c r="C11" i="7"/>
  <c r="H16" i="4"/>
  <c r="S58" i="7"/>
  <c r="J264" i="6"/>
  <c r="M13" i="6"/>
  <c r="J219" i="6"/>
  <c r="O13" i="6" s="1"/>
  <c r="J527" i="6"/>
  <c r="O31" i="6" s="1"/>
  <c r="F46" i="7" s="1"/>
  <c r="M31" i="6"/>
  <c r="E46" i="7" s="1"/>
  <c r="S57" i="7"/>
  <c r="H6" i="4"/>
  <c r="C8" i="7"/>
  <c r="C9" i="8"/>
  <c r="D9" i="8" s="1"/>
  <c r="C10" i="8"/>
  <c r="D10" i="8" s="1"/>
  <c r="M18" i="8"/>
  <c r="I34" i="4"/>
  <c r="J294" i="6"/>
  <c r="O18" i="6" s="1"/>
  <c r="M18" i="6"/>
  <c r="C10" i="7"/>
  <c r="H52" i="4"/>
  <c r="I52" i="4" s="1"/>
  <c r="J235" i="6"/>
  <c r="O15" i="6" s="1"/>
  <c r="M15" i="6"/>
  <c r="M20" i="6"/>
  <c r="E35" i="7" s="1"/>
  <c r="J338" i="6"/>
  <c r="O20" i="6" s="1"/>
  <c r="F35" i="7" s="1"/>
  <c r="I107" i="5"/>
  <c r="J107" i="5" s="1"/>
  <c r="H19" i="4"/>
  <c r="C12" i="7"/>
  <c r="M19" i="1"/>
  <c r="M21" i="1"/>
  <c r="J39" i="1"/>
  <c r="M13" i="1"/>
  <c r="M16" i="5"/>
  <c r="J60" i="5"/>
  <c r="O16" i="5" s="1"/>
  <c r="H26" i="4"/>
  <c r="C9" i="7"/>
  <c r="H40" i="6"/>
  <c r="I40" i="6" s="1"/>
  <c r="J40" i="6" s="1"/>
  <c r="H99" i="6"/>
  <c r="I99" i="6" s="1"/>
  <c r="J69" i="6"/>
  <c r="M39" i="6"/>
  <c r="O39" i="6" s="1"/>
  <c r="J106" i="6"/>
  <c r="O9" i="6" s="1"/>
  <c r="M9" i="6"/>
  <c r="E28" i="7" s="1"/>
  <c r="S59" i="7"/>
  <c r="I40" i="4"/>
  <c r="M24" i="6"/>
  <c r="E39" i="7" s="1"/>
  <c r="J379" i="6"/>
  <c r="O24" i="6" s="1"/>
  <c r="J114" i="5"/>
  <c r="E22" i="7"/>
  <c r="M11" i="5"/>
  <c r="M7" i="6"/>
  <c r="E26" i="7" s="1"/>
  <c r="J49" i="6"/>
  <c r="O7" i="6" s="1"/>
  <c r="F26" i="7" s="1"/>
  <c r="J18" i="2"/>
  <c r="J82" i="5"/>
  <c r="E19" i="7"/>
  <c r="M8" i="5"/>
  <c r="H44" i="4"/>
  <c r="I44" i="4" s="1"/>
  <c r="C13" i="7"/>
  <c r="J88" i="2"/>
  <c r="M20" i="2"/>
  <c r="J29" i="1"/>
  <c r="M12" i="1"/>
  <c r="J30" i="2"/>
  <c r="M9" i="2"/>
  <c r="J259" i="6"/>
  <c r="O16" i="6" s="1"/>
  <c r="M16" i="6"/>
  <c r="E32" i="7" s="1"/>
  <c r="S61" i="7"/>
  <c r="J34" i="6"/>
  <c r="M26" i="8"/>
  <c r="J40" i="2"/>
  <c r="M11" i="6"/>
  <c r="J197" i="6"/>
  <c r="O11" i="6" s="1"/>
  <c r="J68" i="2"/>
  <c r="M19" i="2"/>
  <c r="M10" i="2"/>
  <c r="M17" i="2"/>
  <c r="H550" i="6"/>
  <c r="I550" i="6" s="1"/>
  <c r="J345" i="6"/>
  <c r="O21" i="6" s="1"/>
  <c r="F36" i="7" s="1"/>
  <c r="M21" i="6"/>
  <c r="E36" i="7" s="1"/>
  <c r="M26" i="6"/>
  <c r="E41" i="7" s="1"/>
  <c r="J399" i="6"/>
  <c r="O26" i="6" s="1"/>
  <c r="F41" i="7" s="1"/>
  <c r="J102" i="5"/>
  <c r="I68" i="4"/>
  <c r="M27" i="8"/>
  <c r="J45" i="5"/>
  <c r="O7" i="5" s="1"/>
  <c r="F18" i="7" s="1"/>
  <c r="E18" i="7"/>
  <c r="M7" i="5"/>
  <c r="I112" i="2"/>
  <c r="M30" i="6"/>
  <c r="E45" i="7" s="1"/>
  <c r="J495" i="6"/>
  <c r="O30" i="6" s="1"/>
  <c r="M10" i="6"/>
  <c r="E29" i="7" s="1"/>
  <c r="J145" i="6"/>
  <c r="O10" i="6" s="1"/>
  <c r="M11" i="2"/>
  <c r="J94" i="2"/>
  <c r="O11" i="2" s="1"/>
  <c r="J478" i="6"/>
  <c r="O29" i="6" s="1"/>
  <c r="F44" i="7" s="1"/>
  <c r="M29" i="6"/>
  <c r="E44" i="7" s="1"/>
  <c r="D11" i="3" a="1"/>
  <c r="D11" i="3" s="1"/>
  <c r="J65" i="1"/>
  <c r="C11" i="8" s="1"/>
  <c r="D11" i="8" s="1"/>
  <c r="M23" i="1"/>
  <c r="O23" i="1" s="1"/>
  <c r="H11" i="4"/>
  <c r="C7" i="7"/>
  <c r="C6" i="7"/>
  <c r="I3" i="4"/>
  <c r="N6" i="4" s="1"/>
  <c r="L6" i="4"/>
  <c r="H555" i="6"/>
  <c r="I555" i="6" s="1"/>
  <c r="L550" i="6" a="1"/>
  <c r="O12" i="1" l="1"/>
  <c r="L13" i="4"/>
  <c r="J50" i="2"/>
  <c r="O18" i="2" s="1"/>
  <c r="M18" i="2"/>
  <c r="N13" i="4"/>
  <c r="F9" i="8" s="1"/>
  <c r="E21" i="7"/>
  <c r="F30" i="7"/>
  <c r="L550" i="6"/>
  <c r="M12" i="2"/>
  <c r="J112" i="2"/>
  <c r="M21" i="2"/>
  <c r="L11" i="4"/>
  <c r="I19" i="4"/>
  <c r="N11" i="4" s="1"/>
  <c r="F7" i="8" s="1"/>
  <c r="S68" i="7"/>
  <c r="E33" i="7"/>
  <c r="E30" i="7"/>
  <c r="M16" i="2"/>
  <c r="F28" i="7"/>
  <c r="F5" i="8"/>
  <c r="S63" i="7"/>
  <c r="J99" i="6"/>
  <c r="F33" i="7"/>
  <c r="F17" i="7"/>
  <c r="O6" i="5"/>
  <c r="O14" i="5"/>
  <c r="O5" i="5"/>
  <c r="F16" i="7" s="1"/>
  <c r="D16" i="7" s="1"/>
  <c r="F43" i="7"/>
  <c r="F10" i="8"/>
  <c r="F31" i="7"/>
  <c r="F20" i="7"/>
  <c r="O9" i="5"/>
  <c r="O8" i="1"/>
  <c r="O18" i="1"/>
  <c r="F45" i="7"/>
  <c r="F4" i="8"/>
  <c r="J550" i="6"/>
  <c r="O32" i="6" s="1"/>
  <c r="F47" i="7" s="1"/>
  <c r="M32" i="6"/>
  <c r="E47" i="7" s="1"/>
  <c r="O22" i="2"/>
  <c r="E31" i="7"/>
  <c r="I11" i="4"/>
  <c r="S55" i="7"/>
  <c r="F6" i="8"/>
  <c r="F29" i="7"/>
  <c r="F3" i="8"/>
  <c r="F19" i="7"/>
  <c r="O8" i="5"/>
  <c r="F39" i="7"/>
  <c r="S66" i="7"/>
  <c r="C8" i="8"/>
  <c r="D8" i="8" s="1"/>
  <c r="O21" i="1"/>
  <c r="O13" i="1"/>
  <c r="C4" i="8" s="1"/>
  <c r="D4" i="8" s="1"/>
  <c r="O19" i="1"/>
  <c r="M21" i="8"/>
  <c r="O10" i="5"/>
  <c r="F21" i="7"/>
  <c r="O9" i="2"/>
  <c r="M24" i="8"/>
  <c r="O20" i="2"/>
  <c r="J555" i="6"/>
  <c r="O33" i="6" s="1"/>
  <c r="M33" i="6"/>
  <c r="E48" i="7" s="1"/>
  <c r="M10" i="5"/>
  <c r="O10" i="2"/>
  <c r="C12" i="8" s="1"/>
  <c r="D12" i="8" s="1"/>
  <c r="O17" i="2"/>
  <c r="O19" i="2"/>
  <c r="F32" i="7"/>
  <c r="F11" i="8"/>
  <c r="O14" i="1"/>
  <c r="O11" i="5"/>
  <c r="F22" i="7"/>
  <c r="L9" i="4"/>
  <c r="I6" i="4"/>
  <c r="N9" i="4" s="1"/>
  <c r="L12" i="4"/>
  <c r="I16" i="4"/>
  <c r="L10" i="4"/>
  <c r="O6" i="6"/>
  <c r="F25" i="7" s="1"/>
  <c r="O5" i="6"/>
  <c r="F24" i="7" s="1"/>
  <c r="D24" i="7" s="1"/>
  <c r="I26" i="4"/>
  <c r="S60" i="7"/>
  <c r="M15" i="5"/>
  <c r="M17" i="5"/>
  <c r="J50" i="5"/>
  <c r="O17" i="5" s="1"/>
  <c r="O8" i="2"/>
  <c r="O15" i="2"/>
  <c r="O22" i="1"/>
  <c r="C6" i="8"/>
  <c r="D6" i="8" s="1"/>
  <c r="F8" i="8" l="1"/>
  <c r="E8" i="8" s="1"/>
  <c r="G4" i="8"/>
  <c r="E4" i="8"/>
  <c r="M22" i="8"/>
  <c r="N23" i="8"/>
  <c r="M23" i="8"/>
  <c r="G5" i="8"/>
  <c r="E5" i="8"/>
  <c r="O16" i="2"/>
  <c r="O12" i="2"/>
  <c r="O21" i="2"/>
  <c r="M25" i="8"/>
  <c r="F48" i="7"/>
  <c r="F12" i="8"/>
  <c r="G7" i="8"/>
  <c r="E7" i="8"/>
  <c r="E3" i="8"/>
  <c r="G11" i="8"/>
  <c r="E11" i="8"/>
  <c r="N10" i="4"/>
  <c r="N12" i="4"/>
  <c r="E6" i="8"/>
  <c r="G6" i="8"/>
  <c r="G9" i="8"/>
  <c r="E9" i="8"/>
  <c r="C3" i="8"/>
  <c r="D3" i="8" s="1"/>
  <c r="M19" i="8"/>
  <c r="E10" i="8"/>
  <c r="G10" i="8"/>
  <c r="G8" i="8" l="1"/>
  <c r="G3" i="8"/>
  <c r="G12" i="8"/>
  <c r="E12"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<sst xmlns="http://schemas.openxmlformats.org/spreadsheetml/2006/main" count="1593" uniqueCount="1097">
  <si>
    <t>Skjema for felles sikkerhetskrav til anskaffelser</t>
  </si>
  <si>
    <t>Basert på spørsmål fra 2024-01-29</t>
  </si>
  <si>
    <t>Grunnleggende bruk</t>
  </si>
  <si>
    <t xml:space="preserve">Dette skjemaet er ment brukt sammen med to andre Excel ark. Disse to arkene må være åpne samtidig med dette arket. </t>
  </si>
  <si>
    <t>Du må skrive inn navnene på de to andre arkene her:</t>
  </si>
  <si>
    <t>Skjema for kritikalitet:</t>
  </si>
  <si>
    <t>Svarskjema fra leverandør:</t>
  </si>
  <si>
    <t>Om begge disse skjemaene finnes, er utfylt, og er åpne, så vil du se følgende to felt utfylt:</t>
  </si>
  <si>
    <t>Type system som anskaffes:</t>
  </si>
  <si>
    <t>NB! For at løsningen skal fungere</t>
  </si>
  <si>
    <t>må begge filene bli funnet her!</t>
  </si>
  <si>
    <t>(Filene bør ligge lokalt for at dette skal fungere)</t>
  </si>
  <si>
    <t>For at arkene skal funger sammen så må du velge at det er tillat at informasjon delt mellom de to arkene blir oppdatert.</t>
  </si>
  <si>
    <t>Kort om hvordan bruke arkene i praksis</t>
  </si>
  <si>
    <t>Se dokumentet "veiledning.docx" for mer detaljer om hvordan løsningen brukes.</t>
  </si>
  <si>
    <t>Bruk av løsningen kan sees i sammenheng med DigDirs Prosjektveiviseren. (Se Nyttige ressurser under)</t>
  </si>
  <si>
    <t>1. Det er et behov for en ny løsning eller system.
2. Arket for kritikalitet fylles ut av saksbehandler eller innkjøpsansvarlig i kommunen. Dette måler hvor kritisk systemet er.
3. Fliken for modenhet i arket for kritikalitet fylles ut. Dette måler hvor moden kommunen er til å ta det i bruk.
4. Basert på disse to flikene blir det gjort en analyse, og forslag til utlysningstekst og aktiviteter vises.
5. Leverandører fyller ut de generelle leverandørkravene. Her bør kommunen også passe på funksjonelle løsningsspesifike krav.
6. Når utfylte skjema er mottatt så kan analysearket brukes til å vurdere hvor bra leverandørene presenterer seg selv.
7. En kan også se en sammenligning av hvor bra tilbudet oppfyller kravene som fremgår av hvor kritisk systemet er.
8. Analysearket har en flik "Oppfølging" hvor du kan se spørsmål hvor leverandøren har svart at de kan gi mer informasjon.
Rent praktisk er det fornuftig å lagre analysearket, arket for kritikalitet og modenhet og leverandørbesvarelser i samme katalog.
For å gjøre en sammenligning av flere leverandører kan du klippe ut det som er relevant fra analysearkene til et eget dokument.</t>
  </si>
  <si>
    <t>Nyttige ressurser</t>
  </si>
  <si>
    <t>Rolle systemeier</t>
  </si>
  <si>
    <t>Digitaliseringsdirektoratets beskrivelse av rollen som systemeier</t>
  </si>
  <si>
    <t>Rolle risikoeier</t>
  </si>
  <si>
    <t xml:space="preserve">Digitaliseringsdirektoratets beskrivelse av rollen som risikoeier </t>
  </si>
  <si>
    <t>Prosjektveiviseren for anskaffelser</t>
  </si>
  <si>
    <t>Digitaliseringsdirektoratets prosjektveiviser for anskaffelser</t>
  </si>
  <si>
    <t>Analyse av Tjenestekritikalitet</t>
  </si>
  <si>
    <t>Id</t>
  </si>
  <si>
    <t>Spørsmål</t>
  </si>
  <si>
    <t>Alternativer</t>
  </si>
  <si>
    <t>Score alt.</t>
  </si>
  <si>
    <t>Max</t>
  </si>
  <si>
    <t>Vekt</t>
  </si>
  <si>
    <t>Brukerens valg</t>
  </si>
  <si>
    <t>Skåre</t>
  </si>
  <si>
    <t>Sluttskåre</t>
  </si>
  <si>
    <t>Norm</t>
  </si>
  <si>
    <t>Overordnede spørsmål</t>
  </si>
  <si>
    <t>K1</t>
  </si>
  <si>
    <t>Vil et bortfall av tjenesten direkte påvirke noens liv og helse?</t>
  </si>
  <si>
    <t>Øyeblikkelig (minutter)</t>
  </si>
  <si>
    <t>Underlag for analyse</t>
  </si>
  <si>
    <t>Sum</t>
  </si>
  <si>
    <t>Maks</t>
  </si>
  <si>
    <t>Normalisert (0-1)</t>
  </si>
  <si>
    <t>I løpet av en time</t>
  </si>
  <si>
    <t>Total kritikalitet:</t>
  </si>
  <si>
    <t>I løpet av døgn</t>
  </si>
  <si>
    <t>I løpet av en uke</t>
  </si>
  <si>
    <t>Kategorier</t>
  </si>
  <si>
    <t>Nei</t>
  </si>
  <si>
    <t>K2</t>
  </si>
  <si>
    <t>Vil et bortfall av tjenesten forårsake større forstyrrelser i samfunnet?</t>
  </si>
  <si>
    <t>Langsiktig planlegging og bruk</t>
  </si>
  <si>
    <t>Krav til sensitive data og tjenester</t>
  </si>
  <si>
    <t>Krav til sikkerhet</t>
  </si>
  <si>
    <t>Underskårer</t>
  </si>
  <si>
    <t>K3</t>
  </si>
  <si>
    <t>Er tjenesten spesielt viktig for sårbare grupper i befolkningen, som eldre, barn, eller personer med nedsatt funksjonsevne?</t>
  </si>
  <si>
    <t>Robusthet</t>
  </si>
  <si>
    <t>Konfidensialitet</t>
  </si>
  <si>
    <t>Integritet</t>
  </si>
  <si>
    <t>Autentsitet</t>
  </si>
  <si>
    <t>Tilgjengelighet</t>
  </si>
  <si>
    <t>Ikke-benektelse</t>
  </si>
  <si>
    <t>K4</t>
  </si>
  <si>
    <t>Vil svikt eller feil i løsningen føre til skader på natur og miljø?</t>
  </si>
  <si>
    <t>Ja</t>
  </si>
  <si>
    <t>Potensiell skade</t>
  </si>
  <si>
    <t>K5</t>
  </si>
  <si>
    <t>Hvor viktig er løsningen for arbeidsutførelsen til kommunen?</t>
  </si>
  <si>
    <t>Kritisk for arbeidsutførelsen</t>
  </si>
  <si>
    <t>Viktig</t>
  </si>
  <si>
    <t>Mindre viktig</t>
  </si>
  <si>
    <t>K6</t>
  </si>
  <si>
    <t>Er tjenesten avhengig av høy tillit?</t>
  </si>
  <si>
    <t>Høy tillit</t>
  </si>
  <si>
    <t>Innbyggertillit</t>
  </si>
  <si>
    <t>Ansatt-tillit</t>
  </si>
  <si>
    <t>Ingen</t>
  </si>
  <si>
    <t>K7</t>
  </si>
  <si>
    <t>Er det tenkt å lagre eller behandle personsensitive data i løsningen?</t>
  </si>
  <si>
    <t>Ikke tiltenkt</t>
  </si>
  <si>
    <t>K8</t>
  </si>
  <si>
    <t>Er det tenkt å lagre eller behandle kommunesensitive data i løsningen?</t>
  </si>
  <si>
    <t>K9</t>
  </si>
  <si>
    <t>Vil løsningen inneholde, behandle eller på annen måte komme inn under Sikkerhetslovens bestemmelser?</t>
  </si>
  <si>
    <t>Mulig</t>
  </si>
  <si>
    <t>Uavklart</t>
  </si>
  <si>
    <t>K10</t>
  </si>
  <si>
    <t>Hva er kravene til tilgjengelighet for løsningen?</t>
  </si>
  <si>
    <t>Svært høy</t>
  </si>
  <si>
    <t>Høy</t>
  </si>
  <si>
    <t>Middels</t>
  </si>
  <si>
    <t>Lav</t>
  </si>
  <si>
    <t>K11</t>
  </si>
  <si>
    <t>Hva er kravene til kundestøtte fra leverandør?</t>
  </si>
  <si>
    <t>24/7 med oppmøte</t>
  </si>
  <si>
    <t>24/7 telefonsupport og epost</t>
  </si>
  <si>
    <t>Forretningsdag på telefon og epost</t>
  </si>
  <si>
    <t>Epost og helpdesk support</t>
  </si>
  <si>
    <t>Bare selvhjelp</t>
  </si>
  <si>
    <t>K12</t>
  </si>
  <si>
    <t>Skal brukere av løsningen være være autentisert?</t>
  </si>
  <si>
    <t>K13</t>
  </si>
  <si>
    <t>Skal data , hendelser og tilganger i løsningen være mulig å spore?</t>
  </si>
  <si>
    <t>Ja via menyer i løsningen og eksterne systemer</t>
  </si>
  <si>
    <t>Ja via menyer i løsningen</t>
  </si>
  <si>
    <t>Ja via eksterne systemer</t>
  </si>
  <si>
    <t>Vet ikke</t>
  </si>
  <si>
    <t>Ja fra leverandør ved behov</t>
  </si>
  <si>
    <t>Roller</t>
  </si>
  <si>
    <t>MK1</t>
  </si>
  <si>
    <t>Er roller og arbeidsoppgaver knyttet til systemet avklart?</t>
  </si>
  <si>
    <t>Total modenhet</t>
  </si>
  <si>
    <t>MK2</t>
  </si>
  <si>
    <t>Har systemansvarlig tid og ressurser til å ta på seg oppgaven?</t>
  </si>
  <si>
    <t>Økonomi og ressurser</t>
  </si>
  <si>
    <t>MK3</t>
  </si>
  <si>
    <t>Er systemansvarlig involvert i anskaffelsen?</t>
  </si>
  <si>
    <t>Avhengigheter</t>
  </si>
  <si>
    <t>Vedlikehold og forvaltning</t>
  </si>
  <si>
    <t>Gevinst</t>
  </si>
  <si>
    <t>MK4</t>
  </si>
  <si>
    <t>Har tillitsvalgte blitt orientert (eventuelt involvert) om kjøp av systemet?</t>
  </si>
  <si>
    <t>Organisatorisk forberedt</t>
  </si>
  <si>
    <t>Klarhet i krav</t>
  </si>
  <si>
    <t>Ikke aktuelt</t>
  </si>
  <si>
    <t>Teknisk forberedt</t>
  </si>
  <si>
    <t>MK5</t>
  </si>
  <si>
    <t>Hvis systemet er tenkt brukt av kommunens innbyggere: Hvem skal ha ansvar for brukerstøtte for løsningen?</t>
  </si>
  <si>
    <t>Avklart budsjett</t>
  </si>
  <si>
    <t>Leverandør</t>
  </si>
  <si>
    <t>Avhengighet og integrasjon</t>
  </si>
  <si>
    <t>Kombinert</t>
  </si>
  <si>
    <t>Risikovurdering</t>
  </si>
  <si>
    <t>Kommunens ansatte</t>
  </si>
  <si>
    <t>Forventet gevinst</t>
  </si>
  <si>
    <t>Ikke relevant</t>
  </si>
  <si>
    <t>Beredskapsplanlegging</t>
  </si>
  <si>
    <t>MK6</t>
  </si>
  <si>
    <t>Har IT personale blitt involvert i anskaffelsen?</t>
  </si>
  <si>
    <t>Systemansvarlig involvering</t>
  </si>
  <si>
    <t>Delvis</t>
  </si>
  <si>
    <t>Planlagt</t>
  </si>
  <si>
    <t>MK7</t>
  </si>
  <si>
    <t>Er det satt av budsjett og allokert ressurser til innføring av systemet for kommunens ansatte?</t>
  </si>
  <si>
    <t>Tilstrekkelig tid</t>
  </si>
  <si>
    <t>Noe tid</t>
  </si>
  <si>
    <t>Ingen tid</t>
  </si>
  <si>
    <t>MK8</t>
  </si>
  <si>
    <t>Er det satt av budsjett og allokert ressurser til omstillingskostnader?</t>
  </si>
  <si>
    <t>Fullt budsjett</t>
  </si>
  <si>
    <t>Delvis budsjett</t>
  </si>
  <si>
    <t>Minimalt budsjett</t>
  </si>
  <si>
    <t>MK9</t>
  </si>
  <si>
    <t xml:space="preserve">Er det satt av budsjett og allokert ressurser til innføring av systemet for kommunens innbyggere?  </t>
  </si>
  <si>
    <t>MK10</t>
  </si>
  <si>
    <t>Er det satt av budsjett og allokert ressurser til forvaltning av systemet?</t>
  </si>
  <si>
    <t>MK11</t>
  </si>
  <si>
    <t>Er det satt av budsjett for å sikre løsningen?</t>
  </si>
  <si>
    <t>MK12</t>
  </si>
  <si>
    <t>Har personvernombudet  blitt orientert om mulig personsensitiv informasjon i løsningen?</t>
  </si>
  <si>
    <t>MK13</t>
  </si>
  <si>
    <t>Er det vurdert utfasingskostnader for eventuelt eksisterende system?</t>
  </si>
  <si>
    <t>MK14</t>
  </si>
  <si>
    <t xml:space="preserve">Vil løsningen være avhengig av andre systemer?  </t>
  </si>
  <si>
    <t>Både interne og eksterne</t>
  </si>
  <si>
    <t>Eksterne systemer</t>
  </si>
  <si>
    <t>Interne systemer</t>
  </si>
  <si>
    <t>Minimalt</t>
  </si>
  <si>
    <t>MK15</t>
  </si>
  <si>
    <r>
      <rPr>
        <sz val="11"/>
        <color rgb="FF000000"/>
        <rFont val="Calibri"/>
        <family val="2"/>
      </rPr>
      <t>V</t>
    </r>
    <r>
      <rPr>
        <b/>
        <sz val="11"/>
        <color rgb="FF000000"/>
        <rFont val="Calibri"/>
        <family val="2"/>
      </rPr>
      <t>il andre systemer være avhengig av dette systemet?</t>
    </r>
  </si>
  <si>
    <t>Flere</t>
  </si>
  <si>
    <t>Ett</t>
  </si>
  <si>
    <t>MK16</t>
  </si>
  <si>
    <t xml:space="preserve">Ønsker kommunen at løsningen skal være integrert med andre kommunale systemer?  </t>
  </si>
  <si>
    <t>MK17</t>
  </si>
  <si>
    <t>Er det ønskelig at andre systemer skal være integrert med løsningen?</t>
  </si>
  <si>
    <t>MK18</t>
  </si>
  <si>
    <t>Er det vurdert konsekvenser av problemer med integrasjoner og avhengigheter?</t>
  </si>
  <si>
    <t>Konsekvenser er avklart</t>
  </si>
  <si>
    <t>Konsekvenser er delvis avklart</t>
  </si>
  <si>
    <t>Konsekvenser er uavklart</t>
  </si>
  <si>
    <t>MK19</t>
  </si>
  <si>
    <t>Er det planlagt alternativer til løsningen om den slutter å virke?</t>
  </si>
  <si>
    <t>Ingen alternativer</t>
  </si>
  <si>
    <t xml:space="preserve">Ett likeverdig alternativ </t>
  </si>
  <si>
    <t>Nødrutiner</t>
  </si>
  <si>
    <t>Kriserutiner</t>
  </si>
  <si>
    <t>MK20</t>
  </si>
  <si>
    <t>Skal data brukes til å ta viktige beslutninger?</t>
  </si>
  <si>
    <t>Ingen feil data aksepteres</t>
  </si>
  <si>
    <t>Noen feil i data kan aksepteres</t>
  </si>
  <si>
    <t>Korrekte data i systemet er mindre viktig</t>
  </si>
  <si>
    <t>MK21</t>
  </si>
  <si>
    <t>Er løsningen så viktig at den bør dekkes av beredskapsplaner?</t>
  </si>
  <si>
    <t>Ja og diskutert</t>
  </si>
  <si>
    <t>Ja men ikke diskutert</t>
  </si>
  <si>
    <t>MK22</t>
  </si>
  <si>
    <t>Er det planlagt å utføre ROS-analyse på løsningen, og er det ressurser til å gjennomføre den?</t>
  </si>
  <si>
    <t>MK23</t>
  </si>
  <si>
    <t>Hva slags gevinst vil kommunen oppnå med løsningen?</t>
  </si>
  <si>
    <t>Sjekkbokser</t>
  </si>
  <si>
    <t>Økonomisk besparelser</t>
  </si>
  <si>
    <t>Effektivitet</t>
  </si>
  <si>
    <t>Bedre kvalitet</t>
  </si>
  <si>
    <t>Mer robust</t>
  </si>
  <si>
    <t>Mer sikker</t>
  </si>
  <si>
    <t>MK24</t>
  </si>
  <si>
    <t>Har dere vurdert bruk av eksisterende løsninger for å møte behovet?</t>
  </si>
  <si>
    <t>Fullstendig vurdert</t>
  </si>
  <si>
    <t>Delvis vurdert</t>
  </si>
  <si>
    <t>Ikke vurdert</t>
  </si>
  <si>
    <t>Under vurdering</t>
  </si>
  <si>
    <t>Analyse av skjema for kritikalitet og kommunal modenhet</t>
  </si>
  <si>
    <t>Analyse av system eller løsning for:</t>
  </si>
  <si>
    <t>I den første delen av dette arket produseres forslag til mulig tekst i utlysningen, deretter kommer forslag til aktiviteter som kan være nødvendige. Begge disse er basert utelukkende på utfylt Kritikalitet og Kommunal modenhet.</t>
  </si>
  <si>
    <t>Merk at forslag til tekst i grå skrift ikke er aktuelt, det er bare normal skrift som er aktuelt.</t>
  </si>
  <si>
    <t>Mulig tekst i utlysning</t>
  </si>
  <si>
    <t>Krav til…</t>
  </si>
  <si>
    <t>Forslag til tekst som kan brukes i en utlysning</t>
  </si>
  <si>
    <r>
      <rPr>
        <b/>
        <sz val="11"/>
        <rFont val="Calibri"/>
        <family val="2"/>
      </rPr>
      <t>Håndtering av kritisk løsning</t>
    </r>
    <r>
      <rPr>
        <sz val="11"/>
        <rFont val="Calibri"/>
        <family val="2"/>
      </rPr>
      <t xml:space="preserve">
(Basert på skala for overordnet kritikalitet)</t>
    </r>
  </si>
  <si>
    <t xml:space="preserve">På bakgrunn av løsningens viktighet, ønsker vi å påpeke at det vil bli stilt strenge krav til pålitelighet, ytelse og sikkerhet for leveransen. Vi forventer at løsningen skal sikre kontinuerlig drift og ha robuste beredskapsplaner for å håndtere eventuelle driftsavbrudd. </t>
  </si>
  <si>
    <r>
      <rPr>
        <b/>
        <sz val="11"/>
        <color rgb="FF000000"/>
        <rFont val="Calibri"/>
        <family val="2"/>
      </rPr>
      <t xml:space="preserve">Kundestøtte til kommune
</t>
    </r>
    <r>
      <rPr>
        <sz val="11"/>
        <color rgb="FF000000"/>
        <rFont val="Calibri"/>
        <family val="2"/>
      </rPr>
      <t>(Basert på spørsmål K11)</t>
    </r>
  </si>
  <si>
    <r>
      <rPr>
        <b/>
        <sz val="11"/>
        <rFont val="Calibri"/>
        <family val="2"/>
      </rPr>
      <t>Kundestøtte for innbyggere</t>
    </r>
    <r>
      <rPr>
        <sz val="11"/>
        <rFont val="Calibri"/>
        <family val="2"/>
      </rPr>
      <t xml:space="preserve">
(Basert på spørsmål MK5)</t>
    </r>
  </si>
  <si>
    <t>I tillegg til de nevnte sikkerhetskravene, forventer vi at deres tilbud inkluderer en detaljert plan for kundestøtte til kommunens innbyggere, som vil være brukerne av løsningen. Dette er spesielt viktig ettersom løsningen vil ha direkte interaksjon med brukerne. Vi ønsker forslag på hvordan dere vil tilnærme dere kundestøtte, inkludert men ikke begrenset til tilgjengelighet, responsivitet og språkvalg.</t>
  </si>
  <si>
    <r>
      <rPr>
        <b/>
        <sz val="11"/>
        <color rgb="FF000000"/>
        <rFont val="Calibri"/>
        <family val="2"/>
      </rPr>
      <t xml:space="preserve">Databehandleravtale
</t>
    </r>
    <r>
      <rPr>
        <sz val="11"/>
        <color rgb="FF000000"/>
        <rFont val="Calibri"/>
        <family val="2"/>
      </rPr>
      <t>(Basert på spørsmål K7)</t>
    </r>
  </si>
  <si>
    <t>Løsningen vil innebære håndtering av personsensitive data. Det er derfor viktig at tilbudet deres reflekterer en streng tilnærming til datavern og overholdelse av gjeldende personvernlovgivning, avhengig av hvordan løsningen leveres. I tråd med dette, kan det være behov for at tilbudet inkluderer behovet for en databehandleravtale som er i samsvar med EUs generelle databeskyttelsesforordning (GDPR). Kommunen bruker her DFØ sin standard databehandleravtale. Det er også avgjørende at dere har fastsatte prosesser for å sikre at alle underleverandører som kan komme til å behandle personsensitive data på deres vegne, også vil være bundet av en tilsvarende databehandleravtale.</t>
  </si>
  <si>
    <r>
      <rPr>
        <b/>
        <sz val="11"/>
        <color rgb="FF000000"/>
        <rFont val="Calibri"/>
        <family val="2"/>
      </rPr>
      <t xml:space="preserve">Behandling av sensitive kommunedata
</t>
    </r>
    <r>
      <rPr>
        <sz val="11"/>
        <color rgb="FF000000"/>
        <rFont val="Calibri"/>
        <family val="2"/>
      </rPr>
      <t>(Basert på spørsmål  K8)</t>
    </r>
  </si>
  <si>
    <t>Merk at selv om data lagret i løsningen ikke nødvendigvis er sensitive personopplysninger, kan det være data som er av en slik art at deres sikkerhet og konfidensialitet er av høyeste prioritet for oss. Det er av denne grunn vi understreker viktigheten av robuste sikkerhetstiltak og en klar strategi for datavern i deres leveranse.</t>
  </si>
  <si>
    <r>
      <rPr>
        <b/>
        <sz val="11"/>
        <color rgb="FF000000"/>
        <rFont val="Calibri"/>
        <family val="2"/>
      </rPr>
      <t xml:space="preserve">Håndtering av Sikkerhetsloven
</t>
    </r>
    <r>
      <rPr>
        <sz val="11"/>
        <color rgb="FF000000"/>
        <rFont val="Calibri"/>
        <family val="2"/>
      </rPr>
      <t>(Basert på spørsmål K9)</t>
    </r>
  </si>
  <si>
    <t>Slik vi vurderer det vil løsningen falle inn under rammen av Sikkerhetsloven. Dette betyr at løsningen vil håndtere informasjon og funksjoner som er essensielle for nasjonal sikkerhet og krever høyeste nivå av beskyttelse. Vi forventer at deres tilbud inneholder en grundig beskrivelse av hvordan løsningen oppfyller kravene i Sikkerhetsloven, inkludert, men ikke begrenset til, tiltak for sikkerhetshåndtering, personellsikkerhet, fysisk sikring og informasjonssikkerhet. Det er avgjørende at dere kan demonstrere evne til å opprettholde de nødvendige sikkerhetstiltakene og har prosedyrer på plass for å sikre at alle underleverandører også etterlever disse kravene.</t>
  </si>
  <si>
    <r>
      <rPr>
        <b/>
        <sz val="11"/>
        <color rgb="FF000000"/>
        <rFont val="Calibri"/>
        <family val="2"/>
      </rPr>
      <t xml:space="preserve">Tilgjengelighet
</t>
    </r>
    <r>
      <rPr>
        <sz val="11"/>
        <color rgb="FF000000"/>
        <rFont val="Calibri"/>
        <family val="2"/>
      </rPr>
      <t>(Basert på spørsmål K10)</t>
    </r>
  </si>
  <si>
    <t>Gitt løsningens sentrale rolle, vil den være underlagt  høye krav til tilgjengelighet. I lys av dette, ber vi om at deres tilbud adresserer hvordan dere vil sikre at løsningen oppnår og opprettholder den nødvendige tilgjengeligheten. Dette inkluderer spesifikke tiltak for oppetid, redundans, og hurtig gjenoppretting i tilfelle av et nedetidsscenario. Vi forventer detaljerte beskrivelser av de tekniske og operasjonelle strategiene dere vil bruke for å møte våre tilgjengelighetskrav. Tilbudet bør også inkludere informasjon om hvordan dere vil håndtere og forplikte dere til nødvendig oppetid gjennom serviceavtaler (SLAer), samt hvilke garantier og kompensasjoner som vil være tilgjengelige hvis kravene ikke blir møtt.</t>
  </si>
  <si>
    <r>
      <rPr>
        <b/>
        <sz val="11"/>
        <color rgb="FF000000"/>
        <rFont val="Calibri"/>
        <family val="2"/>
      </rPr>
      <t xml:space="preserve">Sporing
</t>
    </r>
    <r>
      <rPr>
        <sz val="11"/>
        <color rgb="FF000000"/>
        <rFont val="Calibri"/>
        <family val="2"/>
      </rPr>
      <t>(Basert på spørsmål K13)</t>
    </r>
  </si>
  <si>
    <t>Vi ber om at deres tilbud inkluderer en beskrivelse av hvordan løsningen støtter detaljert sporing og logging av alle relevante aktiviteter. Dette skal omfatte, men ikke være begrenset til, brukerhandlinge, datatilgang og -modifisering, samt endringer gjort av automatiserte prosesser. Disse loggene må kunne lagres sikkert, være immun mot manipulasjon og lett tilgjengelige for gjennomgang ved behov.</t>
  </si>
  <si>
    <r>
      <rPr>
        <b/>
        <sz val="11"/>
        <color rgb="FF000000"/>
        <rFont val="Calibri"/>
        <family val="2"/>
      </rPr>
      <t xml:space="preserve">Sporing via eksterne systemer
</t>
    </r>
    <r>
      <rPr>
        <sz val="11"/>
        <color rgb="FF000000"/>
        <rFont val="Calibri"/>
        <family val="2"/>
      </rPr>
      <t>(Basert på spørsmål K13)</t>
    </r>
  </si>
  <si>
    <t>Det er også anbefalt at den tilbudte løsningen støtter logging til kommunens installasjon av [navn på ekstern løsning for logging og sporing av brukeravktivitet}</t>
  </si>
  <si>
    <r>
      <rPr>
        <b/>
        <sz val="11"/>
        <rFont val="Calibri"/>
        <family val="2"/>
      </rPr>
      <t>Integrasjon med andre systemer</t>
    </r>
    <r>
      <rPr>
        <sz val="11"/>
        <rFont val="Calibri"/>
        <family val="2"/>
      </rPr>
      <t xml:space="preserve">
(Basert på skala for avhengigheter)</t>
    </r>
  </si>
  <si>
    <t>Vi understreker at løsningen bør kunne integreres sømløst med våre eksisterende systemer: [liste av systemer her] Dette er avgjørende for å sikre en effektiv og koordinert drift av våre kommunale tjenester.
Vi ber om at deres tilbud detaljert beskriver hvordan løsningen vil kunne integreres med våre nåværende systemer. Dette inkluderer teknisk kompatibilitet, datautveksling, felles brukergrensesnitt og hvordan løsningen vil støtte eksisterende arbeidsflyter og prosesser. Det er også viktig at integrasjonene støtter høy tilgjengelighet og tilbyr robuste løsninger for sporing av data, hendelser og tilganger. Det er ønskelig at leverandøren om mulig tar kontakt med leverandør av våre eksisterende systemer for å utrede eventuell kostnad ved integerering.</t>
  </si>
  <si>
    <t>Huskeliste aktiviteter for kommunen (grå skrift er ikke aktuelt)</t>
  </si>
  <si>
    <t>Aktivitet</t>
  </si>
  <si>
    <t>Beskrivelse</t>
  </si>
  <si>
    <t>Oppfølging personvernombud</t>
  </si>
  <si>
    <t>Det er tenkt lagret personsensitive data i løsningen (K6), så det er fornuftig å informere personvernombud i kommunen om løsningen, og vurdere hva som bør dokumenteres i en protokoll for systemet.</t>
  </si>
  <si>
    <t>Involvering av IT med integrasjoner</t>
  </si>
  <si>
    <t>Det er valgt at løsningen skal integrere med andre systemer (MK13-MK17), men IT har ikke vært involvert (MK6). I slike tilfeller er det fornuftig å involvere IT.</t>
  </si>
  <si>
    <t>Involvering av IT for eksisterende løsninger</t>
  </si>
  <si>
    <t>IT har ikke vært involvert (MK6), og det er ikke vurdert bruk av eksisterende systemer (MK23). I slike tilfeller er det fornuftig å involvere IT.</t>
  </si>
  <si>
    <t>Oppfølging systemansvarlig</t>
  </si>
  <si>
    <t>Valgene tatt i spørsmål MK2 og MK3 tyder på at systemansvarlig ikke har vært tilstrekkelig involvert i prosessen rundt anskaffelsen.</t>
  </si>
  <si>
    <t>Planlegging av alternativer</t>
  </si>
  <si>
    <t xml:space="preserve">Svaret i MK23 tyder på at det ikke er gjort en tilstrekkelig utredning av alternativer for løsningen. Det kan nok være fornuftig å gjøre dette før en går videre med </t>
  </si>
  <si>
    <t>LIS00</t>
  </si>
  <si>
    <t>Navn på leverandør</t>
  </si>
  <si>
    <t>LIS01</t>
  </si>
  <si>
    <t>Har leverandøren tilholdssted i Norge?</t>
  </si>
  <si>
    <t>LIS02</t>
  </si>
  <si>
    <t>Vil tjenesten leveres fra Norge eller EØS?</t>
  </si>
  <si>
    <t>Leverandørtrygghet</t>
  </si>
  <si>
    <t>Norge</t>
  </si>
  <si>
    <t>EØS</t>
  </si>
  <si>
    <t>Utenfor EØS</t>
  </si>
  <si>
    <t>Lokal tilstedeværelse</t>
  </si>
  <si>
    <t>Driftsansvar</t>
  </si>
  <si>
    <t>LIS03</t>
  </si>
  <si>
    <t>Hvor mange ansatte er det hos leverandøren?</t>
  </si>
  <si>
    <t>Supportansvar</t>
  </si>
  <si>
    <t>&lt; 10</t>
  </si>
  <si>
    <t>Løsningskjennskap</t>
  </si>
  <si>
    <t>10 - 50</t>
  </si>
  <si>
    <t>Datalagring</t>
  </si>
  <si>
    <t>50 - 200</t>
  </si>
  <si>
    <t>&gt; 200</t>
  </si>
  <si>
    <t>LIS04</t>
  </si>
  <si>
    <t>Er tjenesten utviklet av leverandøren?</t>
  </si>
  <si>
    <t>LIS05</t>
  </si>
  <si>
    <t>Er leverandøren ansvarlig for drift av løsningen?</t>
  </si>
  <si>
    <t>Delt</t>
  </si>
  <si>
    <t>LIS06</t>
  </si>
  <si>
    <t>Er leverandøren ansvarlig for support av løsningen?</t>
  </si>
  <si>
    <t>LIS07</t>
  </si>
  <si>
    <t>Hvordan er løsningen tenkt levert?</t>
  </si>
  <si>
    <t>Leverandørens fysiske datasenter</t>
  </si>
  <si>
    <t>Leverandørens tredjepart skytjeneste</t>
  </si>
  <si>
    <t>Kommunens infrastruktur</t>
  </si>
  <si>
    <t>LIS08</t>
  </si>
  <si>
    <t xml:space="preserve">Hvor stor andel av tjenesten leveres av leverandøren direkte? </t>
  </si>
  <si>
    <t>Alt</t>
  </si>
  <si>
    <t>LIS09</t>
  </si>
  <si>
    <t>Hvor mange underleverandører er involvert?</t>
  </si>
  <si>
    <t>1 - 3</t>
  </si>
  <si>
    <t>4 - 10</t>
  </si>
  <si>
    <t>&gt; 10</t>
  </si>
  <si>
    <t>LIS10</t>
  </si>
  <si>
    <t>Befinner personellet som skal drifte løsningen seg i Norge?</t>
  </si>
  <si>
    <t>LIS11</t>
  </si>
  <si>
    <t>Befinner personellet som skal gi kundestøtte i Norge?</t>
  </si>
  <si>
    <t>LIS12</t>
  </si>
  <si>
    <t>Hvilket språk snakker personellet som skal gi kundestøtte?</t>
  </si>
  <si>
    <t>Norsk</t>
  </si>
  <si>
    <t>Engelsk flytende</t>
  </si>
  <si>
    <t>Annet språk</t>
  </si>
  <si>
    <t>LIS13</t>
  </si>
  <si>
    <t>Hvor er dataene i løsningen tenkt lokalisert?</t>
  </si>
  <si>
    <t>Skyleverandør i Norge</t>
  </si>
  <si>
    <t>Skyleverandør i EØS</t>
  </si>
  <si>
    <t>Skyleverandør i Nord-Amerika</t>
  </si>
  <si>
    <t>Skyleverandør i Asia eller Oseania</t>
  </si>
  <si>
    <t>Skyleverandør i Afrika eller Rest-Amerika</t>
  </si>
  <si>
    <t>Hos kommunen</t>
  </si>
  <si>
    <t xml:space="preserve">I leverandørens datasenter i EØS </t>
  </si>
  <si>
    <t>LIS14</t>
  </si>
  <si>
    <t>Oppfyller tjenesten alle krav til universell utforming?</t>
  </si>
  <si>
    <t>Full overenstemmelse</t>
  </si>
  <si>
    <t>Delvis overenstemmelse</t>
  </si>
  <si>
    <t>Under utvikling</t>
  </si>
  <si>
    <t>Ikke i overenstemmelse</t>
  </si>
  <si>
    <t>LIS15</t>
  </si>
  <si>
    <t>Godtar leverandøren DFØ sin databehandleravtaler?</t>
  </si>
  <si>
    <t>Ja vi godtar DFØ sine avtaler</t>
  </si>
  <si>
    <t>1.1</t>
  </si>
  <si>
    <t>Sertifisering</t>
  </si>
  <si>
    <t>1.1.1</t>
  </si>
  <si>
    <t>Er virksomheten sertifisert for sikkerhetsstyring?</t>
  </si>
  <si>
    <t>Ja ISO27001</t>
  </si>
  <si>
    <t>Ja annen anerkjent standard</t>
  </si>
  <si>
    <t>Under sertifisering</t>
  </si>
  <si>
    <t>Styringssystem</t>
  </si>
  <si>
    <t>1.1.2</t>
  </si>
  <si>
    <t xml:space="preserve">Følges hele eller deler av standarden?  </t>
  </si>
  <si>
    <t>Bruk av utstyr</t>
  </si>
  <si>
    <t>Hele</t>
  </si>
  <si>
    <t>Organisering sikkerhetsorg</t>
  </si>
  <si>
    <t>Kontroll av underleverandører</t>
  </si>
  <si>
    <t>Leverandørkontroll</t>
  </si>
  <si>
    <t>1.1.3</t>
  </si>
  <si>
    <t>Hvem har sertifisert virksomheten?</t>
  </si>
  <si>
    <t>Uavhengig sertifiseringsorgan</t>
  </si>
  <si>
    <t>Bransjespesifikt sertifiseringsorgan</t>
  </si>
  <si>
    <t>Oppfølging sikkerhet</t>
  </si>
  <si>
    <t>Annen virksomhet</t>
  </si>
  <si>
    <t>Databehandleravtaler</t>
  </si>
  <si>
    <t>Overordnet beredskap</t>
  </si>
  <si>
    <t>1.1.4</t>
  </si>
  <si>
    <t>Når ble virksomheten sertifisert?</t>
  </si>
  <si>
    <t>Styringssystem størrelse</t>
  </si>
  <si>
    <t>Innenfor det siste året</t>
  </si>
  <si>
    <t>1-3 år siden</t>
  </si>
  <si>
    <t>Over 3 år siden</t>
  </si>
  <si>
    <t>Aldri sertifisert</t>
  </si>
  <si>
    <t>1.1.5</t>
  </si>
  <si>
    <t xml:space="preserve">Hva var utfallet? </t>
  </si>
  <si>
    <t>Sertifisert uten anmerkninger</t>
  </si>
  <si>
    <t>Sertifisert med mindre anmerkninger</t>
  </si>
  <si>
    <t xml:space="preserve">Ikke sertifisert </t>
  </si>
  <si>
    <t xml:space="preserve">Ikke relevant </t>
  </si>
  <si>
    <t>1.1.6</t>
  </si>
  <si>
    <t xml:space="preserve">Hvilke forbedringsområder ble påpekt? </t>
  </si>
  <si>
    <t>Ingen anmerkninger</t>
  </si>
  <si>
    <t>Tekniske</t>
  </si>
  <si>
    <t>Organisatoriske</t>
  </si>
  <si>
    <t>Både tekniske og organisatoriske</t>
  </si>
  <si>
    <t>1.1.7</t>
  </si>
  <si>
    <t xml:space="preserve">Finnes det en plan for å lukke avvikene eller forbedringsområdene? </t>
  </si>
  <si>
    <t>1.1.8</t>
  </si>
  <si>
    <t>Har virksomheten intensjon om å sikkerhetssertifisere seg?</t>
  </si>
  <si>
    <t>1.2</t>
  </si>
  <si>
    <t>1.2.1</t>
  </si>
  <si>
    <t>Har leverandøren innført styringssystem for informasjonssikkerhet?</t>
  </si>
  <si>
    <t xml:space="preserve">Delvis </t>
  </si>
  <si>
    <t>1.2.2</t>
  </si>
  <si>
    <t xml:space="preserve">Hvilke områder dekker styringssystemet?  </t>
  </si>
  <si>
    <t>a)  risikostyring</t>
  </si>
  <si>
    <t>b)  sikkerhetsledelse</t>
  </si>
  <si>
    <t>c)  sikkerhetsorganisering</t>
  </si>
  <si>
    <t>d)  sikkerhetstiltak og -prosedyrer</t>
  </si>
  <si>
    <t>e)  forholdet til andre virksomheter</t>
  </si>
  <si>
    <t>f)  sikkerhetsdokumentasjon</t>
  </si>
  <si>
    <t>g)  planer og rutiner for hendelseshåndtering</t>
  </si>
  <si>
    <t>h)  planer for gjenoppretting etter en sikkerhetstruende hendelse</t>
  </si>
  <si>
    <t>i)  annet</t>
  </si>
  <si>
    <t>1.2.3</t>
  </si>
  <si>
    <t xml:space="preserve">Når ble styringssystemet sist oppdatert? </t>
  </si>
  <si>
    <t>Innen det siste året</t>
  </si>
  <si>
    <t>Aldri</t>
  </si>
  <si>
    <t>1.2.4</t>
  </si>
  <si>
    <t xml:space="preserve">Hvordan er styringssystemet implementert hos leverandøren? </t>
  </si>
  <si>
    <t>Fullstendig integrert</t>
  </si>
  <si>
    <t>Delvis integrert</t>
  </si>
  <si>
    <t>Grunnleggende nivå</t>
  </si>
  <si>
    <t>Ikke implementert</t>
  </si>
  <si>
    <t>1.2.5</t>
  </si>
  <si>
    <t xml:space="preserve">Hvordan måles etterlevelsen av styringssystemet? </t>
  </si>
  <si>
    <t>Regelmessige interne og eksterne gjennomganger</t>
  </si>
  <si>
    <t>Kun interne gjennomganger</t>
  </si>
  <si>
    <t>Sporadiske vurderinger</t>
  </si>
  <si>
    <t>Ingen måling</t>
  </si>
  <si>
    <t>1.2.6</t>
  </si>
  <si>
    <t>Er retningslinjene for sikkerhet forankret i ledelsen?</t>
  </si>
  <si>
    <t>Fullstendig</t>
  </si>
  <si>
    <t>Ukjent</t>
  </si>
  <si>
    <t>1.3</t>
  </si>
  <si>
    <t>Policy for bruk av utstyr</t>
  </si>
  <si>
    <t>1.3.1</t>
  </si>
  <si>
    <t xml:space="preserve">Har leverandøren dokumenterte retningslinjer for utstyr som brukes i drift eller utvikling? </t>
  </si>
  <si>
    <t>2.1</t>
  </si>
  <si>
    <t>Organisering av sikkerhetsorganisasjonen</t>
  </si>
  <si>
    <t>2.1.1</t>
  </si>
  <si>
    <t>Har virksomheten en sikkerhetsorganisasjon?</t>
  </si>
  <si>
    <t>Fullt etablert</t>
  </si>
  <si>
    <t>Delvis etablert</t>
  </si>
  <si>
    <t>Under oppbygging</t>
  </si>
  <si>
    <t>2.1.2</t>
  </si>
  <si>
    <t>Er roller og ansvar beskrevet og avklart?</t>
  </si>
  <si>
    <t>Ja men ikke delt</t>
  </si>
  <si>
    <t>2.1.3</t>
  </si>
  <si>
    <t xml:space="preserve">Foreligger det dokumentasjon og verifikasjon på om sikkerhetsorganisasjonens anbefalinger følges i organisasjonen? </t>
  </si>
  <si>
    <t>Begrenset</t>
  </si>
  <si>
    <t>3.0</t>
  </si>
  <si>
    <t>Kontroll med underleverandører</t>
  </si>
  <si>
    <t>3.1.1</t>
  </si>
  <si>
    <t>Hvordan sørges det for høy sikkerhet i leverandørens egne anskaffelser?</t>
  </si>
  <si>
    <t>Kontraktsfestet</t>
  </si>
  <si>
    <t>Sikkerhetsvurdering</t>
  </si>
  <si>
    <t>Tilfeldig</t>
  </si>
  <si>
    <t>Gjøres ikke</t>
  </si>
  <si>
    <t>3.1.2</t>
  </si>
  <si>
    <t>Hvis skytjenester brukes, hvordan sjekkes det at underleverandøren følger lovkrav, som Schrems II og databehandlingsavtaler?</t>
  </si>
  <si>
    <t>Periodisk kontroll</t>
  </si>
  <si>
    <t>Underleverandørs sertifiseringer</t>
  </si>
  <si>
    <t>Avtaleklausuler</t>
  </si>
  <si>
    <t>Databehandleravtale</t>
  </si>
  <si>
    <t>4.1</t>
  </si>
  <si>
    <t>4.1.1</t>
  </si>
  <si>
    <t>Foreligger det en oversikt over underleverandører og leverandørkjeder?</t>
  </si>
  <si>
    <t>Ja men kan ikke deles</t>
  </si>
  <si>
    <t>4.1.2</t>
  </si>
  <si>
    <t>Foreligger det oversikt over hvilke roller, tilganger og oppgaver disse underleverandørene har?</t>
  </si>
  <si>
    <t>Ja og kan deles</t>
  </si>
  <si>
    <t>Kritiske underleverandører</t>
  </si>
  <si>
    <t>4.1.3</t>
  </si>
  <si>
    <t>Finnes det prosess for tilgangsstyring som regulerer underleverandørenes tilganger?</t>
  </si>
  <si>
    <t>Ja strengt regulert og dokumentert</t>
  </si>
  <si>
    <t>Ja men behov for forbedring</t>
  </si>
  <si>
    <t>4.1.4</t>
  </si>
  <si>
    <t>Foreligger det databehandleravtaler der dette er relevant?</t>
  </si>
  <si>
    <t>Under utforming</t>
  </si>
  <si>
    <t>4.1.5</t>
  </si>
  <si>
    <t>Hvordan følges evt. databehandleravtaler opp?</t>
  </si>
  <si>
    <t>Regelmessige kontroller gjort av dedikert person</t>
  </si>
  <si>
    <t>Regelmessige kontroller</t>
  </si>
  <si>
    <t>Ved klager eller avvik</t>
  </si>
  <si>
    <t>Sjelden eller aldri</t>
  </si>
  <si>
    <t>4.1.6</t>
  </si>
  <si>
    <t>Er det gjennomført RoS-vurdering av underleverandørers tjenester?</t>
  </si>
  <si>
    <t>Dette er planlagt</t>
  </si>
  <si>
    <t>4.1.7</t>
  </si>
  <si>
    <t>Foreligger det beredskapsavtaler for underleverandørers tjenester/leveranser, der dette er relevant?</t>
  </si>
  <si>
    <t>Ja omfattende beredskapsavtaler</t>
  </si>
  <si>
    <t>Begrenset eller spesifikke avtaler</t>
  </si>
  <si>
    <t>Nei ingen beredskapsavtaler</t>
  </si>
  <si>
    <t>4.1.8</t>
  </si>
  <si>
    <t>Finnes det godkjenningsprosedyrer for bruk av underleverandører og underleverandørens  underleverandører?</t>
  </si>
  <si>
    <t>Strenge og detaljerte</t>
  </si>
  <si>
    <t>Basisprosedyrer</t>
  </si>
  <si>
    <t>5.1</t>
  </si>
  <si>
    <t xml:space="preserve">Prosesser </t>
  </si>
  <si>
    <t>5.1.1</t>
  </si>
  <si>
    <t>Finnes det prosesser for risikostyring av leveransen?</t>
  </si>
  <si>
    <t>Antall</t>
  </si>
  <si>
    <t xml:space="preserve">Begrenset </t>
  </si>
  <si>
    <t>Komplett skåre</t>
  </si>
  <si>
    <t>Prosesser</t>
  </si>
  <si>
    <t>Utvikling</t>
  </si>
  <si>
    <t>5.1.2</t>
  </si>
  <si>
    <t>Foreligger det trusselvurderinger for leveransen?</t>
  </si>
  <si>
    <t>Vedlikehold</t>
  </si>
  <si>
    <t>Ja og disse kan deles med kommunen</t>
  </si>
  <si>
    <t>Hendelseshåndtering</t>
  </si>
  <si>
    <t>Ja til intern bruk</t>
  </si>
  <si>
    <t>Beredskap og kontinuitet</t>
  </si>
  <si>
    <t>Utstyr i leveranse</t>
  </si>
  <si>
    <t>5.1.3</t>
  </si>
  <si>
    <t>Benyttes det en metode/prosess for risikohåndtering og -rapportering?</t>
  </si>
  <si>
    <t>Informasjonskontroll</t>
  </si>
  <si>
    <t>Standardisert metode</t>
  </si>
  <si>
    <t>Avhending</t>
  </si>
  <si>
    <t>Egenutviklet metode</t>
  </si>
  <si>
    <t>Prosess tilgangsstyring</t>
  </si>
  <si>
    <t>Tilgangskontroll</t>
  </si>
  <si>
    <t>Autentisering</t>
  </si>
  <si>
    <t>5.1.4</t>
  </si>
  <si>
    <t>Foreligger det verifikasjon på at sikkerhetstiltakene fungerer etter sin hensikt?</t>
  </si>
  <si>
    <t>Kryptografiske kontroller</t>
  </si>
  <si>
    <t xml:space="preserve">Ja </t>
  </si>
  <si>
    <t>Kryptografiske tiltak</t>
  </si>
  <si>
    <t>Sikring datatrom</t>
  </si>
  <si>
    <t>Hendelsesteam</t>
  </si>
  <si>
    <t>5.1.5</t>
  </si>
  <si>
    <t>Vil resultatet av verifikasjonen kunne deles med kommunen?</t>
  </si>
  <si>
    <t>Opplæring</t>
  </si>
  <si>
    <t xml:space="preserve">Åpne delbare  </t>
  </si>
  <si>
    <t>Endringshåndtering</t>
  </si>
  <si>
    <t>Delbare med NDA</t>
  </si>
  <si>
    <t>Testmiljø</t>
  </si>
  <si>
    <t>Kan dele kvalitetssystem</t>
  </si>
  <si>
    <t>Separasjon</t>
  </si>
  <si>
    <t>Kontrakt-basert</t>
  </si>
  <si>
    <t>Kapasitetsstyring</t>
  </si>
  <si>
    <t>5.1.6</t>
  </si>
  <si>
    <t>Finnes det etablerte prosesser for risikostyring dersom avvik avdekkes?</t>
  </si>
  <si>
    <t>Sikkerhetskopiering</t>
  </si>
  <si>
    <t>Overvåking</t>
  </si>
  <si>
    <t>Logging</t>
  </si>
  <si>
    <t>Sikkerhetsoppdateringer</t>
  </si>
  <si>
    <t>5.1.7</t>
  </si>
  <si>
    <t>Er risikoakseptgrensene og uakseptabel risiko kommunisert i organisasjonen?</t>
  </si>
  <si>
    <t>Sikkerhetstesting</t>
  </si>
  <si>
    <t>Ja til alle ansatte</t>
  </si>
  <si>
    <t>Konfigurasjon</t>
  </si>
  <si>
    <t>Delvis til ansatte i kritiske roller</t>
  </si>
  <si>
    <t>Taushet</t>
  </si>
  <si>
    <t>Dokumentasjon</t>
  </si>
  <si>
    <t>5.1.8</t>
  </si>
  <si>
    <t>Vil kunstig intelligens (AI) bli brukt for å ta viktige beslutninger i løsningen?</t>
  </si>
  <si>
    <t>Omfattende bruk</t>
  </si>
  <si>
    <t>Begrenset bruk</t>
  </si>
  <si>
    <t>Ikke relevantsfsf</t>
  </si>
  <si>
    <t>5.1.9</t>
  </si>
  <si>
    <t>Hvordan involveres kundene i risikovurderingen?</t>
  </si>
  <si>
    <t>Kundesentrert risikoanalyse</t>
  </si>
  <si>
    <t>Tilbakemelding og kontinuerlig forbedring</t>
  </si>
  <si>
    <t>Kunder deltar i sikkerhetsaudit</t>
  </si>
  <si>
    <t>Opplæring og bevistgjøring</t>
  </si>
  <si>
    <t>6.1</t>
  </si>
  <si>
    <t>6.1.1</t>
  </si>
  <si>
    <t>Bygger leverandøren inn innebygd sikkerhet og personvern inn  i løsningen fra starten av utviklingsløpet?</t>
  </si>
  <si>
    <t>6.1.2</t>
  </si>
  <si>
    <t>Antar dere at løsningen angripes fra mange posisjoner, både internt og eksternt?</t>
  </si>
  <si>
    <t>Ja for eksterne og interne</t>
  </si>
  <si>
    <t>Ja mot eksterne</t>
  </si>
  <si>
    <t>6.1.3</t>
  </si>
  <si>
    <t>Benyttes åpen kildekode eller annen tredjepartskode i løsningen som leveres?</t>
  </si>
  <si>
    <t>6.1.4</t>
  </si>
  <si>
    <t>Hvordan analyseres koden for bakdører og andre sikkerhetshull?</t>
  </si>
  <si>
    <t>Automatiserte verktøy og analyser</t>
  </si>
  <si>
    <t>Automatiserte verktøy</t>
  </si>
  <si>
    <t>Eksterne gjennomganger</t>
  </si>
  <si>
    <t>Manuell gjennomgang</t>
  </si>
  <si>
    <t>Ingen fast metode</t>
  </si>
  <si>
    <t>6.1.5</t>
  </si>
  <si>
    <t>Er mulige problemer med åpen-kildekode lisenser og andre tredjepart lisenser vurdert?</t>
  </si>
  <si>
    <t>6.1.6</t>
  </si>
  <si>
    <t>Er det vurdert at alle lisenser kan brukes i kommersiell sammenheng?</t>
  </si>
  <si>
    <t>6.2</t>
  </si>
  <si>
    <t>6.2.1</t>
  </si>
  <si>
    <t>Hva er antatt teknisk levetid for løsningen?</t>
  </si>
  <si>
    <t>10 år</t>
  </si>
  <si>
    <t>5 år</t>
  </si>
  <si>
    <t>6.2.2</t>
  </si>
  <si>
    <t xml:space="preserve">Vil det komme sikkerhetsoppdateringer etter løsningens levetid er over? </t>
  </si>
  <si>
    <t>Ikke avklart</t>
  </si>
  <si>
    <t>6.2.3</t>
  </si>
  <si>
    <t>Hvordan følges systemets livsløp opp?</t>
  </si>
  <si>
    <t>Livsløpsstyringsprosedyre</t>
  </si>
  <si>
    <t>Sporadisk</t>
  </si>
  <si>
    <t>Ikke fulgt opp</t>
  </si>
  <si>
    <t>6.2.4</t>
  </si>
  <si>
    <t>Hvordan håndteres videre oppfølging mot kommunen etter at løsningen er levert?</t>
  </si>
  <si>
    <t>Vedlikehold og kundestøtte</t>
  </si>
  <si>
    <t xml:space="preserve">Forvaltningmøter </t>
  </si>
  <si>
    <t>Brukermøter</t>
  </si>
  <si>
    <t>Både forvaltningsmøter og kundemøter</t>
  </si>
  <si>
    <t>6.2.5</t>
  </si>
  <si>
    <t>Er eventuelle krav til kommunen for installasjon, daglig drift eller andre nødvendige aktiiviteter for forsvarlig drift dokumentert?</t>
  </si>
  <si>
    <t>Alle krav er dokumentert</t>
  </si>
  <si>
    <t>Kritiske krav er dokumentert</t>
  </si>
  <si>
    <t>Dokumentasjon er under utarbeidelse</t>
  </si>
  <si>
    <t>Ingen spesiell dokumentasjon er utarbeidet</t>
  </si>
  <si>
    <t>True if all checkboxes are missing</t>
  </si>
  <si>
    <t>6.2.6</t>
  </si>
  <si>
    <t>Hvordan foregår prosessen med endringsønsker og videreutvikling?</t>
  </si>
  <si>
    <t>Uten kommunen</t>
  </si>
  <si>
    <t xml:space="preserve">Endringsønsker </t>
  </si>
  <si>
    <t>Kontaktperson</t>
  </si>
  <si>
    <t>Kvartalsvise møter</t>
  </si>
  <si>
    <t>Brukerforum</t>
  </si>
  <si>
    <t>7.1</t>
  </si>
  <si>
    <t>7.1.1</t>
  </si>
  <si>
    <t>Finnes det en dokumentert prosess for hendelseshåndtering, inklusive registrering, kategorisering og rapportering av hendelser?</t>
  </si>
  <si>
    <t>7.1.2</t>
  </si>
  <si>
    <t>Hvordan følges sikkerhetsbrudd og hendelser opp mot kommunen?</t>
  </si>
  <si>
    <t xml:space="preserve">Av eget team 24/7 </t>
  </si>
  <si>
    <t>Av eget team dagtid</t>
  </si>
  <si>
    <t>Av ekstern partner</t>
  </si>
  <si>
    <t>Via kontaktperson</t>
  </si>
  <si>
    <t>På forespørsel</t>
  </si>
  <si>
    <t xml:space="preserve">Ingen oppfølging </t>
  </si>
  <si>
    <t>7.1.3</t>
  </si>
  <si>
    <t>Hvordan varsler dere som leverandør uplanlagt nedetid?</t>
  </si>
  <si>
    <t>Status vises via webpanel</t>
  </si>
  <si>
    <t>Automatisk varsling via epost</t>
  </si>
  <si>
    <t>Manuelt varsling via epost</t>
  </si>
  <si>
    <t>Vi varsler ikke</t>
  </si>
  <si>
    <t>Varsling via telefon</t>
  </si>
  <si>
    <t>7.1.4</t>
  </si>
  <si>
    <t>Varsler dere sikkerhetshendelser, også de som ikke direkte rammer  mer enn en kunde?</t>
  </si>
  <si>
    <t>Ja vi varsler rammede kunder</t>
  </si>
  <si>
    <t>Ja vi varsler rammede kunder og de som ikke er direkte rammet</t>
  </si>
  <si>
    <t>7.1.5</t>
  </si>
  <si>
    <t>Finnes det et hendelsessystem? Og benyttes dette til læring?</t>
  </si>
  <si>
    <t>Begrenset bruk til læring</t>
  </si>
  <si>
    <t>7.1.6</t>
  </si>
  <si>
    <t>Finnes det et avvikssystem? Og benyttes dette til læring?</t>
  </si>
  <si>
    <t>7.1.7</t>
  </si>
  <si>
    <t>Er kritiske underleverandører identifisert, og finnes det avtaler eller hjelpelinjer for disse ved eventuelle hendelser?</t>
  </si>
  <si>
    <t>7.1.8</t>
  </si>
  <si>
    <t>Er det tilknyttet noen CERT eller andre sikkerhetsmiljøer for bistand ved sikkerhetshendelser? I så fall, hvem er tilknyttet og hvilke type bistand er avtalt ved sikkerhetshendelser?</t>
  </si>
  <si>
    <t>Delvis/vurderes</t>
  </si>
  <si>
    <t>8.1</t>
  </si>
  <si>
    <t>8.1.1</t>
  </si>
  <si>
    <t>Har leverandør beredskaps- og kontinuitetsplaner?</t>
  </si>
  <si>
    <t>Under arbeid</t>
  </si>
  <si>
    <t>8.1.2</t>
  </si>
  <si>
    <t>Har det blitt gjennomført beredskaps- og kontinuitetsøvelser?</t>
  </si>
  <si>
    <t>Ja men uten evaluering</t>
  </si>
  <si>
    <t>Av og til</t>
  </si>
  <si>
    <t>8.1.3</t>
  </si>
  <si>
    <t>Har leverandør alternativ arbeidsplass?</t>
  </si>
  <si>
    <t>Flere alternativer</t>
  </si>
  <si>
    <t>Ett alternativ</t>
  </si>
  <si>
    <t>Hjemmefra</t>
  </si>
  <si>
    <t>8.1.4</t>
  </si>
  <si>
    <t>Har leverandør reelle redundante system for kritiske tjenester til kommunen?</t>
  </si>
  <si>
    <t>Nesten</t>
  </si>
  <si>
    <t>Kritiske systemer</t>
  </si>
  <si>
    <t>8.1.5</t>
  </si>
  <si>
    <t>Hvor lang tid tar det å gjenopprette tjenester etter et betydelig brudd?</t>
  </si>
  <si>
    <t>En uke eller mer</t>
  </si>
  <si>
    <t>Til neste arbeidsdag</t>
  </si>
  <si>
    <t>Innen samme arbeidsdag</t>
  </si>
  <si>
    <t>Under en time</t>
  </si>
  <si>
    <t>Så raskt at brukere ikke merker det</t>
  </si>
  <si>
    <t>Øyeblikkelig men bare for kritiske funksjoner</t>
  </si>
  <si>
    <t>8.1.6</t>
  </si>
  <si>
    <t>Gir dere noen økonomiske garantier for betydelige brudd?</t>
  </si>
  <si>
    <t>8.1.7</t>
  </si>
  <si>
    <t>Er roller, ansvar og kommunikasjonslinjer i virksomheten, mot samarbeidspartnere og kommunen klart definerte?</t>
  </si>
  <si>
    <t>Bare roller</t>
  </si>
  <si>
    <t xml:space="preserve">Bare kommunikasjonslinjer </t>
  </si>
  <si>
    <t>8.1.8</t>
  </si>
  <si>
    <t>Er det aktuelt å delta i kommunale samvirkeøvelser?</t>
  </si>
  <si>
    <t>Ja dette kan vi vurdere å gjøre vederlagsfritt</t>
  </si>
  <si>
    <t>Ja men vi vil da normalt ha dekket kostnader</t>
  </si>
  <si>
    <t>8.1.9</t>
  </si>
  <si>
    <t>Er det aktuelt å delta i kommunens ROS arbeid?</t>
  </si>
  <si>
    <t>8.1.10</t>
  </si>
  <si>
    <t xml:space="preserve">Benytter leverandør proaktiv tenkning og metodikk i sin håndtering av hendelser og beredskapssituasjoner? </t>
  </si>
  <si>
    <t>9.1</t>
  </si>
  <si>
    <t>Utstyr og ressurser involvert i leveransen</t>
  </si>
  <si>
    <t>9.1.1</t>
  </si>
  <si>
    <t>Er det utarbeidet en oversikt over enheter og programvare godkjent for bruk hos leverandør for bruk i leveransen?</t>
  </si>
  <si>
    <t>Brukes ikke</t>
  </si>
  <si>
    <t>Ufullstendig</t>
  </si>
  <si>
    <t>9.1.2</t>
  </si>
  <si>
    <t>Er kritiske roller for leveransen kartlagt og gjort kjent?</t>
  </si>
  <si>
    <t>Kritiske roller</t>
  </si>
  <si>
    <t>Litt</t>
  </si>
  <si>
    <t>9.1.3</t>
  </si>
  <si>
    <t>Er det en prosess for sikring av eventuelt utstyr involvert i leveransen?</t>
  </si>
  <si>
    <t>Prosess og verifisering av etterlevelse</t>
  </si>
  <si>
    <t>Prosess men ikke verifisering av etterlevelse</t>
  </si>
  <si>
    <t>9.2</t>
  </si>
  <si>
    <t>9.2.1</t>
  </si>
  <si>
    <t>Foreligger det en prosess for å kartlegge enheter og programvare i virksomheten relevante for leveransen?</t>
  </si>
  <si>
    <t>9.3</t>
  </si>
  <si>
    <t>Avhending av utstyr</t>
  </si>
  <si>
    <t>9.3.1</t>
  </si>
  <si>
    <t>Finnes det en prosess for avhending av utstyr, som inkluderer sletting av medier og backupmedier som benyttes i løsningen?</t>
  </si>
  <si>
    <t>9.3.2</t>
  </si>
  <si>
    <t>Hvilke tiltak er iverksatt for å sikre av at avhendingsprosessen etterleves?</t>
  </si>
  <si>
    <t>Dokumentert etterfulgt og  kontrollert</t>
  </si>
  <si>
    <t>Dokumentert og etterfulgt</t>
  </si>
  <si>
    <t>Ingen tiltak</t>
  </si>
  <si>
    <t>10.1</t>
  </si>
  <si>
    <t>Prosess for tilgangsstyring for løsningen</t>
  </si>
  <si>
    <t>10.1.1</t>
  </si>
  <si>
    <t>Har leverandør en dokumentert prosess for tilgangsstyring, herunder oppretting, endring og sletting av brukere for løsningen?</t>
  </si>
  <si>
    <t>Ja men kontrolleres ikke</t>
  </si>
  <si>
    <t>10.2</t>
  </si>
  <si>
    <t>Tilgangskontroll for løsningen - gjelder for leverandøren</t>
  </si>
  <si>
    <t>10.2.1</t>
  </si>
  <si>
    <t>Er det etablert en formell prosess for administrasjon av kontoer, tilganger og rettigheter for løsningen?</t>
  </si>
  <si>
    <t>10.2.2</t>
  </si>
  <si>
    <t>Er det rollebasert tilgangsstyring for tjenesten?</t>
  </si>
  <si>
    <t>Ja og vi støtter eksisterende autentiseringsløsninger</t>
  </si>
  <si>
    <t>10.2.3</t>
  </si>
  <si>
    <t>Er alle registrerte brukere i tjenesten unike og personlige?</t>
  </si>
  <si>
    <t>Ja men ikke kontrollert</t>
  </si>
  <si>
    <t>10.2.4</t>
  </si>
  <si>
    <t>Kan kontoer spores til en ansvarlig bruker (også upersonlige kontoer uten personnavn)?</t>
  </si>
  <si>
    <t>Manuelt</t>
  </si>
  <si>
    <t>10.2.5</t>
  </si>
  <si>
    <t>Revideres kontoer, tilganger og rettigheter jevnlig? Dette gjelder spesielt kontoer, tilganger og rettigheter for drift og spesialbrukere.</t>
  </si>
  <si>
    <t xml:space="preserve">Automatisert </t>
  </si>
  <si>
    <t>Usystematisk</t>
  </si>
  <si>
    <t>10.3</t>
  </si>
  <si>
    <t>Autentisering mot løsningen</t>
  </si>
  <si>
    <t>10.3.1</t>
  </si>
  <si>
    <t>Benyttes autentisering når tjenesten tilbys over Internett?</t>
  </si>
  <si>
    <t>Sterk</t>
  </si>
  <si>
    <t>Blandet</t>
  </si>
  <si>
    <t>Enkel</t>
  </si>
  <si>
    <t>10.3.2</t>
  </si>
  <si>
    <t>Benyttes flerfaktor autentisering?</t>
  </si>
  <si>
    <t>Alltid påkrevd</t>
  </si>
  <si>
    <t>Om nødvendig</t>
  </si>
  <si>
    <t>10.3.3</t>
  </si>
  <si>
    <t>Støtter løsningen integrasjon med kommunens single-sign-on løsning for tilgangsstyring?</t>
  </si>
  <si>
    <t>Ja med phishing resistens</t>
  </si>
  <si>
    <t xml:space="preserve">Ja med støtte for tofaktor </t>
  </si>
  <si>
    <t>Ja men uten tofaktor</t>
  </si>
  <si>
    <t>10.3.4</t>
  </si>
  <si>
    <t>Hvordan er løsningen beskyttet mot uautorisert tilgang av driftspersonale eller noen med systemtilgang til løsningen?</t>
  </si>
  <si>
    <t>MFA og datakryptering</t>
  </si>
  <si>
    <t>MFA med tilgangsforhøying</t>
  </si>
  <si>
    <t>MFA og strenge tilgangskontroller</t>
  </si>
  <si>
    <t>Bare passordbeskyttelse</t>
  </si>
  <si>
    <t>Ingen beskyttelsestiltak</t>
  </si>
  <si>
    <t>10.3.5</t>
  </si>
  <si>
    <t>Har leverandøren evnen til å oppdage og varsle om unormal eller mistenkelig brukeraktivitet?</t>
  </si>
  <si>
    <t>Omfattende overvåking og varsling</t>
  </si>
  <si>
    <t>Grunnleggende automatisert varsling</t>
  </si>
  <si>
    <t>Varsling for store avvik</t>
  </si>
  <si>
    <t>Ingen oppdagelse eller varsling</t>
  </si>
  <si>
    <t>11.1</t>
  </si>
  <si>
    <t>11.1.1</t>
  </si>
  <si>
    <t>Har leverandør en dokumentert prosess for bruk av kryptografiske kontroller, og håndtering av kryptografiske nøkler?</t>
  </si>
  <si>
    <t>Automatisert</t>
  </si>
  <si>
    <t xml:space="preserve">Ingen </t>
  </si>
  <si>
    <t>11.2</t>
  </si>
  <si>
    <t>11.2.1</t>
  </si>
  <si>
    <t>Benytter leverandør implemenert kryptografiske tiltak for "data i ro"?</t>
  </si>
  <si>
    <t>11.2.2</t>
  </si>
  <si>
    <t>Benytter leverandør mekanismer for å  beskytte data-under-transport?</t>
  </si>
  <si>
    <t>Ikke dokumentert</t>
  </si>
  <si>
    <t>11.2.3</t>
  </si>
  <si>
    <t>Hva slags kryptering blir brukt under transport?</t>
  </si>
  <si>
    <t>Brukernavn og passord</t>
  </si>
  <si>
    <t>Enveis autentisering</t>
  </si>
  <si>
    <t>Toveis autentisert</t>
  </si>
  <si>
    <t>12.1</t>
  </si>
  <si>
    <t>Datarom</t>
  </si>
  <si>
    <t>12.1.1</t>
  </si>
  <si>
    <t>Finnes det prosesser for sikring av datarom, f.eks. adgangskontroll, brannsikring, ventilasjon og redundant strømforsyning?</t>
  </si>
  <si>
    <t>Fullstendig dokumentert sikring</t>
  </si>
  <si>
    <t xml:space="preserve">Fullstendig sikring </t>
  </si>
  <si>
    <t>Grunnleggende sikring</t>
  </si>
  <si>
    <t>12.1.2</t>
  </si>
  <si>
    <t>Hvor ofte gjennomføres det beredskapsøvelser f.eks. i forhold bortfall av strømforsyning, brann, ventilasjon og kjøleanlegg?</t>
  </si>
  <si>
    <t>Regelmessig og systematisk</t>
  </si>
  <si>
    <t>Gjennomføres ikke</t>
  </si>
  <si>
    <t>12.1.3</t>
  </si>
  <si>
    <t>Hvor lenge kan strømmen være borte før systemene går ned? (oppetid UPS)</t>
  </si>
  <si>
    <t>Potensielt dager</t>
  </si>
  <si>
    <t xml:space="preserve">Langvarig drift </t>
  </si>
  <si>
    <t>Kortvarig drift</t>
  </si>
  <si>
    <t>12.1.4</t>
  </si>
  <si>
    <t>Er samtlige av systemene oppe ved korte strømbrudd?</t>
  </si>
  <si>
    <t xml:space="preserve">Alle </t>
  </si>
  <si>
    <t>Predefinerte</t>
  </si>
  <si>
    <t>12.1.5</t>
  </si>
  <si>
    <t>Er det redundante nettverksforbindelser?</t>
  </si>
  <si>
    <t>13.1</t>
  </si>
  <si>
    <t>Hendelser</t>
  </si>
  <si>
    <t>13.1.1</t>
  </si>
  <si>
    <t>Har leverandøren et dedikert team for håndtering av hendelser i drift?</t>
  </si>
  <si>
    <t>Ad-hoc</t>
  </si>
  <si>
    <t>Ja med arbeidsflyt</t>
  </si>
  <si>
    <t>Ja med ansvar og rollebeskrivelse</t>
  </si>
  <si>
    <t>13.2</t>
  </si>
  <si>
    <t>Personell og kompetanse</t>
  </si>
  <si>
    <t>13.2.1</t>
  </si>
  <si>
    <t>Finnes det dokumentasjon på om ansatte som skal være involvert i  tjenesteleveranser til kommunen får løftet kompetansen sin jevnlig?</t>
  </si>
  <si>
    <t>13.3</t>
  </si>
  <si>
    <t>13.3.1</t>
  </si>
  <si>
    <t>Har leverandør en dokumentert prosess for endringshåndtering, som sikrer at kommunen blir varslet ved eventuelle endringer og/eller vedlikehold av løsning som krever nedetid?</t>
  </si>
  <si>
    <t>Proaktiv varsling</t>
  </si>
  <si>
    <t>Reaktiv varsling</t>
  </si>
  <si>
    <t>13.3.2</t>
  </si>
  <si>
    <t>Finnes det prosess for sikkerhetsoppdateringer?</t>
  </si>
  <si>
    <t>13.4</t>
  </si>
  <si>
    <t>13.4.1</t>
  </si>
  <si>
    <t>Har leverandør skal en dokumentert prosedyre for testing av endringer i tjenesten, samt overføring av endringer fra testmiljø til produksjonsmiljø?</t>
  </si>
  <si>
    <t>13.4.2</t>
  </si>
  <si>
    <t>Er leverandørens testmiljø atskilt fra produksjonsmiljøet?</t>
  </si>
  <si>
    <t>Bare logisk separasjon</t>
  </si>
  <si>
    <t>13.4.3</t>
  </si>
  <si>
    <t>Vil det benyttes reelle produksjonsdata i testmiljø?</t>
  </si>
  <si>
    <t>Anonymisert</t>
  </si>
  <si>
    <t>13.5</t>
  </si>
  <si>
    <t>13.5.1</t>
  </si>
  <si>
    <t>Er kommunens data adskilt fra andre kunders data? I så fall hvordan er kunder skilt fra hverandre?</t>
  </si>
  <si>
    <t>Fysisk isolasjon</t>
  </si>
  <si>
    <t xml:space="preserve">Logisk isolasjon </t>
  </si>
  <si>
    <t>Ikke isolert</t>
  </si>
  <si>
    <t>Ikke relevant / installert hos kunde</t>
  </si>
  <si>
    <t>13.5.2</t>
  </si>
  <si>
    <t>Er leverandørens driftsplattform for kommunen adskilt fra andre kunder? I så fall hvordan?</t>
  </si>
  <si>
    <t>Fullstendig adskilt</t>
  </si>
  <si>
    <t>Virtuelt adskilt</t>
  </si>
  <si>
    <t>Logisk isolert</t>
  </si>
  <si>
    <t>13.6</t>
  </si>
  <si>
    <t>13.6.1</t>
  </si>
  <si>
    <t>Finnes det en dokumentert prosess for kapasitetsstyring?</t>
  </si>
  <si>
    <t>13.6.2</t>
  </si>
  <si>
    <t>Sikrer denne tilgjengelighet på tjenesten ved varierende behov?</t>
  </si>
  <si>
    <t>Automatisk skalering</t>
  </si>
  <si>
    <t>Manuell skalering.</t>
  </si>
  <si>
    <t>13.7</t>
  </si>
  <si>
    <t>13.7.1</t>
  </si>
  <si>
    <t>Har leverandør en dokumentert prosess for sikkerhetskopiering?</t>
  </si>
  <si>
    <t>Kommunens ansvar</t>
  </si>
  <si>
    <t>13.7.2</t>
  </si>
  <si>
    <t>Kan kommunen eksportere og ta sikkerhetskopi av egne data?</t>
  </si>
  <si>
    <t>Ja maskin- og menneskelesbart</t>
  </si>
  <si>
    <t>Ja maskinlesbart</t>
  </si>
  <si>
    <t>Nei men leverandøren tar ansvar</t>
  </si>
  <si>
    <t>Nei installert hos kommunen</t>
  </si>
  <si>
    <t>Nei ikke nødvendig</t>
  </si>
  <si>
    <t>13.7.3</t>
  </si>
  <si>
    <t>Verifisere leverandøren innholdet i sikkerhetskopier?</t>
  </si>
  <si>
    <t>Automatisk</t>
  </si>
  <si>
    <t>13.7.4</t>
  </si>
  <si>
    <t>Testes gjenoppretting av data for å verifisere kvaliteten på sikkerhetskopiene? Hvor ofte?</t>
  </si>
  <si>
    <t>Månedlig</t>
  </si>
  <si>
    <t>Kvartalsvis</t>
  </si>
  <si>
    <t>Årlig</t>
  </si>
  <si>
    <t>13.7.5</t>
  </si>
  <si>
    <t>Oppbevares sikkerhetskopier fysisk eller logisk atskilt fra produksjonsmiljøet?</t>
  </si>
  <si>
    <t>Fysisk adskilt på annen lokasjon</t>
  </si>
  <si>
    <t>Fysisk adskilt</t>
  </si>
  <si>
    <t>Logisk adskilt</t>
  </si>
  <si>
    <t>Samme lokasjon</t>
  </si>
  <si>
    <t>13.7.6</t>
  </si>
  <si>
    <t>Kan sikkerhetskopien ødelegges fra produksjonsmiljøet?</t>
  </si>
  <si>
    <t>Nei separat</t>
  </si>
  <si>
    <t>Krever godkjenning</t>
  </si>
  <si>
    <t>Nei andre tiltak</t>
  </si>
  <si>
    <t>13.8</t>
  </si>
  <si>
    <t>Overvåkning</t>
  </si>
  <si>
    <t>13.8.1</t>
  </si>
  <si>
    <t>Er det fastsatt strategi og retningslinjer for sikkerhetsovervåkning?</t>
  </si>
  <si>
    <t>13.8.2</t>
  </si>
  <si>
    <t>Har leverandør overvåking av plattformen, tjenesten, dataoverføringer og grensesnitt?</t>
  </si>
  <si>
    <t xml:space="preserve">Omfattende </t>
  </si>
  <si>
    <t>Kritiske komponenter</t>
  </si>
  <si>
    <t>Bare tilrettelagt</t>
  </si>
  <si>
    <t>13.8.3</t>
  </si>
  <si>
    <t>Er overvåkning systematisk, og overvåkes hele verdikjeden til tjenesten?</t>
  </si>
  <si>
    <t>Komplett</t>
  </si>
  <si>
    <t>Deler</t>
  </si>
  <si>
    <t>Tilfeldig og ufullstendig.</t>
  </si>
  <si>
    <t>13.8.4</t>
  </si>
  <si>
    <t>Finnes det avtaler, kommandolinjer, mot eksterne parter for å håndtere sikkerhetsbrudd?</t>
  </si>
  <si>
    <t>13.8.5</t>
  </si>
  <si>
    <t>Gjennomføres det jevnlig manuell eller automatisk sårbarhetskartlegging av komponentene som inngår i leveransen?</t>
  </si>
  <si>
    <t>Manuell</t>
  </si>
  <si>
    <t>Ikke nødvendig</t>
  </si>
  <si>
    <t>13.8.6</t>
  </si>
  <si>
    <t>Abonneres det på tjenester relatert til sårbarhetsetterretning?</t>
  </si>
  <si>
    <t>13.8.7</t>
  </si>
  <si>
    <t>Benyttes det automatisert og sentralisert verktøy for å håndtere kjente trusler (som skadevare) i løsningen?</t>
  </si>
  <si>
    <t>13.9</t>
  </si>
  <si>
    <t>13.9.1</t>
  </si>
  <si>
    <t>Logges alle forsøk på autorisert og uautorisert tilgang til tjenestene?</t>
  </si>
  <si>
    <t>Alltid</t>
  </si>
  <si>
    <t>Lokalt</t>
  </si>
  <si>
    <t>Uautoriserte forsøk</t>
  </si>
  <si>
    <t>Ikke systematisk</t>
  </si>
  <si>
    <t>13.9.2</t>
  </si>
  <si>
    <t>Logges det hvem som aksesserte data, når data ble aksessert, hvilke data som ble aksessert, samt hvilke endringer som ble foretatt?</t>
  </si>
  <si>
    <t>13.9.3</t>
  </si>
  <si>
    <t>Logges forsøk på innsyn?</t>
  </si>
  <si>
    <t>Alle</t>
  </si>
  <si>
    <t>13.10</t>
  </si>
  <si>
    <t>13.10.1</t>
  </si>
  <si>
    <t>Har leverandør en dokumentert prosess for sikkerhetsoppdateringer som dekker alle komponenter i tjenesten og plattformen?</t>
  </si>
  <si>
    <t>13.10.2</t>
  </si>
  <si>
    <t>Hvordan sikres det at prosessen følges?</t>
  </si>
  <si>
    <t>Manuelle gjennomganger og overvåkning</t>
  </si>
  <si>
    <t>Sjekkliste og oppfølging</t>
  </si>
  <si>
    <t>13.10.3</t>
  </si>
  <si>
    <t>Testes sikkerhetsoppdateringene i testmiljø før de implementeres? (Hvis det gjøres utvikling)</t>
  </si>
  <si>
    <t>13.10.4</t>
  </si>
  <si>
    <t>Hva er vanlig ledetid fra sikkerhetsoppdateringer kommer til de er implementert?</t>
  </si>
  <si>
    <t>Mindre enn 24 timer fra utgivelse</t>
  </si>
  <si>
    <t>1-3 dager fra utgivelse</t>
  </si>
  <si>
    <t>Mer enn 3 dager fra utgivelse</t>
  </si>
  <si>
    <t>13.11</t>
  </si>
  <si>
    <t>13.11.1</t>
  </si>
  <si>
    <t>Hvor ofte sikkerhetstestes plattform og tjenester?</t>
  </si>
  <si>
    <t>Automatisk og kontinuerlig</t>
  </si>
  <si>
    <t>Etter hver større oppdatering</t>
  </si>
  <si>
    <t>Ikke planlagt</t>
  </si>
  <si>
    <t>13.11.2</t>
  </si>
  <si>
    <t>Hvilke deler av plattformen eller tjenestene fokuseres det på i sikkerhetstesten?</t>
  </si>
  <si>
    <t>Hele systemet</t>
  </si>
  <si>
    <t>Tilfeldig utvalgte deler</t>
  </si>
  <si>
    <t>13.11.3</t>
  </si>
  <si>
    <t>Gjennomføres det kontinuerlige automatiske sikkerhetstester?</t>
  </si>
  <si>
    <t>Kontinuerlig og automatisert</t>
  </si>
  <si>
    <t>Periodisk og automatisert</t>
  </si>
  <si>
    <t>Periodisk og manuelt</t>
  </si>
  <si>
    <t>13.11.4</t>
  </si>
  <si>
    <t>Hvordan følges resultatene i sikkerhetstesten opp?</t>
  </si>
  <si>
    <t>Funn deles med kommunene</t>
  </si>
  <si>
    <t>Funn adresseres innen en fastsatt tidsramme.</t>
  </si>
  <si>
    <t>Funn diskuteres i regelmessige sikkerhetsmøter hvor tiltak avgjøres.</t>
  </si>
  <si>
    <t>Oppfølging og implementering av tiltak håndteres av et dedikert team</t>
  </si>
  <si>
    <t>Resultatene loggføres men ingen systematisk gjennomgang</t>
  </si>
  <si>
    <t>Vi har ikke en standard prosess for oppfølging av tester.</t>
  </si>
  <si>
    <t>13.11.5</t>
  </si>
  <si>
    <t>Gjennomfører leverandøren penetrasjonstesting?</t>
  </si>
  <si>
    <t>Regelmessig og omfattende testing</t>
  </si>
  <si>
    <t>Periodisk og målrettet testing</t>
  </si>
  <si>
    <t>Tester ved store endringer eller oppdateringer</t>
  </si>
  <si>
    <t>Sjelden eller ved spesielle hendelser</t>
  </si>
  <si>
    <t>Ingen penetrasjonstesting</t>
  </si>
  <si>
    <t>14.1</t>
  </si>
  <si>
    <t>Konfigurasjon og modellering</t>
  </si>
  <si>
    <t>14.1.1</t>
  </si>
  <si>
    <t xml:space="preserve">Benyttes Zero-trust modellens grunnprinsipper i leveransen/løsningen? </t>
  </si>
  <si>
    <t>14.1.2</t>
  </si>
  <si>
    <t>Har leverandøren utarbeidet teknisk beskrivelse av løsningen, inkludert dataflyt?</t>
  </si>
  <si>
    <t>Arkitekturen</t>
  </si>
  <si>
    <t>Noe</t>
  </si>
  <si>
    <t>14.1.3</t>
  </si>
  <si>
    <t xml:space="preserve">Har leverandøren sikret grensesnitt for nettjenester (web, APIer, endepunkter) mot uautorisert tilgang for løsningen? </t>
  </si>
  <si>
    <t>Mange</t>
  </si>
  <si>
    <t>14.1.4</t>
  </si>
  <si>
    <t>Forekommer datatrafikk i klartekst?</t>
  </si>
  <si>
    <t>Internt</t>
  </si>
  <si>
    <t>14.1.5</t>
  </si>
  <si>
    <t>Er tjeneste beskyttet mot tjenestenektangrep?</t>
  </si>
  <si>
    <t>15.1</t>
  </si>
  <si>
    <t>Samsvar og taushetserklæring</t>
  </si>
  <si>
    <t>True if all checkboxes missing</t>
  </si>
  <si>
    <t>15.1.1</t>
  </si>
  <si>
    <t>Hvordan sikrer leverandør at alle leveranser til kommunen skjer i henhold til gjeldende lovverk?</t>
  </si>
  <si>
    <t>Internkontroll</t>
  </si>
  <si>
    <t>Stikkprøver</t>
  </si>
  <si>
    <t xml:space="preserve">Ansattopplæring </t>
  </si>
  <si>
    <t>16.1</t>
  </si>
  <si>
    <t>Krav til dokumentasjon av løsningen</t>
  </si>
  <si>
    <t>16.1.1</t>
  </si>
  <si>
    <t>Finnes det teknisk arkitekturtegning av løsningen?</t>
  </si>
  <si>
    <t xml:space="preserve">1) Alle komponenter i løsningen inkludert brukere. </t>
  </si>
  <si>
    <t xml:space="preserve">2) Alle kommunikasjonslenker mellom all komponenter skal være tegnet inn som linjer. </t>
  </si>
  <si>
    <t xml:space="preserve">3)Kommunikasjonslinker som er krypterte skal tegnes svart mens ukrypterte skal tegnes rød. </t>
  </si>
  <si>
    <t>4) Hver kommunikasjonslenke skal inneholde informasjon om protokoll og port samt eventuelle lag av beskyttelse.</t>
  </si>
  <si>
    <t>5) Ansvar for komponenter skal fargekodes.</t>
  </si>
  <si>
    <t>6) Komponenters lokasjon (fysisk eller virtuell) inkludert soner skal tegnes inn.</t>
  </si>
  <si>
    <t>7) Teknisk arkitektur-tegning skal inneholde en forklaring (i tegningen) av alle symboler og fargekodinger brukt.</t>
  </si>
  <si>
    <t>16.1.2</t>
  </si>
  <si>
    <t>Er det laget en forståelig beskrivelse av hvordan tjenesten fungerer?</t>
  </si>
  <si>
    <t>1) Alle sentrale faser i løsningen er tegnet inn.</t>
  </si>
  <si>
    <t>2) Relevante komponenter for meldingsflyten er tegnet inn.</t>
  </si>
  <si>
    <t>3) Sekvensen av alle hendelser er tegnet inn.</t>
  </si>
  <si>
    <t>4) Hver hendelse /meldi</t>
  </si>
  <si>
    <t>16.1.3</t>
  </si>
  <si>
    <t>Er det utført en sikkerhetsrevisjon av den tilbudte løsningen, og blir denne delt med kommunen?</t>
  </si>
  <si>
    <t>Kan deles</t>
  </si>
  <si>
    <t>Kan deles under NDA</t>
  </si>
  <si>
    <t>Kan ikke deles</t>
  </si>
  <si>
    <t>Ikke utført</t>
  </si>
  <si>
    <t>Analyse av leverandør</t>
  </si>
  <si>
    <t>Anbudsprosess for</t>
  </si>
  <si>
    <t xml:space="preserve">Vurdering av </t>
  </si>
  <si>
    <t>Leverandørens tilholdssted</t>
  </si>
  <si>
    <t>Antall ansatte</t>
  </si>
  <si>
    <t>Dette arket analyserer leverandøren alene, uten å ta hensyn til krav fra kommunen.</t>
  </si>
  <si>
    <t>Land tjenesten leveres fra</t>
  </si>
  <si>
    <t>Merk at siden spørsmålene er generelle så er dette en generell analyse.</t>
  </si>
  <si>
    <t>Hvordan tjenesten leveres</t>
  </si>
  <si>
    <t>Den tar derfor ikke hensyn til at sikkerhetskrav til ulike løsninger også vil være ulike.</t>
  </si>
  <si>
    <t>Lokasjon hvor data lagres</t>
  </si>
  <si>
    <t>Men, skjemaet kan fungere som sammenligningsgrunnlag mellom flere leverandører,</t>
  </si>
  <si>
    <t>Er tjenesten utviklet av leverandør</t>
  </si>
  <si>
    <t>og kan hjelpe til med å avgjøre om en leverandør tilfredsstiller minstekrav.</t>
  </si>
  <si>
    <t>Driftsansvarlig</t>
  </si>
  <si>
    <t>Om kundestøtte gjøres fra Norge</t>
  </si>
  <si>
    <t>Overordnet leverandørmodenhet</t>
  </si>
  <si>
    <t>Total skåre for leverandørmodenhet</t>
  </si>
  <si>
    <t>Sikkerhetsstyring: Sertifisering</t>
  </si>
  <si>
    <t>Grad av sertifisering</t>
  </si>
  <si>
    <t>Sikkerhetsstyring: Styringssystem</t>
  </si>
  <si>
    <t>Vurdering av implementering av styringssystem</t>
  </si>
  <si>
    <t>Kontroll av utstyr</t>
  </si>
  <si>
    <t>Organisering av sikkerhetsorganisasjon</t>
  </si>
  <si>
    <t>Vurdering av organisatorisk struktur for sikkerhet (e.g. om personer og roller finnes)</t>
  </si>
  <si>
    <t>Kontroll av leverandører</t>
  </si>
  <si>
    <t>Overordnet kontroll på leverandører</t>
  </si>
  <si>
    <t>Oversikt og grad av avtaler med underleverandører</t>
  </si>
  <si>
    <t>Overordnet leveransesikkerhet</t>
  </si>
  <si>
    <t>Total skåre for leveransesikkerhet</t>
  </si>
  <si>
    <t>Risikostyring</t>
  </si>
  <si>
    <t>Evaluering av hvordan organisasjonen identifiserer, vurderer og håndterer sikkerhetsrisikoer i løsningen som skal leveres</t>
  </si>
  <si>
    <t>Måling av prosesser og standarder for utvikling av løsningen</t>
  </si>
  <si>
    <t>Vurdering av hvordan organisasjonen vedlikeholder og oppdaterer systemene sine</t>
  </si>
  <si>
    <t>Bedømmelse av effektiviteten i organisasjonens håndtering av sikkerhets- og driftrelaterte hendelser</t>
  </si>
  <si>
    <t>Evaluering av organisasjonens evne til å opprettholde operasjoner under kriser eller avbrudd</t>
  </si>
  <si>
    <t>Kontroll av utstyr i leveransen</t>
  </si>
  <si>
    <t>Vurdering av hvordan organisasjonen forvalter fysisk utstyr involvert i leveransen</t>
  </si>
  <si>
    <t>Prosess tilgangsstyring og tilgangskontroll</t>
  </si>
  <si>
    <t>Måling av prosesser for tildeling og administrasjon av brukertilganger i leveransen</t>
  </si>
  <si>
    <t>Evaluering av kontroller for å sikre autorisert tilgang til systemer og data. Merk at denne vurderingen er streng og foretrekker tofaktor.</t>
  </si>
  <si>
    <t>Kryptografiske kontroller og tiltak</t>
  </si>
  <si>
    <t>Vurdering av hvordan og i hvilken grad kryptografi brukes for å sikre data lagret på servere og ved overføring</t>
  </si>
  <si>
    <t>Bedømmelse av tiltak for å beskytte fysiske lokasjoner og utstyr, som serverrom</t>
  </si>
  <si>
    <t>Driftssikkerhet</t>
  </si>
  <si>
    <t>Vurdering av stabilitet og pålitelighet</t>
  </si>
  <si>
    <t>Evaluering av prosedyrer for å administrere endringer i systemene involvert i leveransen</t>
  </si>
  <si>
    <t>Prosess for endringer og sikkerhetsoppdateringer som kommunen må informeres om</t>
  </si>
  <si>
    <t>I hvilken grad nye endringer testes i et eget miljø før de settes i produksjon</t>
  </si>
  <si>
    <t>Bedømmelse av tiltak for å holde data adskilt og beskyttet.</t>
  </si>
  <si>
    <t>Skalering av kapasitet ved behov, både manuelt og automatisk</t>
  </si>
  <si>
    <t>Evaluering av prosedyrer og metoder for sikkerhetskopiering av data</t>
  </si>
  <si>
    <t>Vurdering av overvåkningsmetoder og -verktøy for å identifisere og reagere på sikkerhetstrusler mot løsningen</t>
  </si>
  <si>
    <t>Vurdering av systemer for loggføring</t>
  </si>
  <si>
    <t>Evaluering av rutiner for sikkerhetsoppdatering av løsningen</t>
  </si>
  <si>
    <t>Bedømmelse av rutiner og metoder for å teste sikkerheten i løsningen</t>
  </si>
  <si>
    <t>Kryptering av kommunikasjon</t>
  </si>
  <si>
    <t>Vurdering av tiltak for å sikre sikker kommunikasjon</t>
  </si>
  <si>
    <t>Samsvar med lover og regler</t>
  </si>
  <si>
    <t>Antall metoder brukt for sikring av at løsningen følger lover og regler kommunen må følge (0-3)</t>
  </si>
  <si>
    <t>Måling av fullstendighet på dokumentasjonen</t>
  </si>
  <si>
    <t>Analyse av røde flagg</t>
  </si>
  <si>
    <r>
      <t xml:space="preserve">Det kan være fornuftig å vurdere avvik markert med </t>
    </r>
    <r>
      <rPr>
        <b/>
        <sz val="10"/>
        <color theme="6"/>
        <rFont val="Arial"/>
        <family val="2"/>
      </rPr>
      <t>rødt</t>
    </r>
    <r>
      <rPr>
        <sz val="10"/>
        <rFont val="Arial"/>
        <family val="2"/>
      </rPr>
      <t xml:space="preserve"> i listen under nøye. Noen av disse er logiske brister i tilbudet, andre er enkeltpunkt som kan kreve grundigere oppfølging.</t>
    </r>
  </si>
  <si>
    <t>Liten organisasjon men eget 24/7 team for sikkerhet (LIS03 og 7.1.2)</t>
  </si>
  <si>
    <t>Å ha et sikkerhetsteam som jobber 24 timer i døgnet 7 dager i uken vil normalt kreve en driftsorganisasjon som er større enn 10 personer. Et mulig unntak her er om det eneste leverandøren gjør er overvåking.</t>
  </si>
  <si>
    <t>Zero-trust men ikke flerfaktor autentisering (MFA) (14.1.1 og 10.3.2)</t>
  </si>
  <si>
    <t>Å alltid bruke Flerfaktor autentisering (MFA) er absolutt nødvendig for å kunne implementere en zero-trust basert arkitektur.</t>
  </si>
  <si>
    <t>Driftspersonale for løsningen er i utlandet (LIS10) men løsning er installert hos kommunen (LIS7)</t>
  </si>
  <si>
    <t>Dette behøver ikke være noe problem, men det er viktig å være bevisst på at personalet som skal drifte løsningen ikke befinner seg i Norge</t>
  </si>
  <si>
    <t>Kunstig intelligens (AI) vil bli brukt i løsningen (5.1.8)</t>
  </si>
  <si>
    <t>Bruk av kunstig intelligens kan medføre utfordringer rundt personvern og hvordan beslutninger tas, så det vil være behov for å sette seg nøye inn i hvordan KI faktisk brukes for leveransen.</t>
  </si>
  <si>
    <t>Utvikling av løsningen tar ikke hensyn til kommunens ønsker (6.2.6)</t>
  </si>
  <si>
    <t>Dette er ikke nødvendigvis et problem, men for mange typer løsninger er det fornuftig om kommunens ønsker blir tatt hensyn til i for videre utvikling.</t>
  </si>
  <si>
    <t>Lav grad av separasjon (13.5) mellom kunder</t>
  </si>
  <si>
    <t>Om det er lav grad av separasjon mellom kunder så kan et problem som en kunde får "smitte" til en annen kunde. Dette er mest kritisk om sensitive data behandles.</t>
  </si>
  <si>
    <t>Sikkerhetskopi kan ødelegges fra produksjonsmiljø (13.7.6) og drift gjøres av leverandør (LIS05)</t>
  </si>
  <si>
    <t>De siste årene har det vær flere tilfeller av "randsomware angrep" i Norge. I slike angrep vil gjerne servere krypteres, inklusiv backup-servere. For å unngå dette må sikkerhetskopi lagres separat.</t>
  </si>
  <si>
    <t>All datatrafikk er kryptert (11.2.2) og datatrafikk går i klartekst (14.1.4) samtidig</t>
  </si>
  <si>
    <t>Dette er i praksis umulig.</t>
  </si>
  <si>
    <t>Samsvar kritikalitet og leveransesikkerhet</t>
  </si>
  <si>
    <t>Krav fra kommune</t>
  </si>
  <si>
    <t>Tilbud fra leverandør</t>
  </si>
  <si>
    <t>Overordnet krav til robusthet</t>
  </si>
  <si>
    <t>Krav til konfidensialitet</t>
  </si>
  <si>
    <t>Krav til integritet</t>
  </si>
  <si>
    <t>Krav til tilgjengelighet</t>
  </si>
  <si>
    <t>Nivå på kundestøtte</t>
  </si>
  <si>
    <t>Sikring av personsensitive data</t>
  </si>
  <si>
    <t>Sikring av kommunesensitive data</t>
  </si>
  <si>
    <t>Krav til sporing</t>
  </si>
  <si>
    <t>Tilgangskontroll og autentisering</t>
  </si>
  <si>
    <t>Krav til integrasjon vs dokumentasjon fra leverandør*</t>
  </si>
  <si>
    <t>*: Om løsningen skal integreres med mange systemer stiller dette krav til dokumentasjon tilgjengelig fra leverandør for hvordan løsningen fungerer.</t>
  </si>
  <si>
    <t xml:space="preserve">Konkrete avvik </t>
  </si>
  <si>
    <t>Avvik markert med rødt i listen under bør vurderes nøyere</t>
  </si>
  <si>
    <t>Mange underleverandører (LIS09) og kritisk løsning</t>
  </si>
  <si>
    <t>Systemet er vurdert som kritisk av kommunen, men leverandørens tilbud bruker har mange underleverandører</t>
  </si>
  <si>
    <t>Manglende databehandleravtaler med underleverandører (4.1.4) og personsensitive data (K6)</t>
  </si>
  <si>
    <t>Leverandøren har oppgitt at de ikke har tilstrekkelige databehandleravtaler, og løsningen vil behandle personsensitive data. Dette kan være veldig problematisk.</t>
  </si>
  <si>
    <t>Mangler i sikkerhetsorganisasjon (2.1) men kritisk løsning</t>
  </si>
  <si>
    <t>Det mangler en definert sikkerhetsorganisasjon, samtidig er løsningen fra kommunen vurdert som kritisk.</t>
  </si>
  <si>
    <t>Krav til integrasjon (MK16, MK17) men mangler i dokumentasjon (16.1)</t>
  </si>
  <si>
    <t>Leverandøren har ikke tilstrekkelig dokumentasjon, men systemet vil integreres med mange systemer hos kommunen. Dette kan være problematisk og skape ekstra kostnader.</t>
  </si>
  <si>
    <t>Manglende overensstemmelse med krav til universell utforming (LIS14) og bruk av kommunens innbyggere (MK9)</t>
  </si>
  <si>
    <t>Universell utforming gjør at tjenester er tilgjengelig for alle, uavhengig av alder og funksjonsevne. Om løsningen er tenkt brukt av kommunens innbyggere er dette et obligatorisk krav, men det er også viktig for kommunens ansatte.</t>
  </si>
  <si>
    <t>Data er planlagt lagret utenfor Norge / EØS (LIS13) men mulig at personsensitive data lagres i løsningen</t>
  </si>
  <si>
    <t>RES_LIS13</t>
  </si>
  <si>
    <t>Å lagre data utenfor Norge / EØS kan være problematisk selv om det ikke er planlagt at personsensitive data skal lagres i løsningen.</t>
  </si>
  <si>
    <t>KRIT_RES_K6</t>
  </si>
  <si>
    <t>Oppfølgingsspørsmål til leverandør</t>
  </si>
  <si>
    <r>
      <t xml:space="preserve">I dette skjemaet kan du se hvilke spørsmål hvor leverandøren har sagt seg villig til å dele informasjon med kommunen. Informasjon de ikke er villige til å dele, eller som ikke finnes, er vist med </t>
    </r>
    <r>
      <rPr>
        <sz val="10"/>
        <color rgb="FFFF0000"/>
        <rFont val="Arial"/>
        <family val="2"/>
      </rPr>
      <t>rød</t>
    </r>
    <r>
      <rPr>
        <sz val="10"/>
        <rFont val="Arial"/>
        <family val="2"/>
      </rPr>
      <t xml:space="preserve"> skrift.</t>
    </r>
  </si>
  <si>
    <t>Kilde</t>
  </si>
  <si>
    <t>Informasjon</t>
  </si>
  <si>
    <t>Detaljert beskrivelse av alle roller og ansvarsfordeling i leverandørens sikkerhetsorganisasjon. Denne oversikten skal inneholde navn på personene.</t>
  </si>
  <si>
    <t>Oversikt over underleverandører og leverandørkjeder. Denne oversikten skal også inneholde hva de ulike underleverandørene leverer.</t>
  </si>
  <si>
    <t>Oversikt over tilgang og roller for disse underleverandørene. Denne oversikten er viktig for å forstå hvor en underleverandør kan trenge tilgang på leverandørens vegne.</t>
  </si>
  <si>
    <t>Trusselvurderinger for hva som kan påvirke leveransen</t>
  </si>
  <si>
    <t>Bevis på at sikkerhetstiltak fungerer etter sin hensikt. Dette inkluderer rapporter for at sjekker av etterlevelse for sikkerhetstiltak er er gjort.</t>
  </si>
  <si>
    <t>Bekreftelse på deltakelse i kommunale samvirkeøvelser.</t>
  </si>
  <si>
    <t>Resultater av sikkerhetstester er lovet delt med kommunen.</t>
  </si>
  <si>
    <t>Resultatet av sikkerhetsrevisjon for den tilbudte løsningen. En slik revisjon vil sjekke at løsningen etterlever krav i en bransjestandard.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</si>
</sst>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font>
      <sz val="10"/>
      <name val="Arial"/>
      <family val="2"/>
    </font>
    <font>
      <b/>
      <sz val="10"/>
      <name val="Arial"/>
      <family val="2"/>
    </font>
    <font>
      <b/>
      <sz val="10"/>
      <name val="Arial"/>
      <family val="2"/>
      <charset val="1"/>
    </font>
    <font>
      <b/>
      <sz val="10"/>
      <name val="Times New Roman"/>
      <family val="1"/>
    </font>
    <font>
      <b/>
      <sz val="10"/>
      <color theme="1"/>
      <name val="Arial"/>
      <family val="2"/>
    </font>
    <font>
      <sz val="10"/>
      <color rgb="FF000000"/>
      <name val="Arial"/>
      <family val="2"/>
    </font>
    <font>
      <sz val="10"/>
      <name val="Times New Roman"/>
      <family val="1"/>
    </font>
    <font>
      <b/>
      <sz val="11"/>
      <color theme="1"/>
      <name val="Calibri"/>
      <family val="2"/>
    </font>
    <font>
      <b/>
      <sz val="10"/>
      <color rgb="FF000000"/>
      <name val="Arial"/>
      <family val="2"/>
    </font>
    <font>
      <sz val="10"/>
      <color theme="1"/>
      <name val="Arial"/>
      <family val="2"/>
    </font>
    <font>
      <sz val="11"/>
      <color rgb="FF000000"/>
      <name val="Calibri"/>
      <family val="2"/>
    </font>
    <font>
      <b/>
      <sz val="11"/>
      <color rgb="FF000000"/>
      <name val="Calibri"/>
      <family val="2"/>
    </font>
    <font>
      <b/>
      <sz val="10"/>
      <name val="DejaVu Sans"/>
      <family val="2"/>
      <charset val="1"/>
    </font>
    <font>
      <sz val="10"/>
      <name val="DejaVu Sans"/>
      <family val="2"/>
      <charset val="1"/>
    </font>
    <font>
      <sz val="10"/>
      <color rgb="FF000000"/>
      <name val="DejaVu Sans"/>
      <family val="2"/>
      <charset val="1"/>
    </font>
    <font>
      <b/>
      <sz val="10"/>
      <color rgb="FF000000"/>
      <name val="DejaVu Sans"/>
      <family val="2"/>
      <charset val="1"/>
    </font>
    <font>
      <b/>
      <sz val="11"/>
      <color theme="1"/>
      <name val="Calibri"/>
      <family val="2"/>
      <charset val="1"/>
    </font>
    <font>
      <b/>
      <sz val="13"/>
      <color theme="3"/>
      <name val="Calibri"/>
      <family val="2"/>
    </font>
    <font>
      <sz val="11"/>
      <color theme="5"/>
      <name val="Calibri"/>
      <family val="2"/>
      <charset val="1"/>
    </font>
    <font>
      <sz val="10"/>
      <color rgb="FF666666"/>
      <name val="Arial"/>
      <family val="2"/>
    </font>
    <font>
      <b/>
      <sz val="24"/>
      <name val="Calibri"/>
      <family val="2"/>
    </font>
    <font>
      <b/>
      <sz val="15"/>
      <color theme="3"/>
      <name val="Arial"/>
      <family val="2"/>
      <scheme val="minor"/>
    </font>
    <font>
      <b/>
      <sz val="10"/>
      <color theme="5"/>
      <name val="Arial"/>
      <family val="2"/>
    </font>
    <font>
      <b/>
      <sz val="11"/>
      <name val="Calibri"/>
      <family val="2"/>
    </font>
    <font>
      <b/>
      <sz val="11"/>
      <color theme="5"/>
      <name val="Calibri"/>
      <family val="2"/>
      <charset val="1"/>
    </font>
    <font>
      <b/>
      <sz val="11"/>
      <color theme="5"/>
      <name val="Calibri"/>
      <family val="2"/>
    </font>
    <font>
      <sz val="11"/>
      <name val="Calibri"/>
      <family val="2"/>
    </font>
    <font>
      <sz val="10"/>
      <color rgb="FFFF0000"/>
      <name val="Arial"/>
      <family val="2"/>
    </font>
    <font>
      <sz val="11"/>
      <color theme="2" tint="-0.14999847407452621"/>
      <name val="Calibri"/>
      <family val="2"/>
    </font>
    <font>
      <sz val="11"/>
      <color theme="1"/>
      <name val="Calibri"/>
      <family val="2"/>
      <charset val="1"/>
    </font>
    <font>
      <sz val="10"/>
      <color theme="0"/>
      <name val="Arial"/>
      <family val="2"/>
    </font>
    <font>
      <sz val="10"/>
      <name val="DejaVu Sans"/>
    </font>
    <font>
      <b/>
      <sz val="10"/>
      <color theme="6"/>
      <name val="Arial"/>
      <family val="2"/>
    </font>
    <font>
      <b/>
      <sz val="10"/>
      <color theme="0"/>
      <name val="Arial"/>
      <family val="2"/>
    </font>
    <font>
      <b/>
      <sz val="11"/>
      <color theme="0"/>
      <name val="Calibri"/>
      <family val="2"/>
      <charset val="1"/>
    </font>
    <font>
      <sz val="11"/>
      <color theme="2" tint="-0.249977111117893"/>
      <name val="Calibri"/>
      <family val="2"/>
    </font>
    <font>
      <sz val="10"/>
      <color theme="0"/>
      <name val="Calibri"/>
      <family val="2"/>
    </font>
    <font>
      <b/>
      <sz val="16"/>
      <name val="Arial"/>
      <family val="2"/>
    </font>
    <font>
      <sz val="10"/>
      <color theme="2" tint="-0.499984740745262"/>
      <name val="Arial"/>
      <family val="2"/>
    </font>
    <font>
      <b/>
      <sz val="11"/>
      <color rgb="FF000000"/>
      <name val="Calibri"/>
      <family val="2"/>
      <charset val="1"/>
    </font>
    <font>
      <u/>
      <sz val="10"/>
      <color theme="10"/>
      <name val="Arial"/>
      <family val="2"/>
    </font>
    <font>
      <b/>
      <sz val="11"/>
      <color theme="1"/>
      <name val="Arial"/>
      <family val="2"/>
      <scheme val="minor"/>
    </font>
    <font>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15">
    <border>
      <left/>
      <right/>
      <top/>
      <bottom/>
      <diagonal/>
    </border>
    <border>
      <left/>
      <right/>
      <top/>
      <bottom style="thick">
        <color theme="4" tint="0.49989318521683401"/>
      </bottom>
      <diagonal/>
    </border>
    <border>
      <left style="thin">
        <color rgb="FF808080"/>
      </left>
      <right/>
      <top/>
      <bottom/>
      <diagonal/>
    </border>
    <border>
      <left style="thin">
        <color rgb="FF808080"/>
      </left>
      <right/>
      <top style="thin">
        <color rgb="FF808080"/>
      </top>
      <bottom/>
      <diagonal/>
    </border>
    <border>
      <left/>
      <right/>
      <top style="thin">
        <color rgb="FF808080"/>
      </top>
      <bottom/>
      <diagonal/>
    </border>
    <border>
      <left/>
      <right/>
      <top/>
      <bottom style="thick">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
    <xf numFmtId="0" fontId="0" fillId="0" borderId="0"/>
    <xf numFmtId="0" fontId="17" fillId="0" borderId="1" applyAlignment="0" applyProtection="0"/>
    <xf numFmtId="0" fontId="21" fillId="0" borderId="5" applyNumberFormat="0" applyFill="0" applyAlignment="0" applyProtection="0"/>
    <xf numFmtId="0" fontId="40" fillId="0" borderId="0" applyNumberFormat="0" applyFill="0" applyBorder="0" applyAlignment="0" applyProtection="0"/>
  </cellStyleXfs>
  <cellXfs count="136">
    <xf numFmtId="0" fontId="0" fillId="0" borderId="0" xfId="0"/>
    <xf numFmtId="0" fontId="1"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0" fillId="0" borderId="0" xfId="0" applyAlignment="1">
      <alignment vertical="top"/>
    </xf>
    <xf numFmtId="0" fontId="6" fillId="0" borderId="0" xfId="0" applyFont="1" applyAlignment="1">
      <alignment horizontal="right" wrapText="1"/>
    </xf>
    <xf numFmtId="0" fontId="7" fillId="0" borderId="0" xfId="0" applyFont="1"/>
    <xf numFmtId="2" fontId="0" fillId="0" borderId="0" xfId="0" applyNumberFormat="1"/>
    <xf numFmtId="0" fontId="6" fillId="0" borderId="0" xfId="0" applyFont="1"/>
    <xf numFmtId="0" fontId="6" fillId="0" borderId="0" xfId="0" applyFont="1" applyAlignment="1">
      <alignment wrapText="1"/>
    </xf>
    <xf numFmtId="0" fontId="6" fillId="0" borderId="0" xfId="0" applyFont="1" applyAlignment="1">
      <alignment horizontal="center" wrapText="1"/>
    </xf>
    <xf numFmtId="0" fontId="16" fillId="0" borderId="0" xfId="0" applyFont="1"/>
    <xf numFmtId="17" fontId="0" fillId="0" borderId="0" xfId="0" applyNumberFormat="1"/>
    <xf numFmtId="0" fontId="18" fillId="0" borderId="0" xfId="0" applyFont="1"/>
    <xf numFmtId="0" fontId="19" fillId="0" borderId="0" xfId="0" applyFont="1"/>
    <xf numFmtId="0" fontId="20" fillId="0" borderId="0" xfId="0" applyFont="1"/>
    <xf numFmtId="0" fontId="1" fillId="0" borderId="3" xfId="0" applyFont="1" applyBorder="1"/>
    <xf numFmtId="0" fontId="1" fillId="0" borderId="4" xfId="0" applyFont="1" applyBorder="1"/>
    <xf numFmtId="0" fontId="1" fillId="0" borderId="4" xfId="0" applyFont="1" applyBorder="1" applyAlignment="1">
      <alignment wrapText="1"/>
    </xf>
    <xf numFmtId="0" fontId="2" fillId="0" borderId="4" xfId="0" applyFont="1" applyBorder="1" applyAlignment="1">
      <alignment wrapText="1"/>
    </xf>
    <xf numFmtId="0" fontId="3" fillId="0" borderId="4" xfId="0" applyFont="1" applyBorder="1" applyAlignment="1">
      <alignment wrapText="1"/>
    </xf>
    <xf numFmtId="0" fontId="3" fillId="0" borderId="4" xfId="0" applyFont="1" applyBorder="1"/>
    <xf numFmtId="0" fontId="0" fillId="0" borderId="4" xfId="0" applyBorder="1"/>
    <xf numFmtId="0" fontId="0" fillId="0" borderId="2" xfId="0" applyBorder="1" applyAlignment="1">
      <alignment horizontal="center" wrapText="1"/>
    </xf>
    <xf numFmtId="0" fontId="0" fillId="0" borderId="2" xfId="0" applyBorder="1"/>
    <xf numFmtId="0" fontId="5" fillId="0" borderId="0" xfId="0" applyFont="1"/>
    <xf numFmtId="0" fontId="0" fillId="0" borderId="2" xfId="0" applyBorder="1" applyAlignment="1">
      <alignment horizontal="center"/>
    </xf>
    <xf numFmtId="0" fontId="8" fillId="0" borderId="0" xfId="0" applyFont="1" applyAlignment="1">
      <alignment wrapText="1"/>
    </xf>
    <xf numFmtId="0" fontId="0" fillId="0" borderId="2" xfId="0" applyBorder="1" applyAlignment="1">
      <alignment horizontal="center" vertical="center"/>
    </xf>
    <xf numFmtId="0" fontId="4" fillId="0" borderId="0" xfId="0" applyFont="1" applyAlignment="1">
      <alignment wrapText="1"/>
    </xf>
    <xf numFmtId="0" fontId="0" fillId="0" borderId="2" xfId="0" applyBorder="1" applyAlignment="1">
      <alignment horizontal="center" vertical="top"/>
    </xf>
    <xf numFmtId="0" fontId="5" fillId="0" borderId="2" xfId="0" applyFont="1" applyBorder="1" applyAlignment="1">
      <alignment horizontal="center" vertical="center" wrapText="1"/>
    </xf>
    <xf numFmtId="0" fontId="8" fillId="0" borderId="0" xfId="0" applyFont="1" applyAlignment="1">
      <alignment horizontal="left" wrapText="1"/>
    </xf>
    <xf numFmtId="0" fontId="10" fillId="0" borderId="0" xfId="0" applyFont="1"/>
    <xf numFmtId="0" fontId="4" fillId="0" borderId="0" xfId="0" applyFont="1"/>
    <xf numFmtId="0" fontId="5" fillId="0" borderId="0" xfId="0" applyFont="1" applyAlignment="1">
      <alignment horizontal="left"/>
    </xf>
    <xf numFmtId="0" fontId="9" fillId="0" borderId="0" xfId="0" applyFont="1" applyAlignment="1">
      <alignment wrapText="1"/>
    </xf>
    <xf numFmtId="0" fontId="1" fillId="0" borderId="0" xfId="0" applyFont="1" applyAlignment="1">
      <alignment wrapText="1"/>
    </xf>
    <xf numFmtId="0" fontId="9" fillId="0" borderId="0" xfId="0" applyFont="1" applyAlignment="1">
      <alignment horizontal="left"/>
    </xf>
    <xf numFmtId="0" fontId="0" fillId="0" borderId="0" xfId="0" applyAlignment="1">
      <alignment horizontal="left" wrapText="1"/>
    </xf>
    <xf numFmtId="0" fontId="8" fillId="0" borderId="0" xfId="0" applyFont="1"/>
    <xf numFmtId="0" fontId="12" fillId="0" borderId="3" xfId="0" applyFont="1" applyBorder="1"/>
    <xf numFmtId="0" fontId="12" fillId="0" borderId="4" xfId="0" applyFont="1" applyBorder="1"/>
    <xf numFmtId="0" fontId="12" fillId="0" borderId="4" xfId="0" applyFont="1" applyBorder="1" applyAlignment="1">
      <alignment wrapText="1"/>
    </xf>
    <xf numFmtId="0" fontId="13" fillId="0" borderId="0" xfId="0" applyFont="1" applyAlignment="1">
      <alignment wrapText="1"/>
    </xf>
    <xf numFmtId="0" fontId="12" fillId="0" borderId="0" xfId="0" applyFont="1" applyAlignment="1">
      <alignment wrapText="1"/>
    </xf>
    <xf numFmtId="0" fontId="13" fillId="0" borderId="0" xfId="0" applyFont="1"/>
    <xf numFmtId="0" fontId="12" fillId="0" borderId="0" xfId="0" applyFont="1"/>
    <xf numFmtId="0" fontId="14" fillId="0" borderId="0" xfId="0" applyFont="1"/>
    <xf numFmtId="49" fontId="14" fillId="0" borderId="0" xfId="0" applyNumberFormat="1" applyFont="1" applyAlignment="1">
      <alignment horizontal="left" wrapText="1"/>
    </xf>
    <xf numFmtId="0" fontId="15" fillId="0" borderId="0" xfId="0" applyFont="1" applyAlignment="1">
      <alignment wrapText="1"/>
    </xf>
    <xf numFmtId="49" fontId="14" fillId="0" borderId="0" xfId="0" applyNumberFormat="1" applyFont="1" applyAlignment="1">
      <alignment wrapText="1"/>
    </xf>
    <xf numFmtId="0" fontId="15" fillId="0" borderId="0" xfId="0" applyFont="1"/>
    <xf numFmtId="49" fontId="0" fillId="0" borderId="0" xfId="0" applyNumberFormat="1" applyAlignment="1">
      <alignment wrapText="1"/>
    </xf>
    <xf numFmtId="0" fontId="0" fillId="0" borderId="0" xfId="0" applyAlignment="1">
      <alignment wrapText="1"/>
    </xf>
    <xf numFmtId="0" fontId="0" fillId="0" borderId="0" xfId="0" applyAlignment="1">
      <alignment horizontal="left" vertical="top" wrapText="1"/>
    </xf>
    <xf numFmtId="49" fontId="22" fillId="0" borderId="0" xfId="0" applyNumberFormat="1" applyFont="1" applyAlignment="1">
      <alignment wrapText="1"/>
    </xf>
    <xf numFmtId="0" fontId="23" fillId="0" borderId="0" xfId="0" applyFont="1" applyAlignment="1">
      <alignment wrapText="1"/>
    </xf>
    <xf numFmtId="49" fontId="24" fillId="0" borderId="0" xfId="0" applyNumberFormat="1" applyFont="1" applyAlignment="1">
      <alignment wrapText="1"/>
    </xf>
    <xf numFmtId="0" fontId="22" fillId="0" borderId="0" xfId="0" applyFont="1"/>
    <xf numFmtId="49" fontId="25" fillId="0" borderId="0" xfId="0" applyNumberFormat="1" applyFont="1" applyAlignment="1">
      <alignment wrapText="1"/>
    </xf>
    <xf numFmtId="0" fontId="25" fillId="0" borderId="0" xfId="0" applyFont="1" applyAlignment="1">
      <alignment wrapText="1"/>
    </xf>
    <xf numFmtId="49" fontId="26" fillId="0" borderId="0" xfId="0" applyNumberFormat="1" applyFont="1" applyAlignment="1">
      <alignment wrapText="1"/>
    </xf>
    <xf numFmtId="0" fontId="26" fillId="0" borderId="0" xfId="0" applyFont="1" applyAlignment="1">
      <alignment wrapText="1"/>
    </xf>
    <xf numFmtId="0" fontId="22" fillId="0" borderId="3" xfId="0" applyFont="1" applyBorder="1"/>
    <xf numFmtId="0" fontId="22" fillId="0" borderId="2" xfId="0" applyFont="1" applyBorder="1"/>
    <xf numFmtId="0" fontId="7" fillId="0" borderId="0" xfId="0" applyFont="1" applyAlignment="1">
      <alignment vertical="top" wrapText="1"/>
    </xf>
    <xf numFmtId="0" fontId="7" fillId="0" borderId="0" xfId="0" applyFont="1" applyAlignment="1">
      <alignment wrapText="1"/>
    </xf>
    <xf numFmtId="0" fontId="23" fillId="0" borderId="4" xfId="0" applyFont="1" applyBorder="1"/>
    <xf numFmtId="0" fontId="23" fillId="0" borderId="4" xfId="0" applyFont="1" applyBorder="1" applyAlignment="1">
      <alignment wrapText="1"/>
    </xf>
    <xf numFmtId="0" fontId="23" fillId="0" borderId="0" xfId="0" applyFont="1"/>
    <xf numFmtId="0" fontId="25" fillId="0" borderId="0" xfId="0" applyFont="1" applyAlignment="1">
      <alignment vertical="top" wrapText="1"/>
    </xf>
    <xf numFmtId="0" fontId="26" fillId="0" borderId="0" xfId="0" applyFont="1"/>
    <xf numFmtId="0" fontId="26" fillId="0" borderId="0" xfId="0" applyFont="1" applyAlignment="1">
      <alignment vertical="top" wrapText="1"/>
    </xf>
    <xf numFmtId="0" fontId="23" fillId="0" borderId="0" xfId="0" applyFont="1" applyAlignment="1">
      <alignment vertical="top" wrapText="1"/>
    </xf>
    <xf numFmtId="0" fontId="25" fillId="0" borderId="0" xfId="0" applyFont="1"/>
    <xf numFmtId="0" fontId="26" fillId="0" borderId="0" xfId="0" applyFont="1" applyAlignment="1">
      <alignment horizontal="right" wrapText="1"/>
    </xf>
    <xf numFmtId="0" fontId="26" fillId="0" borderId="0" xfId="0" applyFont="1" applyAlignment="1">
      <alignment horizontal="center" wrapText="1"/>
    </xf>
    <xf numFmtId="0" fontId="21" fillId="0" borderId="5" xfId="2"/>
    <xf numFmtId="0" fontId="26" fillId="0" borderId="0" xfId="0" applyFont="1" applyAlignment="1">
      <alignment horizontal="left" vertical="top" wrapText="1"/>
    </xf>
    <xf numFmtId="0" fontId="26" fillId="0" borderId="0" xfId="0" applyFont="1" applyAlignment="1">
      <alignment horizontal="left" vertical="top"/>
    </xf>
    <xf numFmtId="0" fontId="26" fillId="0" borderId="0" xfId="0" applyFont="1" applyAlignment="1">
      <alignment vertical="top"/>
    </xf>
    <xf numFmtId="0" fontId="26" fillId="0" borderId="0" xfId="0" applyFont="1" applyAlignment="1">
      <alignment horizontal="center" vertical="center" wrapText="1"/>
    </xf>
    <xf numFmtId="0" fontId="26" fillId="0" borderId="0" xfId="0" applyFont="1" applyAlignment="1">
      <alignment horizontal="center" vertical="top" wrapText="1"/>
    </xf>
    <xf numFmtId="0" fontId="26" fillId="0" borderId="0" xfId="0" applyFont="1" applyAlignment="1">
      <alignment horizontal="center" vertical="top"/>
    </xf>
    <xf numFmtId="0" fontId="26" fillId="0" borderId="0" xfId="0" applyFont="1" applyAlignment="1">
      <alignment horizontal="center" vertical="center"/>
    </xf>
    <xf numFmtId="0" fontId="17" fillId="0" borderId="1" xfId="1"/>
    <xf numFmtId="0" fontId="9" fillId="0" borderId="0" xfId="0" applyFont="1"/>
    <xf numFmtId="0" fontId="27" fillId="0" borderId="0" xfId="0" applyFont="1" applyAlignment="1">
      <alignment wrapText="1"/>
    </xf>
    <xf numFmtId="0" fontId="28" fillId="0" borderId="0" xfId="0" applyFont="1" applyAlignment="1">
      <alignment horizontal="left" vertical="top" wrapText="1"/>
    </xf>
    <xf numFmtId="4" fontId="0" fillId="0" borderId="0" xfId="0" applyNumberFormat="1"/>
    <xf numFmtId="0" fontId="16" fillId="0" borderId="0" xfId="0" applyFont="1" applyAlignment="1">
      <alignment horizontal="right"/>
    </xf>
    <xf numFmtId="0" fontId="29" fillId="0" borderId="0" xfId="0" applyFont="1"/>
    <xf numFmtId="49" fontId="0" fillId="0" borderId="0" xfId="0" applyNumberFormat="1"/>
    <xf numFmtId="0" fontId="31" fillId="0" borderId="0" xfId="0" applyFont="1"/>
    <xf numFmtId="0" fontId="0" fillId="0" borderId="0" xfId="0" applyAlignment="1">
      <alignment horizontal="right"/>
    </xf>
    <xf numFmtId="49" fontId="23" fillId="0" borderId="3" xfId="0" applyNumberFormat="1" applyFont="1" applyBorder="1"/>
    <xf numFmtId="49" fontId="26" fillId="0" borderId="0" xfId="0" applyNumberFormat="1" applyFont="1"/>
    <xf numFmtId="0" fontId="17" fillId="0" borderId="1" xfId="1" applyAlignment="1" applyProtection="1"/>
    <xf numFmtId="0" fontId="33" fillId="0" borderId="0" xfId="0" applyFont="1"/>
    <xf numFmtId="0" fontId="30" fillId="0" borderId="0" xfId="0" applyFont="1"/>
    <xf numFmtId="0" fontId="35" fillId="0" borderId="0" xfId="0" applyFont="1" applyAlignment="1">
      <alignment horizontal="left" vertical="top" wrapText="1"/>
    </xf>
    <xf numFmtId="164" fontId="36" fillId="0" borderId="0" xfId="0" applyNumberFormat="1" applyFont="1" applyAlignment="1">
      <alignment horizontal="right"/>
    </xf>
    <xf numFmtId="0" fontId="0" fillId="2" borderId="0" xfId="0" applyFill="1"/>
    <xf numFmtId="0" fontId="30" fillId="2" borderId="0" xfId="0" applyFont="1" applyFill="1"/>
    <xf numFmtId="0" fontId="0" fillId="2" borderId="7" xfId="0" applyFill="1" applyBorder="1"/>
    <xf numFmtId="0" fontId="0" fillId="2" borderId="8" xfId="0" applyFill="1" applyBorder="1"/>
    <xf numFmtId="0" fontId="0" fillId="0" borderId="8" xfId="0" applyBorder="1"/>
    <xf numFmtId="0" fontId="0" fillId="0" borderId="9" xfId="0" applyBorder="1"/>
    <xf numFmtId="0" fontId="0" fillId="2" borderId="10" xfId="0" applyFill="1" applyBorder="1"/>
    <xf numFmtId="0" fontId="0" fillId="0" borderId="11" xfId="0" applyBorder="1"/>
    <xf numFmtId="0" fontId="0" fillId="0" borderId="12" xfId="0" applyBorder="1"/>
    <xf numFmtId="0" fontId="0" fillId="0" borderId="13" xfId="0" applyBorder="1"/>
    <xf numFmtId="0" fontId="0" fillId="0" borderId="14" xfId="0" applyBorder="1"/>
    <xf numFmtId="0" fontId="33" fillId="2" borderId="0" xfId="0" applyFont="1" applyFill="1"/>
    <xf numFmtId="0" fontId="34" fillId="2" borderId="0" xfId="0" applyFont="1" applyFill="1"/>
    <xf numFmtId="0" fontId="30" fillId="0" borderId="0" xfId="0" applyFont="1" applyAlignment="1">
      <alignment vertical="top"/>
    </xf>
    <xf numFmtId="0" fontId="37" fillId="0" borderId="0" xfId="0" applyFont="1"/>
    <xf numFmtId="0" fontId="38" fillId="0" borderId="0" xfId="0" applyFont="1"/>
    <xf numFmtId="49" fontId="0" fillId="2" borderId="0" xfId="0" applyNumberFormat="1" applyFill="1" applyAlignment="1">
      <alignment wrapText="1"/>
    </xf>
    <xf numFmtId="0" fontId="39" fillId="2" borderId="0" xfId="0" applyFont="1" applyFill="1" applyAlignment="1">
      <alignment vertical="top" wrapText="1"/>
    </xf>
    <xf numFmtId="49" fontId="10" fillId="0" borderId="0" xfId="0" applyNumberFormat="1" applyFont="1" applyAlignment="1">
      <alignment horizontal="left" wrapText="1"/>
    </xf>
    <xf numFmtId="0" fontId="11" fillId="0" borderId="0" xfId="0" applyFont="1" applyAlignment="1">
      <alignment wrapText="1"/>
    </xf>
    <xf numFmtId="49" fontId="10" fillId="0" borderId="0" xfId="0" applyNumberFormat="1" applyFont="1" applyAlignment="1">
      <alignment wrapText="1"/>
    </xf>
    <xf numFmtId="49" fontId="10" fillId="0" borderId="0" xfId="0" applyNumberFormat="1" applyFont="1"/>
    <xf numFmtId="0" fontId="11" fillId="0" borderId="0" xfId="0" applyFont="1"/>
    <xf numFmtId="0" fontId="11" fillId="0" borderId="0" xfId="0" applyFont="1" applyAlignment="1">
      <alignment vertical="top" wrapText="1"/>
    </xf>
    <xf numFmtId="0" fontId="40" fillId="0" borderId="0" xfId="3"/>
    <xf numFmtId="0" fontId="41" fillId="0" borderId="0" xfId="0" applyFont="1"/>
    <xf numFmtId="0" fontId="0" fillId="3" borderId="6" xfId="0" applyFill="1" applyBorder="1" applyProtection="1">
      <protection locked="0"/>
    </xf>
    <xf numFmtId="0" fontId="0" fillId="4" borderId="0" xfId="0" applyFill="1"/>
    <xf numFmtId="0" fontId="42" fillId="0" borderId="0" xfId="0" applyFont="1" applyAlignment="1">
      <alignment vertical="top" wrapText="1"/>
    </xf>
    <xf numFmtId="0" fontId="10" fillId="0" borderId="0" xfId="0" applyFont="1" applyAlignment="1">
      <alignment vertical="top" wrapText="1"/>
    </xf>
    <xf numFmtId="0" fontId="0" fillId="0" borderId="0" xfId="0" applyAlignment="1">
      <alignment horizontal="left" wrapText="1"/>
    </xf>
    <xf numFmtId="0" fontId="0" fillId="0" borderId="0" xfId="0" applyAlignment="1">
      <alignment horizontal="left"/>
    </xf>
  </cellXfs>
  <cellStyles count="4">
    <cellStyle name="Excel Built-in Heading 2" xfId="1" xr:uid="{00000000-0005-0000-0000-000006000000}"/>
    <cellStyle name="Hyperkobling" xfId="3" builtinId="8"/>
    <cellStyle name="Normal" xfId="0" builtinId="0"/>
    <cellStyle name="Overskrift 1" xfId="2" builtinId="16"/>
  </cellStyles>
  <dxfs count="40">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ill>
        <patternFill>
          <bgColor rgb="FFFFC000"/>
        </patternFill>
      </fill>
    </dxf>
    <dxf>
      <fill>
        <patternFill>
          <bgColor rgb="FF00B0F0"/>
        </patternFill>
      </fill>
    </dxf>
    <dxf>
      <fill>
        <patternFill>
          <bgColor rgb="FF92D050"/>
        </patternFill>
      </fill>
    </dxf>
    <dxf>
      <font>
        <color theme="9"/>
      </font>
    </dxf>
    <dxf>
      <font>
        <color theme="9"/>
      </font>
    </dxf>
    <dxf>
      <font>
        <color theme="9"/>
      </font>
    </dxf>
    <dxf>
      <font>
        <color theme="9"/>
      </font>
    </dxf>
    <dxf>
      <font>
        <color theme="9"/>
      </font>
    </dxf>
    <dxf>
      <font>
        <color theme="9"/>
      </font>
    </dxf>
    <dxf>
      <font>
        <color theme="9"/>
      </font>
    </dxf>
    <dxf>
      <font>
        <color theme="9"/>
      </font>
    </dxf>
    <dxf>
      <font>
        <color theme="9"/>
      </font>
    </dxf>
    <dxf>
      <font>
        <color theme="9"/>
      </font>
    </dxf>
    <dxf>
      <font>
        <color theme="9"/>
      </font>
    </dxf>
    <dxf>
      <font>
        <color theme="9"/>
      </font>
    </dxf>
    <dxf>
      <font>
        <color theme="9"/>
      </font>
    </dxf>
    <dxf>
      <font>
        <color theme="9"/>
      </font>
    </dxf>
    <dxf>
      <font>
        <strike/>
        <color rgb="FFE7E6E6"/>
      </font>
      <fill>
        <patternFill>
          <bgColor theme="0"/>
        </patternFill>
      </fill>
    </dxf>
    <dxf>
      <font>
        <strike/>
        <color rgb="FFE7E6E6"/>
      </font>
      <fill>
        <patternFill>
          <bgColor theme="0"/>
        </patternFill>
      </fill>
    </dxf>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ont>
        <strike val="0"/>
        <color theme="1"/>
      </font>
    </dxf>
    <dxf>
      <font>
        <color theme="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E7E6E6"/>
      <rgbColor rgb="FFDDDDDD"/>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A1B8E1"/>
      <rgbColor rgb="FFFF99CC"/>
      <rgbColor rgb="FFCC99FF"/>
      <rgbColor rgb="FFF4B183"/>
      <rgbColor rgb="FF3366FF"/>
      <rgbColor rgb="FF33CCCC"/>
      <rgbColor rgb="FF81D41A"/>
      <rgbColor rgb="FFFFCC00"/>
      <rgbColor rgb="FFFF9900"/>
      <rgbColor rgb="FFED7D31"/>
      <rgbColor rgb="FF666666"/>
      <rgbColor rgb="FFAFABAB"/>
      <rgbColor rgb="FF003366"/>
      <rgbColor rgb="FF70AD47"/>
      <rgbColor rgb="FF003300"/>
      <rgbColor rgb="FF333300"/>
      <rgbColor rgb="FF993300"/>
      <rgbColor rgb="FF993366"/>
      <rgbColor rgb="FF44546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6</xdr:col>
      <xdr:colOff>347891</xdr:colOff>
      <xdr:row>3</xdr:row>
      <xdr:rowOff>51194</xdr:rowOff>
    </xdr:to>
    <xdr:pic>
      <xdr:nvPicPr>
        <xdr:cNvPr id="3" name="Picture 2">
          <a:extLst>
            <a:ext uri="{FF2B5EF4-FFF2-40B4-BE49-F238E27FC236}">
              <a16:creationId xmlns:a16="http://schemas.microsoft.com/office/drawing/2014/main" id="{9949E717-8EFE-DF34-56E9-385CFE173D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3023" y="164523"/>
          <a:ext cx="954026" cy="475489"/>
        </a:xfrm>
        <a:prstGeom prst="rect">
          <a:avLst/>
        </a:prstGeom>
      </xdr:spPr>
    </xdr:pic>
    <xdr:clientData/>
  </xdr:twoCellAnchor>
  <xdr:twoCellAnchor editAs="oneCell">
    <xdr:from>
      <xdr:col>0</xdr:col>
      <xdr:colOff>277813</xdr:colOff>
      <xdr:row>24</xdr:row>
      <xdr:rowOff>134938</xdr:rowOff>
    </xdr:from>
    <xdr:to>
      <xdr:col>6</xdr:col>
      <xdr:colOff>49213</xdr:colOff>
      <xdr:row>24</xdr:row>
      <xdr:rowOff>3355128</xdr:rowOff>
    </xdr:to>
    <xdr:pic>
      <xdr:nvPicPr>
        <xdr:cNvPr id="4" name="Picture 3">
          <a:extLst>
            <a:ext uri="{FF2B5EF4-FFF2-40B4-BE49-F238E27FC236}">
              <a16:creationId xmlns:a16="http://schemas.microsoft.com/office/drawing/2014/main" id="{F5A17D4A-5ACD-84B1-EDAC-686755C6071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7813" y="4365626"/>
          <a:ext cx="7772400" cy="32201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10</xdr:col>
      <xdr:colOff>184699</xdr:colOff>
      <xdr:row>3</xdr:row>
      <xdr:rowOff>116470</xdr:rowOff>
    </xdr:to>
    <xdr:pic>
      <xdr:nvPicPr>
        <xdr:cNvPr id="2" name="Picture 1">
          <a:extLst>
            <a:ext uri="{FF2B5EF4-FFF2-40B4-BE49-F238E27FC236}">
              <a16:creationId xmlns:a16="http://schemas.microsoft.com/office/drawing/2014/main" id="{30C93981-8061-441B-9DBB-9C1800C3EE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9577" y="227135"/>
          <a:ext cx="954026" cy="475489"/>
        </a:xfrm>
        <a:prstGeom prst="rect">
          <a:avLst/>
        </a:prstGeom>
      </xdr:spPr>
    </xdr:pic>
    <xdr:clientData/>
  </xdr:twoCellAnchor>
</xdr:wsDr>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rosjektveiviseren.digdir.no/god-praksis/anskaffelser/124" TargetMode="External"/><Relationship Id="rId2" Type="http://schemas.openxmlformats.org/officeDocument/2006/relationships/hyperlink" Target="https://www.digdir.no/informasjonssikkerhet/rolle-risikoeier/2106" TargetMode="External"/><Relationship Id="rId1" Type="http://schemas.openxmlformats.org/officeDocument/2006/relationships/hyperlink" Target="https://www.digdir.no/informasjonssikkerhet/rolle-systemeier/2111"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4EEEB-5DE8-47C6-8721-0F43A6AC1C00}">
  <sheetPr>
    <tabColor rgb="FFFFFF00"/>
  </sheetPr>
  <dimension ref="A2:H33"/>
  <sheetViews>
    <sheetView showGridLines="0" topLeftCell="A2" zoomScale="140" zoomScaleNormal="140" workbookViewId="0">
      <selection activeCell="K16" sqref="K16"/>
    </sheetView>
  </sheetViews>
  <sheetFormatPr baseColWidth="10" defaultColWidth="8.7109375" defaultRowHeight="12.75"/>
  <cols>
    <col min="2" max="2" width="30.42578125" customWidth="1"/>
    <col min="3" max="3" width="52.7109375" customWidth="1"/>
  </cols>
  <sheetData>
    <row r="2" spans="1:8" ht="20.25">
      <c r="A2" s="118" t="s">
        <v>0</v>
      </c>
    </row>
    <row r="4" spans="1:8">
      <c r="A4" s="119" t="s">
        <v>1</v>
      </c>
    </row>
    <row r="5" spans="1:8" ht="35.25" customHeight="1" thickBot="1">
      <c r="A5" s="87" t="s">
        <v>2</v>
      </c>
      <c r="B5" s="87"/>
    </row>
    <row r="6" spans="1:8" ht="13.5" thickTop="1">
      <c r="B6" t="s">
        <v>3</v>
      </c>
    </row>
    <row r="7" spans="1:8">
      <c r="B7" t="s">
        <v>4</v>
      </c>
    </row>
    <row r="9" spans="1:8">
      <c r="B9" t="s">
        <v>5</v>
      </c>
      <c r="C9" s="130"/>
    </row>
    <row r="11" spans="1:8">
      <c r="B11" t="s">
        <v>6</v>
      </c>
      <c r="C11" s="130"/>
    </row>
    <row r="13" spans="1:8">
      <c r="B13" t="s">
        <v>7</v>
      </c>
    </row>
    <row r="15" spans="1:8">
      <c r="B15" t="s">
        <v>8</v>
      </c>
      <c r="C15" s="1" t="str" cm="1">
        <f t="array" aca="1" ref="C15" ca="1">IFERROR(INDIRECT("'" &amp; SKJEMA_KRIT &amp; "'!" &amp; "SYSTEM_NAVN"),"Fant ikke fila eller navn mangler!")</f>
        <v>Fant ikke fila eller navn mangler!</v>
      </c>
      <c r="D15" s="131" t="s">
        <v>9</v>
      </c>
      <c r="E15" s="131"/>
      <c r="F15" s="131"/>
      <c r="G15" s="131"/>
      <c r="H15" s="131"/>
    </row>
    <row r="16" spans="1:8">
      <c r="D16" s="131" t="s">
        <v>10</v>
      </c>
      <c r="E16" s="131"/>
      <c r="F16" s="131"/>
      <c r="G16" s="131"/>
      <c r="H16" s="131"/>
    </row>
    <row r="17" spans="1:8">
      <c r="B17" t="s">
        <v>6</v>
      </c>
      <c r="C17" s="1" t="str" cm="1">
        <f t="array" aca="1" ref="C17" ca="1">IFERROR(INDIRECT("'" &amp; SKJEMA_LEV &amp; "'!" &amp; "LEV_NAVN"),"Fant ikke fila eller navn mangler!")</f>
        <v>Fant ikke fila eller navn mangler!</v>
      </c>
      <c r="D17" s="131" t="s">
        <v>11</v>
      </c>
      <c r="E17" s="131"/>
      <c r="F17" s="131"/>
      <c r="G17" s="131"/>
      <c r="H17" s="131"/>
    </row>
    <row r="19" spans="1:8">
      <c r="B19" t="s">
        <v>12</v>
      </c>
    </row>
    <row r="22" spans="1:8" ht="25.5" customHeight="1" thickBot="1">
      <c r="A22" s="87" t="s">
        <v>13</v>
      </c>
      <c r="B22" s="87"/>
    </row>
    <row r="23" spans="1:8" ht="25.5" customHeight="1" thickTop="1">
      <c r="B23" t="s">
        <v>14</v>
      </c>
    </row>
    <row r="24" spans="1:8" ht="30.75" customHeight="1">
      <c r="B24" t="s">
        <v>15</v>
      </c>
    </row>
    <row r="25" spans="1:8" ht="279.75" customHeight="1"/>
    <row r="27" spans="1:8" ht="138" customHeight="1">
      <c r="B27" s="134" t="s">
        <v>16</v>
      </c>
      <c r="C27" s="135"/>
      <c r="D27" s="135"/>
      <c r="E27" s="135"/>
      <c r="F27" s="135"/>
    </row>
    <row r="30" spans="1:8" ht="18" thickBot="1">
      <c r="A30" s="87" t="s">
        <v>17</v>
      </c>
      <c r="B30" s="87"/>
    </row>
    <row r="31" spans="1:8" ht="13.5" thickTop="1">
      <c r="B31" s="128" t="s">
        <v>18</v>
      </c>
      <c r="C31" t="s">
        <v>19</v>
      </c>
    </row>
    <row r="32" spans="1:8">
      <c r="B32" s="128" t="s">
        <v>20</v>
      </c>
      <c r="C32" t="s">
        <v>21</v>
      </c>
    </row>
    <row r="33" spans="2:3">
      <c r="B33" s="128" t="s">
        <v>22</v>
      </c>
      <c r="C33" t="s">
        <v>23</v>
      </c>
    </row>
  </sheetData>
  <mergeCells count="1">
    <mergeCell ref="B27:F27"/>
  </mergeCells>
  <hyperlinks>
    <hyperlink ref="B31" r:id="rId1" xr:uid="{D61EFAEA-BB66-4CC6-B24B-F05850A0758A}"/>
    <hyperlink ref="B32" r:id="rId2" xr:uid="{F0AB60A5-5FBF-4669-BA0E-B5EB4C4B90B8}"/>
    <hyperlink ref="B33" r:id="rId3" xr:uid="{1AD903DB-26C5-472F-9665-E16B4DC6F347}"/>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O74"/>
  <sheetViews>
    <sheetView topLeftCell="A14" zoomScale="110" zoomScaleNormal="110" workbookViewId="0">
      <selection activeCell="H62" sqref="H62"/>
    </sheetView>
  </sheetViews>
  <sheetFormatPr baseColWidth="10" defaultColWidth="11.5703125" defaultRowHeight="12.75"/>
  <cols>
    <col min="2" max="2" width="65.7109375" customWidth="1"/>
    <col min="3" max="3" width="39.42578125" customWidth="1"/>
    <col min="4" max="4" width="8.7109375" customWidth="1"/>
    <col min="5" max="5" width="5.5703125" customWidth="1"/>
    <col min="6" max="6" width="7.7109375" customWidth="1"/>
    <col min="7" max="7" width="23.42578125" customWidth="1"/>
    <col min="8" max="8" width="17.7109375" customWidth="1"/>
    <col min="9" max="9" width="11.42578125" customWidth="1"/>
    <col min="10" max="10" width="7" customWidth="1"/>
    <col min="11" max="11" width="17.28515625" customWidth="1"/>
    <col min="12" max="12" width="31.7109375" customWidth="1"/>
  </cols>
  <sheetData>
    <row r="2" spans="1:15">
      <c r="A2" t="s">
        <v>24</v>
      </c>
      <c r="B2" s="94"/>
    </row>
    <row r="4" spans="1:15" s="1" customFormat="1" ht="25.5">
      <c r="A4" s="1" t="s">
        <v>25</v>
      </c>
      <c r="B4" s="1" t="s">
        <v>26</v>
      </c>
      <c r="C4" s="38" t="s">
        <v>27</v>
      </c>
      <c r="D4" s="38" t="s">
        <v>28</v>
      </c>
      <c r="E4" s="38" t="s">
        <v>29</v>
      </c>
      <c r="F4" s="38" t="s">
        <v>30</v>
      </c>
      <c r="G4" s="1" t="s">
        <v>31</v>
      </c>
      <c r="H4" s="1" t="s">
        <v>32</v>
      </c>
      <c r="I4" s="1" t="s">
        <v>33</v>
      </c>
      <c r="J4" s="2" t="s">
        <v>34</v>
      </c>
      <c r="K4" s="2"/>
      <c r="L4" s="3"/>
      <c r="M4" s="4"/>
    </row>
    <row r="5" spans="1:15" s="1" customFormat="1">
      <c r="A5" s="60" t="s">
        <v>35</v>
      </c>
      <c r="C5" s="38"/>
      <c r="D5" s="38"/>
      <c r="F5" s="38"/>
      <c r="J5" s="4"/>
      <c r="K5" s="4"/>
      <c r="L5" s="3"/>
      <c r="M5" s="4"/>
    </row>
    <row r="6" spans="1:15">
      <c r="A6" s="5" t="s">
        <v>36</v>
      </c>
      <c r="B6" s="35" t="s">
        <v>37</v>
      </c>
      <c r="E6">
        <v>4</v>
      </c>
      <c r="G6" t="e" cm="1">
        <f t="array" aca="1" ref="G6" ca="1">INDIRECT("'" &amp; SKJEMA_KRIT &amp; "'!" &amp; "KRIT_" &amp; A6)</f>
        <v>#REF!</v>
      </c>
      <c r="H6" t="e">
        <f ca="1">VLOOKUP(G6,C7:D11,2,0)</f>
        <v>#REF!</v>
      </c>
      <c r="I6" t="e">
        <f ca="1">H6</f>
        <v>#REF!</v>
      </c>
      <c r="J6" t="e">
        <f ca="1">I6/E6</f>
        <v>#REF!</v>
      </c>
    </row>
    <row r="7" spans="1:15" ht="15">
      <c r="C7" s="26" t="s">
        <v>38</v>
      </c>
      <c r="D7" s="6">
        <v>4</v>
      </c>
      <c r="L7" s="7" t="s">
        <v>39</v>
      </c>
      <c r="M7" s="7" t="s">
        <v>40</v>
      </c>
      <c r="N7" s="7" t="s">
        <v>41</v>
      </c>
      <c r="O7" s="7" t="s">
        <v>42</v>
      </c>
    </row>
    <row r="8" spans="1:15">
      <c r="C8" s="26" t="s">
        <v>43</v>
      </c>
      <c r="D8" s="6">
        <v>3</v>
      </c>
      <c r="L8" t="s">
        <v>44</v>
      </c>
      <c r="M8" t="e">
        <f ca="1">SUM(I6:I73)</f>
        <v>#REF!</v>
      </c>
      <c r="N8">
        <v>47</v>
      </c>
      <c r="O8" s="8" t="e">
        <f ca="1">SUM(J6:J68)/12</f>
        <v>#REF!</v>
      </c>
    </row>
    <row r="9" spans="1:15">
      <c r="C9" s="26" t="s">
        <v>45</v>
      </c>
      <c r="D9" s="6">
        <v>2</v>
      </c>
    </row>
    <row r="10" spans="1:15" ht="15">
      <c r="C10" s="26" t="s">
        <v>46</v>
      </c>
      <c r="D10" s="6">
        <v>1</v>
      </c>
      <c r="L10" s="7" t="s">
        <v>47</v>
      </c>
      <c r="M10" s="7" t="s">
        <v>40</v>
      </c>
      <c r="N10" s="7" t="s">
        <v>41</v>
      </c>
      <c r="O10" s="7" t="s">
        <v>42</v>
      </c>
    </row>
    <row r="11" spans="1:15">
      <c r="C11" s="26" t="s">
        <v>48</v>
      </c>
      <c r="D11" s="6">
        <v>0</v>
      </c>
      <c r="L11" t="s">
        <v>35</v>
      </c>
      <c r="M11" t="e">
        <f ca="1">KRIT_RES_K1+KRIT_RES_K2+KRIT_RES_K3</f>
        <v>#REF!</v>
      </c>
      <c r="N11">
        <v>15</v>
      </c>
      <c r="O11" s="8" t="e">
        <f ca="1">(KRIT_RES_K1_N+KRIT_RES_K2_N+KRIT_RES_K3_N)/3</f>
        <v>#REF!</v>
      </c>
    </row>
    <row r="12" spans="1:15">
      <c r="A12" s="5" t="s">
        <v>49</v>
      </c>
      <c r="B12" s="28" t="s">
        <v>50</v>
      </c>
      <c r="E12">
        <v>4</v>
      </c>
      <c r="G12" t="e" cm="1">
        <f t="array" aca="1" ref="G12" ca="1">INDIRECT("'" &amp; SKJEMA_KRIT &amp; "'!" &amp; "KRIT_" &amp; A12)</f>
        <v>#REF!</v>
      </c>
      <c r="H12" t="e">
        <f ca="1">VLOOKUP(G12,C13:D17,2,0)</f>
        <v>#REF!</v>
      </c>
      <c r="I12" t="e">
        <f ca="1">H12</f>
        <v>#REF!</v>
      </c>
      <c r="J12" t="e">
        <f ca="1">I12/E12</f>
        <v>#REF!</v>
      </c>
      <c r="L12" t="s">
        <v>51</v>
      </c>
      <c r="M12" t="e">
        <f ca="1">KRIT_RES_K4+KRIT_RES_K5</f>
        <v>#REF!</v>
      </c>
      <c r="N12">
        <v>8</v>
      </c>
      <c r="O12" s="8" t="e">
        <f ca="1">(KRIT_RES_K4_N+KRIT_RES_K5_N)/2</f>
        <v>#REF!</v>
      </c>
    </row>
    <row r="13" spans="1:15">
      <c r="C13" s="26" t="s">
        <v>38</v>
      </c>
      <c r="D13" s="6">
        <v>4</v>
      </c>
      <c r="L13" t="s">
        <v>52</v>
      </c>
      <c r="M13" t="e">
        <f ca="1">KRIT_RES_K6+KRIT_RES_K7+KRIT_RES_K8</f>
        <v>#REF!</v>
      </c>
      <c r="N13">
        <v>9</v>
      </c>
      <c r="O13" s="8" t="e">
        <f ca="1">(KRIT_RES_K6_N+KRIT_RES_K7_N+KRIT_RES_K8_N)/3</f>
        <v>#REF!</v>
      </c>
    </row>
    <row r="14" spans="1:15">
      <c r="C14" s="26" t="s">
        <v>43</v>
      </c>
      <c r="D14" s="6">
        <v>3</v>
      </c>
      <c r="L14" t="s">
        <v>53</v>
      </c>
      <c r="M14" t="e">
        <f ca="1">KRIT_RES_K9+KRIT_RES_K10+KRIT_RES_K11+KRIT_RES_K12</f>
        <v>#REF!</v>
      </c>
      <c r="N14">
        <v>11</v>
      </c>
      <c r="O14" s="8" t="e">
        <f ca="1">(KRIT_RES_K9_N+KRIT_RES_K10_N+KRIT_RES_K11_N+KRIT_RES_K12_N)/4</f>
        <v>#REF!</v>
      </c>
    </row>
    <row r="15" spans="1:15">
      <c r="C15" s="26" t="s">
        <v>45</v>
      </c>
      <c r="D15" s="6">
        <v>2</v>
      </c>
    </row>
    <row r="16" spans="1:15">
      <c r="C16" s="26" t="s">
        <v>46</v>
      </c>
      <c r="D16" s="6">
        <v>1</v>
      </c>
    </row>
    <row r="17" spans="1:15" ht="15">
      <c r="C17" s="26" t="s">
        <v>48</v>
      </c>
      <c r="D17" s="6">
        <v>0</v>
      </c>
      <c r="L17" s="7" t="s">
        <v>54</v>
      </c>
      <c r="M17" s="7" t="s">
        <v>40</v>
      </c>
      <c r="N17" s="7" t="s">
        <v>41</v>
      </c>
      <c r="O17" s="7" t="s">
        <v>42</v>
      </c>
    </row>
    <row r="18" spans="1:15" ht="25.5">
      <c r="A18" s="5" t="s">
        <v>55</v>
      </c>
      <c r="B18" s="30" t="s">
        <v>56</v>
      </c>
      <c r="E18">
        <v>4</v>
      </c>
      <c r="G18" t="e" cm="1">
        <f t="array" aca="1" ref="G18" ca="1">INDIRECT("'" &amp; SKJEMA_KRIT &amp; "'!" &amp; "KRIT_" &amp; A18)</f>
        <v>#REF!</v>
      </c>
      <c r="H18" t="e">
        <f ca="1">VLOOKUP(G18,C19:D23,2,0)</f>
        <v>#REF!</v>
      </c>
      <c r="I18" t="e">
        <f ca="1">H18</f>
        <v>#REF!</v>
      </c>
      <c r="J18" t="e">
        <f ca="1">I18/E18</f>
        <v>#REF!</v>
      </c>
      <c r="L18" t="s">
        <v>57</v>
      </c>
      <c r="M18" t="e">
        <f ca="1">SUM(I6:I60)</f>
        <v>#REF!</v>
      </c>
      <c r="N18">
        <v>38</v>
      </c>
      <c r="O18" s="8" t="e">
        <f ca="1">SUM(J6:J60)/10</f>
        <v>#REF!</v>
      </c>
    </row>
    <row r="19" spans="1:15">
      <c r="C19" s="26" t="s">
        <v>38</v>
      </c>
      <c r="D19" s="6">
        <v>4</v>
      </c>
      <c r="L19" t="s">
        <v>58</v>
      </c>
      <c r="M19" t="e">
        <f ca="1">KRIT_RES_K6+KRIT_RES_K7+KRIT_RES_K8</f>
        <v>#REF!</v>
      </c>
      <c r="N19">
        <v>9</v>
      </c>
      <c r="O19" s="8" t="e">
        <f ca="1">(KRIT_RES_K6_N+KRIT_RES_K7_N+KRIT_RES_K8_N)/3</f>
        <v>#REF!</v>
      </c>
    </row>
    <row r="20" spans="1:15">
      <c r="C20" s="26" t="s">
        <v>43</v>
      </c>
      <c r="D20" s="6">
        <v>3</v>
      </c>
      <c r="L20" t="s">
        <v>59</v>
      </c>
      <c r="M20" t="e">
        <f ca="1">KRIT_RES_K5</f>
        <v>#REF!</v>
      </c>
      <c r="N20">
        <v>4</v>
      </c>
      <c r="O20" s="8" t="e">
        <f ca="1">KRIT_RES_K5_N</f>
        <v>#REF!</v>
      </c>
    </row>
    <row r="21" spans="1:15">
      <c r="C21" s="26" t="s">
        <v>45</v>
      </c>
      <c r="D21" s="6">
        <v>2</v>
      </c>
      <c r="L21" t="s">
        <v>60</v>
      </c>
      <c r="M21" t="e">
        <f ca="1">KRIT_RES_K6+KRIT_RES_K7+KRIT_RES_K5</f>
        <v>#REF!</v>
      </c>
      <c r="N21">
        <v>10</v>
      </c>
      <c r="O21" s="8" t="e">
        <f ca="1">(KRIT_RES_K6_N+KRIT_RES_K7_N+KRIT_RES_K5_N)/3</f>
        <v>#REF!</v>
      </c>
    </row>
    <row r="22" spans="1:15">
      <c r="C22" s="26" t="s">
        <v>46</v>
      </c>
      <c r="D22" s="6">
        <v>1</v>
      </c>
      <c r="L22" t="s">
        <v>61</v>
      </c>
      <c r="M22" t="e">
        <f ca="1">KRIT_RES_K9+KRIT_RES_K10</f>
        <v>#REF!</v>
      </c>
      <c r="N22">
        <v>9</v>
      </c>
      <c r="O22" s="8" t="e">
        <f ca="1">(KRIT_RES_K9_N+KRIT_RES_K10_N)/2</f>
        <v>#REF!</v>
      </c>
    </row>
    <row r="23" spans="1:15">
      <c r="C23" s="26" t="s">
        <v>48</v>
      </c>
      <c r="D23" s="6">
        <v>0</v>
      </c>
      <c r="L23" t="s">
        <v>62</v>
      </c>
      <c r="M23" t="e">
        <f ca="1">KRIT_RES_K11+KRIT_RES_K12</f>
        <v>#REF!</v>
      </c>
      <c r="N23">
        <v>2</v>
      </c>
      <c r="O23" s="8" t="e">
        <f ca="1">M23/N23</f>
        <v>#REF!</v>
      </c>
    </row>
    <row r="24" spans="1:15" ht="15">
      <c r="A24" t="s">
        <v>63</v>
      </c>
      <c r="B24" s="129" t="s">
        <v>64</v>
      </c>
      <c r="C24" s="26"/>
      <c r="D24" s="6"/>
      <c r="E24">
        <v>3</v>
      </c>
      <c r="G24" t="e" cm="1">
        <f t="array" aca="1" ref="G24" ca="1">INDIRECT("'" &amp; SKJEMA_KRIT &amp; "'!" &amp; "KRIT_" &amp; A24)</f>
        <v>#REF!</v>
      </c>
      <c r="H24" t="e">
        <f ca="1">VLOOKUP(G24,C25:D27,2,0)</f>
        <v>#REF!</v>
      </c>
      <c r="I24" t="e">
        <f ca="1">H24</f>
        <v>#REF!</v>
      </c>
      <c r="J24" t="e">
        <f ca="1">I24/E24</f>
        <v>#REF!</v>
      </c>
      <c r="O24" s="8"/>
    </row>
    <row r="25" spans="1:15">
      <c r="C25" s="26" t="s">
        <v>65</v>
      </c>
      <c r="D25" s="6">
        <v>3</v>
      </c>
      <c r="O25" s="8"/>
    </row>
    <row r="26" spans="1:15">
      <c r="C26" s="26" t="s">
        <v>66</v>
      </c>
      <c r="D26" s="6">
        <v>2</v>
      </c>
      <c r="O26" s="8"/>
    </row>
    <row r="27" spans="1:15">
      <c r="C27" s="26" t="s">
        <v>48</v>
      </c>
      <c r="D27" s="6">
        <v>1</v>
      </c>
      <c r="O27" s="8"/>
    </row>
    <row r="28" spans="1:15">
      <c r="A28" s="60" t="s">
        <v>51</v>
      </c>
      <c r="C28" s="26"/>
      <c r="D28" s="6"/>
      <c r="O28" s="8"/>
    </row>
    <row r="29" spans="1:15">
      <c r="A29" s="26" t="s">
        <v>67</v>
      </c>
      <c r="B29" s="35" t="s">
        <v>68</v>
      </c>
      <c r="D29" s="6"/>
      <c r="E29">
        <v>4</v>
      </c>
      <c r="G29" t="e" cm="1">
        <f t="array" aca="1" ref="G29" ca="1">INDIRECT("'" &amp; SKJEMA_KRIT &amp; "'!" &amp; "KRIT_" &amp; A29)</f>
        <v>#REF!</v>
      </c>
      <c r="H29" t="e">
        <f ca="1">VLOOKUP(G29,C30:D32,2,0)</f>
        <v>#REF!</v>
      </c>
      <c r="I29" t="e">
        <f ca="1">H29</f>
        <v>#REF!</v>
      </c>
      <c r="J29" t="e">
        <f ca="1">I29/E29</f>
        <v>#REF!</v>
      </c>
    </row>
    <row r="30" spans="1:15">
      <c r="C30" s="26" t="s">
        <v>69</v>
      </c>
      <c r="D30" s="6">
        <v>4</v>
      </c>
    </row>
    <row r="31" spans="1:15">
      <c r="C31" s="26" t="s">
        <v>70</v>
      </c>
      <c r="D31" s="6">
        <v>2</v>
      </c>
    </row>
    <row r="32" spans="1:15">
      <c r="C32" s="26" t="s">
        <v>71</v>
      </c>
      <c r="D32" s="6">
        <v>1</v>
      </c>
    </row>
    <row r="33" spans="1:10">
      <c r="A33" s="39" t="s">
        <v>72</v>
      </c>
      <c r="B33" s="28" t="s">
        <v>73</v>
      </c>
      <c r="E33">
        <v>4</v>
      </c>
      <c r="G33" t="e" cm="1">
        <f t="array" aca="1" ref="G33" ca="1">INDIRECT("'" &amp; SKJEMA_KRIT &amp; "'!" &amp; "KRIT_" &amp; A33)</f>
        <v>#REF!</v>
      </c>
      <c r="H33" t="e">
        <f ca="1">VLOOKUP(G33,C34:D37,2,0)</f>
        <v>#REF!</v>
      </c>
      <c r="I33" t="e">
        <f ca="1">H33</f>
        <v>#REF!</v>
      </c>
      <c r="J33" t="e">
        <f ca="1">I33/E33</f>
        <v>#REF!</v>
      </c>
    </row>
    <row r="34" spans="1:10">
      <c r="C34" s="26" t="s">
        <v>74</v>
      </c>
      <c r="D34">
        <v>4</v>
      </c>
    </row>
    <row r="35" spans="1:10">
      <c r="C35" s="26" t="s">
        <v>75</v>
      </c>
      <c r="D35">
        <v>2</v>
      </c>
    </row>
    <row r="36" spans="1:10">
      <c r="C36" s="26" t="s">
        <v>76</v>
      </c>
      <c r="D36">
        <v>2</v>
      </c>
    </row>
    <row r="37" spans="1:10">
      <c r="C37" s="26" t="s">
        <v>77</v>
      </c>
      <c r="D37">
        <v>0</v>
      </c>
    </row>
    <row r="38" spans="1:10">
      <c r="A38" s="60" t="s">
        <v>52</v>
      </c>
      <c r="C38" s="26"/>
    </row>
    <row r="39" spans="1:10">
      <c r="A39" t="s">
        <v>78</v>
      </c>
      <c r="B39" s="35" t="s">
        <v>79</v>
      </c>
      <c r="E39">
        <v>3</v>
      </c>
      <c r="G39" t="e" cm="1">
        <f t="array" aca="1" ref="G39" ca="1">INDIRECT("'" &amp; SKJEMA_KRIT &amp; "'!" &amp; "KRIT_" &amp; A39)</f>
        <v>#REF!</v>
      </c>
      <c r="H39" t="e">
        <f ca="1">VLOOKUP(G39,C40:D42,2,0)</f>
        <v>#REF!</v>
      </c>
      <c r="I39" t="e">
        <f ca="1">H39</f>
        <v>#REF!</v>
      </c>
      <c r="J39" t="e">
        <f ca="1">I39/E39</f>
        <v>#REF!</v>
      </c>
    </row>
    <row r="40" spans="1:10">
      <c r="C40" s="26" t="s">
        <v>65</v>
      </c>
      <c r="D40">
        <v>3</v>
      </c>
    </row>
    <row r="41" spans="1:10">
      <c r="C41" s="26" t="s">
        <v>80</v>
      </c>
      <c r="D41">
        <v>2</v>
      </c>
    </row>
    <row r="42" spans="1:10">
      <c r="C42" s="26" t="s">
        <v>48</v>
      </c>
      <c r="D42">
        <v>0</v>
      </c>
    </row>
    <row r="43" spans="1:10">
      <c r="A43" t="s">
        <v>81</v>
      </c>
      <c r="B43" s="35" t="s">
        <v>82</v>
      </c>
      <c r="E43">
        <v>3</v>
      </c>
      <c r="G43" t="e" cm="1">
        <f t="array" aca="1" ref="G43" ca="1">INDIRECT("'" &amp; SKJEMA_KRIT &amp; "'!" &amp; "KRIT_" &amp; A43)</f>
        <v>#REF!</v>
      </c>
      <c r="H43" t="e">
        <f ca="1">VLOOKUP(G43,C44:D46,2,0)</f>
        <v>#REF!</v>
      </c>
      <c r="I43" t="e">
        <f ca="1">H43</f>
        <v>#REF!</v>
      </c>
      <c r="J43" t="e">
        <f ca="1">I43/E43</f>
        <v>#REF!</v>
      </c>
    </row>
    <row r="44" spans="1:10">
      <c r="C44" s="26" t="s">
        <v>65</v>
      </c>
      <c r="D44">
        <v>3</v>
      </c>
    </row>
    <row r="45" spans="1:10">
      <c r="C45" s="26" t="s">
        <v>80</v>
      </c>
      <c r="D45">
        <v>2</v>
      </c>
    </row>
    <row r="46" spans="1:10">
      <c r="C46" s="26" t="s">
        <v>48</v>
      </c>
      <c r="D46">
        <v>0</v>
      </c>
    </row>
    <row r="47" spans="1:10" ht="25.5">
      <c r="A47" s="40" t="s">
        <v>83</v>
      </c>
      <c r="B47" s="28" t="s">
        <v>84</v>
      </c>
      <c r="E47">
        <v>3</v>
      </c>
      <c r="G47" t="e" cm="1">
        <f t="array" aca="1" ref="G47" ca="1">INDIRECT("'" &amp; SKJEMA_KRIT &amp; "'!" &amp; "KRIT_" &amp; A47)</f>
        <v>#REF!</v>
      </c>
      <c r="H47" t="e">
        <f ca="1">VLOOKUP(G47,C48:D51,2,0)</f>
        <v>#REF!</v>
      </c>
      <c r="I47" t="e">
        <f ca="1">H47</f>
        <v>#REF!</v>
      </c>
      <c r="J47" t="e">
        <f ca="1">I47/E47</f>
        <v>#REF!</v>
      </c>
    </row>
    <row r="48" spans="1:10">
      <c r="C48" s="26" t="s">
        <v>65</v>
      </c>
      <c r="D48">
        <v>3</v>
      </c>
    </row>
    <row r="49" spans="1:10">
      <c r="C49" s="26" t="s">
        <v>85</v>
      </c>
      <c r="D49">
        <v>2</v>
      </c>
    </row>
    <row r="50" spans="1:10">
      <c r="C50" s="26" t="s">
        <v>48</v>
      </c>
      <c r="D50">
        <v>0</v>
      </c>
    </row>
    <row r="51" spans="1:10">
      <c r="C51" s="26" t="s">
        <v>86</v>
      </c>
      <c r="D51">
        <v>1</v>
      </c>
    </row>
    <row r="52" spans="1:10">
      <c r="A52" s="60" t="s">
        <v>53</v>
      </c>
      <c r="C52" s="26"/>
    </row>
    <row r="53" spans="1:10">
      <c r="A53" t="s">
        <v>87</v>
      </c>
      <c r="B53" s="41" t="s">
        <v>88</v>
      </c>
      <c r="E53">
        <v>4</v>
      </c>
      <c r="G53" t="e" cm="1">
        <f t="array" aca="1" ref="G53" ca="1">INDIRECT("'" &amp; SKJEMA_KRIT &amp; "'!" &amp; "KRIT_" &amp; A53)</f>
        <v>#REF!</v>
      </c>
      <c r="H53" t="e">
        <f ca="1">VLOOKUP(G53,C54:D57,2,0)</f>
        <v>#REF!</v>
      </c>
      <c r="I53" t="e">
        <f ca="1">H53</f>
        <v>#REF!</v>
      </c>
      <c r="J53" t="e">
        <f ca="1">I53/E53</f>
        <v>#REF!</v>
      </c>
    </row>
    <row r="54" spans="1:10">
      <c r="B54" s="41"/>
      <c r="C54" t="s">
        <v>89</v>
      </c>
      <c r="D54">
        <v>4</v>
      </c>
    </row>
    <row r="55" spans="1:10">
      <c r="C55" s="26" t="s">
        <v>90</v>
      </c>
      <c r="D55">
        <v>3</v>
      </c>
    </row>
    <row r="56" spans="1:10">
      <c r="C56" s="26" t="s">
        <v>91</v>
      </c>
      <c r="D56">
        <v>2</v>
      </c>
    </row>
    <row r="57" spans="1:10">
      <c r="C57" s="26" t="s">
        <v>92</v>
      </c>
      <c r="D57">
        <v>1</v>
      </c>
    </row>
    <row r="58" spans="1:10">
      <c r="A58" t="s">
        <v>93</v>
      </c>
      <c r="B58" s="30" t="s">
        <v>94</v>
      </c>
      <c r="E58">
        <v>5</v>
      </c>
      <c r="G58" t="e" cm="1">
        <f t="array" aca="1" ref="G58" ca="1">INDIRECT("'" &amp; SKJEMA_KRIT &amp; "'!" &amp; "KRIT_" &amp; A58)</f>
        <v>#REF!</v>
      </c>
      <c r="H58" t="e">
        <f ca="1">VLOOKUP(G58,C59:D64,2,0)</f>
        <v>#REF!</v>
      </c>
      <c r="I58" t="e">
        <f ca="1">H58</f>
        <v>#REF!</v>
      </c>
      <c r="J58" t="e">
        <f ca="1">I58/E58</f>
        <v>#REF!</v>
      </c>
    </row>
    <row r="59" spans="1:10">
      <c r="C59" s="26" t="s">
        <v>95</v>
      </c>
      <c r="D59">
        <v>5</v>
      </c>
    </row>
    <row r="60" spans="1:10">
      <c r="C60" s="26" t="s">
        <v>96</v>
      </c>
      <c r="D60">
        <v>4</v>
      </c>
    </row>
    <row r="61" spans="1:10">
      <c r="C61" s="26" t="s">
        <v>97</v>
      </c>
      <c r="D61">
        <v>3</v>
      </c>
    </row>
    <row r="62" spans="1:10">
      <c r="C62" s="26" t="s">
        <v>98</v>
      </c>
      <c r="D62">
        <v>2</v>
      </c>
    </row>
    <row r="63" spans="1:10">
      <c r="C63" s="26" t="s">
        <v>99</v>
      </c>
      <c r="D63">
        <v>1</v>
      </c>
    </row>
    <row r="64" spans="1:10">
      <c r="C64" s="26" t="s">
        <v>77</v>
      </c>
      <c r="D64">
        <v>0</v>
      </c>
    </row>
    <row r="65" spans="1:10">
      <c r="A65" t="s">
        <v>100</v>
      </c>
      <c r="B65" s="28" t="s">
        <v>101</v>
      </c>
      <c r="E65">
        <v>2</v>
      </c>
      <c r="G65" t="e" cm="1">
        <f t="array" aca="1" ref="G65" ca="1">INDIRECT("'" &amp; SKJEMA_KRIT &amp; "'!" &amp; "KRIT_" &amp; A65)</f>
        <v>#REF!</v>
      </c>
      <c r="H65" t="e">
        <f ca="1">VLOOKUP(G65,C66:D67,2,0)</f>
        <v>#REF!</v>
      </c>
      <c r="I65" t="e">
        <f ca="1">H65</f>
        <v>#REF!</v>
      </c>
      <c r="J65" t="e">
        <f ca="1">I65/E65</f>
        <v>#REF!</v>
      </c>
    </row>
    <row r="66" spans="1:10">
      <c r="C66" s="26" t="s">
        <v>65</v>
      </c>
      <c r="D66">
        <v>2</v>
      </c>
    </row>
    <row r="67" spans="1:10">
      <c r="C67" s="26" t="s">
        <v>48</v>
      </c>
      <c r="D67">
        <v>1</v>
      </c>
    </row>
    <row r="68" spans="1:10">
      <c r="A68" t="s">
        <v>102</v>
      </c>
      <c r="B68" s="35" t="s">
        <v>103</v>
      </c>
      <c r="E68">
        <v>4</v>
      </c>
      <c r="G68" t="e" cm="1">
        <f t="array" aca="1" ref="G68" ca="1">INDIRECT("'" &amp; SKJEMA_KRIT &amp; "'!" &amp; "KRIT_" &amp; A68)</f>
        <v>#REF!</v>
      </c>
      <c r="H68" t="e">
        <f ca="1">VLOOKUP(G68,C69:D74,2,0)</f>
        <v>#REF!</v>
      </c>
      <c r="I68" t="e">
        <f ca="1">H68</f>
        <v>#REF!</v>
      </c>
      <c r="J68" t="e">
        <f ca="1">I68/E68</f>
        <v>#REF!</v>
      </c>
    </row>
    <row r="69" spans="1:10">
      <c r="C69" s="26" t="s">
        <v>104</v>
      </c>
      <c r="D69">
        <v>4</v>
      </c>
    </row>
    <row r="70" spans="1:10">
      <c r="C70" s="26" t="s">
        <v>105</v>
      </c>
      <c r="D70">
        <v>3</v>
      </c>
    </row>
    <row r="71" spans="1:10">
      <c r="C71" s="26" t="s">
        <v>106</v>
      </c>
      <c r="D71">
        <v>2</v>
      </c>
    </row>
    <row r="72" spans="1:10">
      <c r="C72" s="26" t="s">
        <v>48</v>
      </c>
      <c r="D72">
        <v>1</v>
      </c>
    </row>
    <row r="73" spans="1:10">
      <c r="C73" s="26" t="s">
        <v>107</v>
      </c>
      <c r="D73">
        <v>0</v>
      </c>
    </row>
    <row r="74" spans="1:10">
      <c r="C74" s="26" t="s">
        <v>108</v>
      </c>
      <c r="D74">
        <v>2</v>
      </c>
    </row>
  </sheetData>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123"/>
  <sheetViews>
    <sheetView zoomScale="120" zoomScaleNormal="120" workbookViewId="0">
      <pane ySplit="1" topLeftCell="A40" activePane="bottomLeft" state="frozen"/>
      <selection activeCell="H62" sqref="H62"/>
      <selection pane="bottomLeft" activeCell="H62" sqref="H62"/>
    </sheetView>
  </sheetViews>
  <sheetFormatPr baseColWidth="10" defaultColWidth="11.5703125" defaultRowHeight="12.75"/>
  <cols>
    <col min="1" max="1" width="11.5703125" style="25"/>
    <col min="2" max="2" width="57.5703125" customWidth="1"/>
    <col min="3" max="3" width="29.7109375" customWidth="1"/>
    <col min="4" max="4" width="9.42578125" customWidth="1"/>
    <col min="5" max="5" width="8.28515625" customWidth="1"/>
    <col min="6" max="6" width="7.42578125" customWidth="1"/>
    <col min="7" max="8" width="23" customWidth="1"/>
    <col min="9" max="9" width="9" customWidth="1"/>
    <col min="10" max="10" width="7.28515625" customWidth="1"/>
    <col min="11" max="12" width="29.28515625" customWidth="1"/>
  </cols>
  <sheetData>
    <row r="1" spans="1:15" s="23" customFormat="1" ht="25.5">
      <c r="A1" s="17" t="s">
        <v>25</v>
      </c>
      <c r="B1" s="18" t="s">
        <v>26</v>
      </c>
      <c r="C1" s="19" t="s">
        <v>27</v>
      </c>
      <c r="D1" s="19" t="s">
        <v>28</v>
      </c>
      <c r="E1" s="19" t="s">
        <v>29</v>
      </c>
      <c r="F1" s="19" t="s">
        <v>30</v>
      </c>
      <c r="G1" s="18" t="s">
        <v>31</v>
      </c>
      <c r="H1" s="18" t="s">
        <v>32</v>
      </c>
      <c r="I1" s="18" t="s">
        <v>33</v>
      </c>
      <c r="J1" s="20" t="s">
        <v>34</v>
      </c>
      <c r="K1" s="21"/>
      <c r="L1" s="22"/>
      <c r="M1" s="21"/>
    </row>
    <row r="2" spans="1:15" s="23" customFormat="1">
      <c r="A2" s="65" t="s">
        <v>109</v>
      </c>
      <c r="B2" s="18"/>
      <c r="C2" s="19"/>
      <c r="D2" s="19"/>
      <c r="E2" s="18"/>
      <c r="F2" s="19"/>
      <c r="G2" s="18"/>
      <c r="H2" s="18"/>
      <c r="I2" s="18"/>
      <c r="J2" s="21"/>
      <c r="K2" s="21"/>
      <c r="L2" s="22"/>
      <c r="M2" s="21"/>
    </row>
    <row r="3" spans="1:15">
      <c r="A3" s="24" t="s">
        <v>110</v>
      </c>
      <c r="B3" s="30" t="s">
        <v>111</v>
      </c>
      <c r="E3">
        <v>1</v>
      </c>
      <c r="G3" t="e" cm="1">
        <f t="array" aca="1" ref="G3" ca="1">INDIRECT("'" &amp; SKJEMA_KRIT &amp; "'!" &amp; "KM_" &amp; A3)</f>
        <v>#REF!</v>
      </c>
      <c r="H3" t="e">
        <f ca="1">VLOOKUP(G3,C4:D5,2,0)</f>
        <v>#REF!</v>
      </c>
      <c r="I3" t="e">
        <f ca="1">H3</f>
        <v>#REF!</v>
      </c>
      <c r="J3" t="e">
        <f ca="1">I3/E3</f>
        <v>#REF!</v>
      </c>
    </row>
    <row r="4" spans="1:15" ht="15">
      <c r="C4" s="26" t="s">
        <v>65</v>
      </c>
      <c r="D4">
        <v>1</v>
      </c>
      <c r="L4" s="7" t="s">
        <v>39</v>
      </c>
      <c r="M4" s="7" t="s">
        <v>40</v>
      </c>
      <c r="N4" s="7" t="s">
        <v>41</v>
      </c>
      <c r="O4" s="7" t="s">
        <v>42</v>
      </c>
    </row>
    <row r="5" spans="1:15">
      <c r="C5" s="26" t="s">
        <v>48</v>
      </c>
      <c r="D5">
        <v>0</v>
      </c>
      <c r="L5" t="s">
        <v>112</v>
      </c>
      <c r="M5" t="e">
        <f ca="1">SUM(I3:I123)</f>
        <v>#REF!</v>
      </c>
      <c r="N5">
        <v>65</v>
      </c>
      <c r="O5" s="8" t="e">
        <f ca="1">M5/N5</f>
        <v>#REF!</v>
      </c>
    </row>
    <row r="6" spans="1:15" ht="25.5">
      <c r="A6" s="24" t="s">
        <v>113</v>
      </c>
      <c r="B6" s="30" t="s">
        <v>114</v>
      </c>
      <c r="E6">
        <v>2</v>
      </c>
      <c r="G6" t="e" cm="1">
        <f t="array" aca="1" ref="G6" ca="1">INDIRECT("'" &amp; SKJEMA_KRIT &amp; "'!" &amp; "KM_" &amp; A6)</f>
        <v>#REF!</v>
      </c>
      <c r="H6" t="e">
        <f ca="1">VLOOKUP(G6,C7:D9,2,0)</f>
        <v>#REF!</v>
      </c>
      <c r="I6" t="e">
        <f ca="1">H6</f>
        <v>#REF!</v>
      </c>
      <c r="J6" t="e">
        <f ca="1">I6/E6</f>
        <v>#REF!</v>
      </c>
    </row>
    <row r="7" spans="1:15" ht="15">
      <c r="C7" s="26" t="s">
        <v>65</v>
      </c>
      <c r="D7">
        <v>2</v>
      </c>
      <c r="L7" s="7" t="s">
        <v>47</v>
      </c>
      <c r="M7" s="7" t="s">
        <v>40</v>
      </c>
      <c r="N7" s="7" t="s">
        <v>41</v>
      </c>
      <c r="O7" s="7" t="s">
        <v>42</v>
      </c>
    </row>
    <row r="8" spans="1:15">
      <c r="C8" s="26" t="s">
        <v>48</v>
      </c>
      <c r="D8">
        <v>1</v>
      </c>
      <c r="L8" t="s">
        <v>109</v>
      </c>
      <c r="M8" t="e">
        <f ca="1">SUM(I3:I23)</f>
        <v>#REF!</v>
      </c>
      <c r="N8">
        <v>14</v>
      </c>
      <c r="O8" s="8" t="e">
        <f ca="1">SUM(J3:J23)/6</f>
        <v>#REF!</v>
      </c>
    </row>
    <row r="9" spans="1:15">
      <c r="C9" s="26" t="s">
        <v>86</v>
      </c>
      <c r="D9">
        <v>0</v>
      </c>
      <c r="L9" t="s">
        <v>115</v>
      </c>
      <c r="M9" t="e">
        <f ca="1">SUM(I30:I61)</f>
        <v>#REF!</v>
      </c>
      <c r="N9">
        <f>3+3+3+3+3+3</f>
        <v>18</v>
      </c>
      <c r="O9" s="8" t="e">
        <f ca="1">SUM(J30:J61)/6</f>
        <v>#REF!</v>
      </c>
    </row>
    <row r="10" spans="1:15">
      <c r="A10" s="24" t="s">
        <v>116</v>
      </c>
      <c r="B10" s="28" t="s">
        <v>117</v>
      </c>
      <c r="E10">
        <v>2</v>
      </c>
      <c r="G10" t="e" cm="1">
        <f t="array" aca="1" ref="G10" ca="1">INDIRECT("'" &amp; SKJEMA_KRIT &amp; "'!" &amp; "KM_" &amp; A10)</f>
        <v>#REF!</v>
      </c>
      <c r="H10" t="e">
        <f ca="1">VLOOKUP(G10,C11:D13,2,0)</f>
        <v>#REF!</v>
      </c>
      <c r="I10" t="e">
        <f ca="1">H10</f>
        <v>#REF!</v>
      </c>
      <c r="J10" t="e">
        <f ca="1">I10/E10</f>
        <v>#REF!</v>
      </c>
      <c r="L10" t="s">
        <v>118</v>
      </c>
      <c r="M10" t="e">
        <f ca="1">SUM(I67:I88)</f>
        <v>#REF!</v>
      </c>
      <c r="N10">
        <v>15</v>
      </c>
      <c r="O10" s="8" t="e">
        <f ca="1">SUM(J67:J88)/5</f>
        <v>#REF!</v>
      </c>
    </row>
    <row r="11" spans="1:15">
      <c r="C11" s="26" t="s">
        <v>65</v>
      </c>
      <c r="D11">
        <v>2</v>
      </c>
      <c r="L11" t="s">
        <v>119</v>
      </c>
      <c r="M11" t="e">
        <f ca="1">SUM(I94:I108)</f>
        <v>#REF!</v>
      </c>
      <c r="N11">
        <f>3+3+2</f>
        <v>8</v>
      </c>
      <c r="O11" s="8" t="e">
        <f ca="1">SUM(J94:J108)/4</f>
        <v>#REF!</v>
      </c>
    </row>
    <row r="12" spans="1:15">
      <c r="C12" s="26" t="s">
        <v>48</v>
      </c>
      <c r="D12">
        <v>1</v>
      </c>
      <c r="L12" t="s">
        <v>120</v>
      </c>
      <c r="M12" t="e">
        <f ca="1">SUM(I112:I119)</f>
        <v>#REF!</v>
      </c>
      <c r="N12">
        <f>4+3</f>
        <v>7</v>
      </c>
      <c r="O12" s="8" t="e">
        <f ca="1">SUM(J112:J119)/2</f>
        <v>#REF!</v>
      </c>
    </row>
    <row r="13" spans="1:15">
      <c r="C13" s="26" t="s">
        <v>86</v>
      </c>
      <c r="D13">
        <v>0</v>
      </c>
    </row>
    <row r="14" spans="1:15" ht="26.25">
      <c r="A14" s="27" t="s">
        <v>121</v>
      </c>
      <c r="B14" s="28" t="s">
        <v>122</v>
      </c>
      <c r="E14">
        <v>2</v>
      </c>
      <c r="G14" t="e" cm="1">
        <f t="array" aca="1" ref="G14" ca="1">INDIRECT("'" &amp; SKJEMA_KRIT &amp; "'!" &amp; "KM_" &amp; A14)</f>
        <v>#REF!</v>
      </c>
      <c r="H14" t="e">
        <f ca="1">VLOOKUP(G14,C15:D17,2,0)</f>
        <v>#REF!</v>
      </c>
      <c r="I14" t="e">
        <f ca="1">H14</f>
        <v>#REF!</v>
      </c>
      <c r="J14" t="e">
        <f ca="1">I14/E14</f>
        <v>#REF!</v>
      </c>
      <c r="L14" s="7" t="s">
        <v>54</v>
      </c>
      <c r="M14" s="7" t="s">
        <v>40</v>
      </c>
      <c r="N14" s="7" t="s">
        <v>41</v>
      </c>
      <c r="O14" s="7" t="s">
        <v>42</v>
      </c>
    </row>
    <row r="15" spans="1:15">
      <c r="C15" s="26" t="s">
        <v>65</v>
      </c>
      <c r="D15">
        <v>2</v>
      </c>
      <c r="L15" t="s">
        <v>123</v>
      </c>
      <c r="M15" t="e">
        <f ca="1">SUM(I3:I61)</f>
        <v>#REF!</v>
      </c>
      <c r="N15">
        <v>32</v>
      </c>
      <c r="O15" s="8" t="e">
        <f ca="1">SUM(J3:J61)/12</f>
        <v>#REF!</v>
      </c>
    </row>
    <row r="16" spans="1:15">
      <c r="C16" s="26" t="s">
        <v>48</v>
      </c>
      <c r="D16">
        <v>1</v>
      </c>
      <c r="L16" t="s">
        <v>124</v>
      </c>
      <c r="M16" t="e">
        <f ca="1">KMOD_RES_MK5+KMOD_RES_MK11+KMOD_RES_MK13+KMOD_RES_MK14+KMOD_RES_MK15+KMOD_RES_MK16+KMOD_RES_MK19+KMOD_RES_MK22+KMOD_RES_MK23</f>
        <v>#REF!</v>
      </c>
      <c r="N16">
        <v>30</v>
      </c>
      <c r="O16" s="8" t="e">
        <f ca="1">(KMOD_RES_MK5_N+KMOD_RES_MK11_N+KMOD_RES_MK13_N+KMOD_RES_MK14_N+KMOD_RES_MK15_N+KMOD_RES_MK16_N+KMOD_RES_MK19_N+KMOD_RES_MK22_N+KMOD_RES_MK23_N)/9</f>
        <v>#REF!</v>
      </c>
    </row>
    <row r="17" spans="1:15">
      <c r="C17" s="26" t="s">
        <v>125</v>
      </c>
      <c r="D17">
        <v>0</v>
      </c>
      <c r="L17" t="s">
        <v>126</v>
      </c>
      <c r="M17" t="e">
        <f ca="1">SUM(I68:I94)</f>
        <v>#REF!</v>
      </c>
      <c r="N17">
        <v>18</v>
      </c>
      <c r="O17" s="8" t="e">
        <f ca="1">SUM(J68:J94)/6</f>
        <v>#REF!</v>
      </c>
    </row>
    <row r="18" spans="1:15" ht="25.5">
      <c r="A18" s="29" t="s">
        <v>127</v>
      </c>
      <c r="B18" s="28" t="s">
        <v>128</v>
      </c>
      <c r="E18">
        <v>3</v>
      </c>
      <c r="G18" t="e" cm="1">
        <f t="array" aca="1" ref="G18" ca="1">INDIRECT("'" &amp; SKJEMA_KRIT &amp; "'!" &amp; "KM_" &amp; A18)</f>
        <v>#REF!</v>
      </c>
      <c r="H18" t="e">
        <f ca="1">VLOOKUP(G18,C19:D22,2,0)</f>
        <v>#REF!</v>
      </c>
      <c r="I18" t="e">
        <f ca="1">H18</f>
        <v>#REF!</v>
      </c>
      <c r="J18" t="e">
        <f ca="1">I18/E18</f>
        <v>#REF!</v>
      </c>
      <c r="L18" t="s">
        <v>129</v>
      </c>
      <c r="M18" t="e">
        <f ca="1">KMOD_RES_MK7+KMOD_RES_MK8+KMOD_RES_MK9+KMOD_RES_MK10+KMOD_RES_MK11+KMOD_RES_MK12+KMOD_RES_MK17+KMOD_RES_MK21</f>
        <v>#REF!</v>
      </c>
      <c r="N18">
        <v>22</v>
      </c>
      <c r="O18" s="8" t="e">
        <f ca="1">(KMOD_RES_MK7_N+KMOD_RES_MK8_N+KMOD_RES_MK9_N+KMOD_RES_MK10_N+KMOD_RES_MK11_N+KMOD_RES_MK12_N+KMOD_RES_MK17_N+KMOD_RES_MK21_N)/8</f>
        <v>#REF!</v>
      </c>
    </row>
    <row r="19" spans="1:15">
      <c r="C19" s="26" t="s">
        <v>130</v>
      </c>
      <c r="D19">
        <v>3</v>
      </c>
      <c r="L19" t="s">
        <v>131</v>
      </c>
      <c r="M19" t="e">
        <f ca="1">KMOD_RES_MK13+KMOD_RES_MK14+KMOD_RES_MK15+KMOD_RES_MK16</f>
        <v>#REF!</v>
      </c>
      <c r="N19">
        <v>12</v>
      </c>
      <c r="O19" s="8" t="e">
        <f ca="1">(KMOD_RES_MK13_N+KMOD_RES_MK14_N+KMOD_RES_MK15_N+KMOD_RES_MK16_N)/4</f>
        <v>#REF!</v>
      </c>
    </row>
    <row r="20" spans="1:15">
      <c r="C20" s="26" t="s">
        <v>132</v>
      </c>
      <c r="D20">
        <v>2</v>
      </c>
      <c r="L20" t="s">
        <v>133</v>
      </c>
      <c r="M20" t="e">
        <f ca="1">KMOD_RES_MK17+KMOD_RES_MK21</f>
        <v>#REF!</v>
      </c>
      <c r="N20">
        <v>4</v>
      </c>
      <c r="O20" s="8" t="e">
        <f ca="1">(KMOD_RES_MK17_N+KMOD_RES_MK21_N)/2</f>
        <v>#REF!</v>
      </c>
    </row>
    <row r="21" spans="1:15">
      <c r="C21" s="26" t="s">
        <v>134</v>
      </c>
      <c r="D21">
        <v>1</v>
      </c>
      <c r="L21" t="s">
        <v>135</v>
      </c>
      <c r="M21">
        <f ca="1">KMOD_RES_MK22</f>
        <v>0</v>
      </c>
      <c r="N21">
        <v>6</v>
      </c>
      <c r="O21" s="8">
        <f ca="1">KMOD_RES_MK22_N</f>
        <v>0</v>
      </c>
    </row>
    <row r="22" spans="1:15">
      <c r="C22" s="26" t="s">
        <v>136</v>
      </c>
      <c r="D22">
        <v>0</v>
      </c>
      <c r="L22" t="s">
        <v>137</v>
      </c>
      <c r="M22" t="e">
        <f ca="1">KMOD_RES_MK20+KMOD_RES_MK18</f>
        <v>#REF!</v>
      </c>
      <c r="N22">
        <v>5</v>
      </c>
      <c r="O22" s="8" t="e">
        <f ca="1">(KMOD_RES_MK20_N+KMOD_RES_MK18_N)/2</f>
        <v>#REF!</v>
      </c>
    </row>
    <row r="23" spans="1:15">
      <c r="A23" s="24" t="s">
        <v>138</v>
      </c>
      <c r="B23" s="28" t="s">
        <v>139</v>
      </c>
      <c r="E23">
        <v>4</v>
      </c>
      <c r="G23" t="e" cm="1">
        <f t="array" aca="1" ref="G23" ca="1">INDIRECT("'" &amp; SKJEMA_KRIT &amp; "'!" &amp; "KM_" &amp; A23)</f>
        <v>#REF!</v>
      </c>
      <c r="H23" t="e">
        <f ca="1">VLOOKUP(G23,C24:D28,2,0)</f>
        <v>#REF!</v>
      </c>
      <c r="I23" t="e">
        <f ca="1">H23</f>
        <v>#REF!</v>
      </c>
      <c r="J23" t="e">
        <f ca="1">I23/E23</f>
        <v>#REF!</v>
      </c>
      <c r="L23" t="s">
        <v>140</v>
      </c>
      <c r="M23" t="e">
        <f ca="1">KMOD_RES_MK2+KMOD_RES_MK3</f>
        <v>#REF!</v>
      </c>
      <c r="N23">
        <v>4</v>
      </c>
      <c r="O23" s="91" t="e">
        <f ca="1">(KMOD_RES_MK2_N+KMOD_RES_MK3_N)/2</f>
        <v>#REF!</v>
      </c>
    </row>
    <row r="24" spans="1:15">
      <c r="C24" s="26" t="s">
        <v>65</v>
      </c>
      <c r="D24">
        <v>4</v>
      </c>
    </row>
    <row r="25" spans="1:15">
      <c r="C25" s="26" t="s">
        <v>141</v>
      </c>
      <c r="D25">
        <v>3</v>
      </c>
    </row>
    <row r="26" spans="1:15">
      <c r="C26" s="26" t="s">
        <v>48</v>
      </c>
      <c r="D26">
        <v>2</v>
      </c>
    </row>
    <row r="27" spans="1:15">
      <c r="C27" s="26" t="s">
        <v>142</v>
      </c>
      <c r="D27">
        <v>1</v>
      </c>
    </row>
    <row r="28" spans="1:15">
      <c r="A28"/>
      <c r="C28" s="26" t="s">
        <v>136</v>
      </c>
      <c r="D28">
        <v>0</v>
      </c>
    </row>
    <row r="29" spans="1:15">
      <c r="A29" s="66" t="s">
        <v>115</v>
      </c>
      <c r="C29" s="26"/>
    </row>
    <row r="30" spans="1:15" ht="25.5">
      <c r="A30" s="24" t="s">
        <v>143</v>
      </c>
      <c r="B30" s="30" t="s">
        <v>144</v>
      </c>
      <c r="E30">
        <v>3</v>
      </c>
      <c r="G30" t="e" cm="1">
        <f t="array" aca="1" ref="G30" ca="1">INDIRECT("'" &amp; SKJEMA_KRIT &amp; "'!" &amp; "KM_" &amp; A30)</f>
        <v>#REF!</v>
      </c>
      <c r="H30" t="e">
        <f ca="1">VLOOKUP(G30,C31:D34,2,0)</f>
        <v>#REF!</v>
      </c>
      <c r="I30" t="e">
        <f ca="1">H30</f>
        <v>#REF!</v>
      </c>
      <c r="J30" t="e">
        <f ca="1">I30/E30</f>
        <v>#REF!</v>
      </c>
    </row>
    <row r="31" spans="1:15">
      <c r="C31" s="26" t="s">
        <v>145</v>
      </c>
      <c r="D31">
        <v>3</v>
      </c>
    </row>
    <row r="32" spans="1:15">
      <c r="C32" s="26" t="s">
        <v>146</v>
      </c>
      <c r="D32">
        <v>2</v>
      </c>
    </row>
    <row r="33" spans="1:10">
      <c r="C33" s="26" t="s">
        <v>147</v>
      </c>
      <c r="D33">
        <v>1</v>
      </c>
    </row>
    <row r="34" spans="1:10">
      <c r="C34" s="26" t="s">
        <v>136</v>
      </c>
      <c r="D34">
        <v>0</v>
      </c>
    </row>
    <row r="35" spans="1:10" ht="25.5">
      <c r="A35" s="27" t="s">
        <v>148</v>
      </c>
      <c r="B35" s="30" t="s">
        <v>149</v>
      </c>
      <c r="E35">
        <v>3</v>
      </c>
      <c r="G35" t="e" cm="1">
        <f t="array" aca="1" ref="G35" ca="1">INDIRECT("'" &amp; SKJEMA_KRIT &amp; "'!" &amp; "KM_" &amp; A35)</f>
        <v>#REF!</v>
      </c>
      <c r="H35" t="e">
        <f ca="1">VLOOKUP(G35,C36:D39,2,0)</f>
        <v>#REF!</v>
      </c>
      <c r="I35" t="e">
        <f ca="1">H35</f>
        <v>#REF!</v>
      </c>
      <c r="J35" t="e">
        <f ca="1">I35/E35</f>
        <v>#REF!</v>
      </c>
    </row>
    <row r="36" spans="1:10">
      <c r="C36" s="26" t="s">
        <v>150</v>
      </c>
      <c r="D36">
        <v>3</v>
      </c>
    </row>
    <row r="37" spans="1:10">
      <c r="C37" s="26" t="s">
        <v>151</v>
      </c>
      <c r="D37">
        <v>2</v>
      </c>
    </row>
    <row r="38" spans="1:10">
      <c r="C38" s="26" t="s">
        <v>152</v>
      </c>
      <c r="D38">
        <v>1</v>
      </c>
    </row>
    <row r="39" spans="1:10">
      <c r="C39" s="26" t="s">
        <v>136</v>
      </c>
      <c r="D39">
        <v>0</v>
      </c>
    </row>
    <row r="40" spans="1:10" ht="25.5">
      <c r="A40" s="24" t="s">
        <v>153</v>
      </c>
      <c r="B40" s="30" t="s">
        <v>154</v>
      </c>
      <c r="E40">
        <v>3</v>
      </c>
      <c r="G40" t="e" cm="1">
        <f t="array" aca="1" ref="G40" ca="1">INDIRECT("'" &amp; SKJEMA_KRIT &amp; "'!" &amp; "KM_" &amp; A40)</f>
        <v>#REF!</v>
      </c>
      <c r="H40" t="e">
        <f ca="1">VLOOKUP(G40,C41:D44,2,0)</f>
        <v>#REF!</v>
      </c>
      <c r="I40" t="e">
        <f ca="1">H40</f>
        <v>#REF!</v>
      </c>
      <c r="J40" t="e">
        <f ca="1">I40/E40</f>
        <v>#REF!</v>
      </c>
    </row>
    <row r="41" spans="1:10">
      <c r="C41" s="26" t="s">
        <v>150</v>
      </c>
      <c r="D41">
        <v>3</v>
      </c>
    </row>
    <row r="42" spans="1:10">
      <c r="C42" s="26" t="s">
        <v>151</v>
      </c>
      <c r="D42">
        <v>2</v>
      </c>
    </row>
    <row r="43" spans="1:10">
      <c r="C43" s="26" t="s">
        <v>152</v>
      </c>
      <c r="D43">
        <v>1</v>
      </c>
    </row>
    <row r="44" spans="1:10">
      <c r="C44" s="26" t="s">
        <v>125</v>
      </c>
      <c r="D44">
        <v>0</v>
      </c>
    </row>
    <row r="45" spans="1:10" ht="25.5">
      <c r="A45" s="24" t="s">
        <v>155</v>
      </c>
      <c r="B45" s="28" t="s">
        <v>156</v>
      </c>
      <c r="E45">
        <v>3</v>
      </c>
      <c r="G45" t="e" cm="1">
        <f t="array" aca="1" ref="G45" ca="1">INDIRECT("'" &amp; SKJEMA_KRIT &amp; "'!" &amp; "KM_" &amp; A45)</f>
        <v>#REF!</v>
      </c>
      <c r="H45" t="e">
        <f ca="1">VLOOKUP(G45,C46:D49,2,0)</f>
        <v>#REF!</v>
      </c>
      <c r="I45" t="e">
        <f ca="1">H45</f>
        <v>#REF!</v>
      </c>
      <c r="J45" t="e">
        <f ca="1">I45/E45</f>
        <v>#REF!</v>
      </c>
    </row>
    <row r="46" spans="1:10">
      <c r="C46" s="26" t="s">
        <v>150</v>
      </c>
      <c r="D46">
        <v>3</v>
      </c>
    </row>
    <row r="47" spans="1:10">
      <c r="C47" s="26" t="s">
        <v>151</v>
      </c>
      <c r="D47">
        <v>2</v>
      </c>
    </row>
    <row r="48" spans="1:10">
      <c r="C48" s="26" t="s">
        <v>152</v>
      </c>
      <c r="D48">
        <v>1</v>
      </c>
    </row>
    <row r="49" spans="1:10">
      <c r="C49" s="26" t="s">
        <v>136</v>
      </c>
      <c r="D49">
        <v>0</v>
      </c>
    </row>
    <row r="50" spans="1:10">
      <c r="A50" s="31" t="s">
        <v>157</v>
      </c>
      <c r="B50" s="30" t="s">
        <v>158</v>
      </c>
      <c r="E50">
        <v>3</v>
      </c>
      <c r="G50" t="e" cm="1">
        <f t="array" aca="1" ref="G50" ca="1">INDIRECT("'" &amp; SKJEMA_KRIT &amp; "'!" &amp; "KM_" &amp; A50)</f>
        <v>#REF!</v>
      </c>
      <c r="H50" t="e">
        <f ca="1">VLOOKUP(G50,C51:D55,2,0)</f>
        <v>#REF!</v>
      </c>
      <c r="I50" t="e">
        <f ca="1">H50</f>
        <v>#REF!</v>
      </c>
      <c r="J50" t="e">
        <f ca="1">I50/E50</f>
        <v>#REF!</v>
      </c>
    </row>
    <row r="51" spans="1:10">
      <c r="C51" s="26" t="s">
        <v>150</v>
      </c>
      <c r="D51">
        <v>3</v>
      </c>
    </row>
    <row r="52" spans="1:10">
      <c r="C52" s="26" t="s">
        <v>151</v>
      </c>
      <c r="D52">
        <v>2</v>
      </c>
    </row>
    <row r="53" spans="1:10">
      <c r="C53" s="26" t="s">
        <v>152</v>
      </c>
      <c r="D53">
        <v>1</v>
      </c>
    </row>
    <row r="54" spans="1:10">
      <c r="C54" s="26" t="s">
        <v>136</v>
      </c>
      <c r="D54">
        <v>0</v>
      </c>
    </row>
    <row r="55" spans="1:10">
      <c r="C55" s="26" t="s">
        <v>107</v>
      </c>
      <c r="D55">
        <v>1</v>
      </c>
    </row>
    <row r="56" spans="1:10" ht="25.5">
      <c r="A56" s="27" t="s">
        <v>159</v>
      </c>
      <c r="B56" s="38" t="s">
        <v>160</v>
      </c>
      <c r="C56" s="26"/>
      <c r="E56">
        <v>3</v>
      </c>
      <c r="G56" t="e" cm="1">
        <f t="array" aca="1" ref="G56" ca="1">INDIRECT("'" &amp; SKJEMA_KRIT &amp; "'!" &amp; "KM_" &amp; A56)</f>
        <v>#REF!</v>
      </c>
      <c r="H56" t="e">
        <f ca="1">VLOOKUP(G56,C57:D60,2,0)</f>
        <v>#REF!</v>
      </c>
      <c r="I56" t="e">
        <f ca="1">H56</f>
        <v>#REF!</v>
      </c>
      <c r="J56" t="e">
        <f ca="1">I56/E56</f>
        <v>#REF!</v>
      </c>
    </row>
    <row r="57" spans="1:10">
      <c r="B57" s="55"/>
      <c r="C57" s="26" t="s">
        <v>65</v>
      </c>
      <c r="D57">
        <v>3</v>
      </c>
    </row>
    <row r="58" spans="1:10">
      <c r="C58" s="26" t="s">
        <v>141</v>
      </c>
      <c r="D58">
        <v>2</v>
      </c>
    </row>
    <row r="59" spans="1:10">
      <c r="C59" s="26" t="s">
        <v>48</v>
      </c>
      <c r="D59">
        <v>1</v>
      </c>
    </row>
    <row r="60" spans="1:10">
      <c r="C60" s="26" t="s">
        <v>136</v>
      </c>
      <c r="D60">
        <v>0</v>
      </c>
    </row>
    <row r="61" spans="1:10" ht="25.5">
      <c r="A61" s="27" t="s">
        <v>161</v>
      </c>
      <c r="B61" s="30" t="s">
        <v>162</v>
      </c>
      <c r="E61">
        <v>3</v>
      </c>
      <c r="G61" t="e" cm="1">
        <f t="array" aca="1" ref="G61" ca="1">INDIRECT("'" &amp; SKJEMA_KRIT &amp; "'!" &amp; "KM_" &amp; A61)</f>
        <v>#REF!</v>
      </c>
      <c r="H61" t="e">
        <f ca="1">VLOOKUP(G61,C62:D66,2,0)</f>
        <v>#REF!</v>
      </c>
      <c r="I61" t="e">
        <f ca="1">H61</f>
        <v>#REF!</v>
      </c>
      <c r="J61" t="e">
        <f ca="1">I61/E61</f>
        <v>#REF!</v>
      </c>
    </row>
    <row r="62" spans="1:10">
      <c r="C62" s="26" t="s">
        <v>150</v>
      </c>
      <c r="D62">
        <v>3</v>
      </c>
    </row>
    <row r="63" spans="1:10">
      <c r="C63" s="26" t="s">
        <v>151</v>
      </c>
      <c r="D63">
        <v>2</v>
      </c>
    </row>
    <row r="64" spans="1:10">
      <c r="C64" s="26" t="s">
        <v>152</v>
      </c>
      <c r="D64">
        <v>1</v>
      </c>
    </row>
    <row r="65" spans="1:10">
      <c r="C65" s="26" t="s">
        <v>136</v>
      </c>
      <c r="D65">
        <v>0</v>
      </c>
    </row>
    <row r="66" spans="1:10">
      <c r="C66" s="26" t="s">
        <v>86</v>
      </c>
      <c r="D66">
        <v>1</v>
      </c>
    </row>
    <row r="67" spans="1:10">
      <c r="A67" s="66" t="s">
        <v>118</v>
      </c>
      <c r="C67" s="26"/>
    </row>
    <row r="68" spans="1:10">
      <c r="A68" s="32" t="s">
        <v>163</v>
      </c>
      <c r="B68" s="33" t="s">
        <v>164</v>
      </c>
      <c r="E68">
        <v>5</v>
      </c>
      <c r="G68" t="e" cm="1">
        <f t="array" aca="1" ref="G68" ca="1">INDIRECT("'" &amp; SKJEMA_KRIT &amp; "'!" &amp; "KM_" &amp; A68)</f>
        <v>#REF!</v>
      </c>
      <c r="H68" t="e">
        <f ca="1">VLOOKUP(G68,C69:D74,2,0)</f>
        <v>#REF!</v>
      </c>
      <c r="I68" t="e">
        <f ca="1">H68</f>
        <v>#REF!</v>
      </c>
      <c r="J68" t="e">
        <f ca="1">I68/E68</f>
        <v>#REF!</v>
      </c>
    </row>
    <row r="69" spans="1:10">
      <c r="C69" s="26" t="s">
        <v>165</v>
      </c>
      <c r="D69">
        <v>5</v>
      </c>
    </row>
    <row r="70" spans="1:10">
      <c r="C70" s="26" t="s">
        <v>166</v>
      </c>
      <c r="D70">
        <v>4</v>
      </c>
    </row>
    <row r="71" spans="1:10">
      <c r="C71" s="26" t="s">
        <v>167</v>
      </c>
      <c r="D71">
        <v>3</v>
      </c>
    </row>
    <row r="72" spans="1:10">
      <c r="C72" s="26" t="s">
        <v>168</v>
      </c>
      <c r="D72">
        <v>2</v>
      </c>
    </row>
    <row r="73" spans="1:10">
      <c r="C73" s="26" t="s">
        <v>77</v>
      </c>
      <c r="D73">
        <v>1</v>
      </c>
    </row>
    <row r="74" spans="1:10">
      <c r="C74" s="26" t="s">
        <v>107</v>
      </c>
      <c r="D74">
        <v>0</v>
      </c>
    </row>
    <row r="75" spans="1:10" ht="15">
      <c r="A75" s="27" t="s">
        <v>169</v>
      </c>
      <c r="B75" s="34" t="s">
        <v>170</v>
      </c>
      <c r="E75">
        <v>2</v>
      </c>
      <c r="G75" t="e" cm="1">
        <f t="array" aca="1" ref="G75" ca="1">INDIRECT("'" &amp; SKJEMA_KRIT &amp; "'!" &amp; "KM_" &amp; A75)</f>
        <v>#REF!</v>
      </c>
      <c r="H75" t="e">
        <f ca="1">VLOOKUP(G75,C76:D78,2,0)</f>
        <v>#REF!</v>
      </c>
      <c r="I75" t="e">
        <f ca="1">H75</f>
        <v>#REF!</v>
      </c>
      <c r="J75" t="e">
        <f ca="1">I75/E75</f>
        <v>#REF!</v>
      </c>
    </row>
    <row r="76" spans="1:10">
      <c r="C76" s="26" t="s">
        <v>171</v>
      </c>
      <c r="D76">
        <v>2</v>
      </c>
    </row>
    <row r="77" spans="1:10">
      <c r="C77" s="26" t="s">
        <v>172</v>
      </c>
      <c r="D77">
        <v>1</v>
      </c>
    </row>
    <row r="78" spans="1:10">
      <c r="C78" s="26" t="s">
        <v>77</v>
      </c>
      <c r="D78">
        <v>0</v>
      </c>
    </row>
    <row r="79" spans="1:10" ht="25.5">
      <c r="A79" s="32" t="s">
        <v>173</v>
      </c>
      <c r="B79" s="33" t="s">
        <v>174</v>
      </c>
      <c r="E79">
        <v>3</v>
      </c>
      <c r="G79" t="e" cm="1">
        <f t="array" aca="1" ref="G79" ca="1">INDIRECT("'" &amp; SKJEMA_KRIT &amp; "'!" &amp; "KM_" &amp; A79)</f>
        <v>#REF!</v>
      </c>
      <c r="H79" t="e">
        <f ca="1">VLOOKUP(G79,C80:D83,2,0)</f>
        <v>#REF!</v>
      </c>
      <c r="I79" t="e">
        <f ca="1">H79</f>
        <v>#REF!</v>
      </c>
      <c r="J79" t="e">
        <f ca="1">I79/E79</f>
        <v>#REF!</v>
      </c>
    </row>
    <row r="80" spans="1:10">
      <c r="C80" s="26" t="s">
        <v>171</v>
      </c>
      <c r="D80">
        <v>3</v>
      </c>
    </row>
    <row r="81" spans="1:10">
      <c r="C81" s="26" t="s">
        <v>172</v>
      </c>
      <c r="D81">
        <v>2</v>
      </c>
    </row>
    <row r="82" spans="1:10">
      <c r="C82" s="26" t="s">
        <v>77</v>
      </c>
      <c r="D82">
        <v>1</v>
      </c>
    </row>
    <row r="83" spans="1:10">
      <c r="C83" s="26" t="s">
        <v>107</v>
      </c>
      <c r="D83">
        <v>0</v>
      </c>
    </row>
    <row r="84" spans="1:10" ht="25.5">
      <c r="A84" s="27" t="s">
        <v>175</v>
      </c>
      <c r="B84" s="28" t="s">
        <v>176</v>
      </c>
      <c r="E84">
        <v>2</v>
      </c>
      <c r="G84" t="e" cm="1">
        <f t="array" aca="1" ref="G84" ca="1">INDIRECT("'" &amp; SKJEMA_KRIT &amp; "'!" &amp; "KM_" &amp; A84)</f>
        <v>#REF!</v>
      </c>
      <c r="H84" t="e">
        <f ca="1">VLOOKUP(G84,C85:D87,2,0)</f>
        <v>#REF!</v>
      </c>
      <c r="I84" t="e">
        <f ca="1">H84</f>
        <v>#REF!</v>
      </c>
      <c r="J84" t="e">
        <f ca="1">I84/E84</f>
        <v>#REF!</v>
      </c>
    </row>
    <row r="85" spans="1:10">
      <c r="C85" s="26" t="s">
        <v>171</v>
      </c>
      <c r="D85">
        <v>2</v>
      </c>
    </row>
    <row r="86" spans="1:10">
      <c r="C86" s="26" t="s">
        <v>172</v>
      </c>
      <c r="D86">
        <v>1</v>
      </c>
    </row>
    <row r="87" spans="1:10">
      <c r="C87" s="26" t="s">
        <v>77</v>
      </c>
      <c r="D87">
        <v>0</v>
      </c>
    </row>
    <row r="88" spans="1:10" ht="25.5">
      <c r="A88" s="32" t="s">
        <v>177</v>
      </c>
      <c r="B88" s="28" t="s">
        <v>178</v>
      </c>
      <c r="E88">
        <v>3</v>
      </c>
      <c r="G88" t="e" cm="1">
        <f t="array" aca="1" ref="G88" ca="1">INDIRECT("'" &amp; SKJEMA_KRIT &amp; "'!" &amp; "KM_" &amp; A88)</f>
        <v>#REF!</v>
      </c>
      <c r="H88" t="e">
        <f ca="1">VLOOKUP(G88,C89:D92,2,0)</f>
        <v>#REF!</v>
      </c>
      <c r="I88" t="e">
        <f ca="1">H88</f>
        <v>#REF!</v>
      </c>
      <c r="J88" t="e">
        <f ca="1">I88/E88</f>
        <v>#REF!</v>
      </c>
    </row>
    <row r="89" spans="1:10">
      <c r="C89" s="26" t="s">
        <v>179</v>
      </c>
      <c r="D89">
        <v>3</v>
      </c>
    </row>
    <row r="90" spans="1:10">
      <c r="C90" s="26" t="s">
        <v>180</v>
      </c>
      <c r="D90">
        <v>2</v>
      </c>
    </row>
    <row r="91" spans="1:10">
      <c r="C91" s="26" t="s">
        <v>181</v>
      </c>
      <c r="D91">
        <v>1</v>
      </c>
    </row>
    <row r="92" spans="1:10">
      <c r="C92" s="26" t="s">
        <v>136</v>
      </c>
      <c r="D92">
        <v>0</v>
      </c>
    </row>
    <row r="93" spans="1:10">
      <c r="A93" s="66" t="s">
        <v>119</v>
      </c>
      <c r="C93" s="26"/>
    </row>
    <row r="94" spans="1:10">
      <c r="A94" s="27" t="s">
        <v>182</v>
      </c>
      <c r="B94" s="35" t="s">
        <v>183</v>
      </c>
      <c r="E94">
        <v>3</v>
      </c>
      <c r="G94" t="e" cm="1">
        <f t="array" aca="1" ref="G94" ca="1">INDIRECT("'" &amp; SKJEMA_KRIT &amp; "'!" &amp; "KM_" &amp; A94)</f>
        <v>#REF!</v>
      </c>
      <c r="H94" t="e">
        <f ca="1">VLOOKUP(G94,C95:D98,2,0)</f>
        <v>#REF!</v>
      </c>
      <c r="I94" t="e">
        <f ca="1">H94</f>
        <v>#REF!</v>
      </c>
      <c r="J94" t="e">
        <f ca="1">I94/E94</f>
        <v>#REF!</v>
      </c>
    </row>
    <row r="95" spans="1:10">
      <c r="C95" s="26" t="s">
        <v>184</v>
      </c>
      <c r="D95">
        <v>3</v>
      </c>
    </row>
    <row r="96" spans="1:10">
      <c r="C96" s="26" t="s">
        <v>185</v>
      </c>
      <c r="D96">
        <v>2</v>
      </c>
    </row>
    <row r="97" spans="1:10">
      <c r="C97" s="26" t="s">
        <v>186</v>
      </c>
      <c r="D97">
        <v>1</v>
      </c>
    </row>
    <row r="98" spans="1:10">
      <c r="C98" s="26" t="s">
        <v>187</v>
      </c>
      <c r="D98">
        <v>0</v>
      </c>
    </row>
    <row r="99" spans="1:10">
      <c r="A99" s="27" t="s">
        <v>188</v>
      </c>
      <c r="B99" s="30" t="s">
        <v>189</v>
      </c>
      <c r="E99">
        <v>3</v>
      </c>
      <c r="G99" t="e" cm="1">
        <f t="array" aca="1" ref="G99" ca="1">INDIRECT("'" &amp; SKJEMA_KRIT &amp; "'!" &amp; "KM_" &amp; A99)</f>
        <v>#REF!</v>
      </c>
      <c r="H99" t="e">
        <f ca="1">VLOOKUP(G99,C100:D103,2,0)</f>
        <v>#REF!</v>
      </c>
      <c r="I99" t="e">
        <f ca="1">H99</f>
        <v>#REF!</v>
      </c>
      <c r="J99" t="e">
        <f ca="1">I99/E99</f>
        <v>#REF!</v>
      </c>
    </row>
    <row r="100" spans="1:10">
      <c r="C100" s="36" t="s">
        <v>190</v>
      </c>
      <c r="D100" s="37">
        <v>3</v>
      </c>
    </row>
    <row r="101" spans="1:10">
      <c r="C101" s="26" t="s">
        <v>191</v>
      </c>
      <c r="D101">
        <v>2</v>
      </c>
    </row>
    <row r="102" spans="1:10">
      <c r="C102" s="26" t="s">
        <v>192</v>
      </c>
      <c r="D102">
        <v>1</v>
      </c>
    </row>
    <row r="103" spans="1:10">
      <c r="C103" s="26" t="s">
        <v>48</v>
      </c>
      <c r="D103">
        <v>0</v>
      </c>
    </row>
    <row r="104" spans="1:10" ht="25.5">
      <c r="A104" s="29" t="s">
        <v>193</v>
      </c>
      <c r="B104" s="30" t="s">
        <v>194</v>
      </c>
      <c r="E104">
        <v>2</v>
      </c>
      <c r="G104" t="e" cm="1">
        <f t="array" aca="1" ref="G104" ca="1">INDIRECT("'" &amp; SKJEMA_KRIT &amp; "'!" &amp; "KM_" &amp; A104)</f>
        <v>#REF!</v>
      </c>
      <c r="H104" t="e">
        <f ca="1">VLOOKUP(G104,C105:D107,2,0)</f>
        <v>#REF!</v>
      </c>
      <c r="I104" t="e">
        <f ca="1">H104</f>
        <v>#REF!</v>
      </c>
      <c r="J104" t="e">
        <f ca="1">I104/E104</f>
        <v>#REF!</v>
      </c>
    </row>
    <row r="105" spans="1:10">
      <c r="C105" s="26" t="s">
        <v>195</v>
      </c>
      <c r="D105">
        <v>2</v>
      </c>
    </row>
    <row r="106" spans="1:10">
      <c r="C106" s="26" t="s">
        <v>196</v>
      </c>
      <c r="D106">
        <v>1</v>
      </c>
    </row>
    <row r="107" spans="1:10">
      <c r="C107" s="26" t="s">
        <v>48</v>
      </c>
      <c r="D107">
        <v>0</v>
      </c>
    </row>
    <row r="108" spans="1:10" ht="25.5">
      <c r="A108" s="29" t="s">
        <v>197</v>
      </c>
      <c r="B108" s="30" t="s">
        <v>198</v>
      </c>
      <c r="C108" s="26"/>
      <c r="E108">
        <v>1</v>
      </c>
      <c r="G108" t="e" cm="1">
        <f t="array" aca="1" ref="G108" ca="1">INDIRECT("'" &amp; SKJEMA_KRIT &amp; "'!" &amp; "KM_" &amp; A108)</f>
        <v>#REF!</v>
      </c>
      <c r="H108" t="e">
        <f ca="1">VLOOKUP(G108,C109:D110,2,0)</f>
        <v>#REF!</v>
      </c>
      <c r="I108" t="e">
        <f ca="1">H108</f>
        <v>#REF!</v>
      </c>
      <c r="J108" t="e">
        <f ca="1">I108/E108</f>
        <v>#REF!</v>
      </c>
    </row>
    <row r="109" spans="1:10">
      <c r="C109" s="26" t="s">
        <v>65</v>
      </c>
      <c r="D109">
        <v>1</v>
      </c>
    </row>
    <row r="110" spans="1:10">
      <c r="C110" s="26" t="s">
        <v>48</v>
      </c>
      <c r="D110">
        <v>0</v>
      </c>
    </row>
    <row r="111" spans="1:10">
      <c r="A111" s="66" t="s">
        <v>120</v>
      </c>
      <c r="C111" s="26"/>
    </row>
    <row r="112" spans="1:10">
      <c r="A112" s="29" t="s">
        <v>199</v>
      </c>
      <c r="B112" s="30" t="s">
        <v>200</v>
      </c>
      <c r="E112">
        <v>5</v>
      </c>
      <c r="G112" t="s">
        <v>201</v>
      </c>
      <c r="I112">
        <f ca="1">COUNTIF(G113:G117,TRUE)</f>
        <v>0</v>
      </c>
      <c r="J112">
        <f ca="1">I112/E112</f>
        <v>0</v>
      </c>
    </row>
    <row r="113" spans="1:10">
      <c r="C113" s="26" t="s">
        <v>202</v>
      </c>
      <c r="D113">
        <v>1</v>
      </c>
      <c r="G113" t="e" cm="1">
        <f t="array" aca="1" ref="G113" ca="1">INDIRECT("'" &amp; SKJEMA_KRIT &amp; "'!" &amp; "MK_23_A")</f>
        <v>#REF!</v>
      </c>
    </row>
    <row r="114" spans="1:10">
      <c r="C114" s="26" t="s">
        <v>203</v>
      </c>
      <c r="D114">
        <v>1</v>
      </c>
      <c r="G114" t="e" cm="1">
        <f t="array" aca="1" ref="G114" ca="1">INDIRECT("'" &amp; SKJEMA_KRIT &amp; "'!" &amp; "MK_23_B")</f>
        <v>#REF!</v>
      </c>
    </row>
    <row r="115" spans="1:10">
      <c r="C115" s="26" t="s">
        <v>204</v>
      </c>
      <c r="D115">
        <v>1</v>
      </c>
      <c r="G115" t="e" cm="1">
        <f t="array" aca="1" ref="G115" ca="1">INDIRECT("'" &amp; SKJEMA_KRIT &amp; "'!" &amp; "MK_23_C")</f>
        <v>#REF!</v>
      </c>
    </row>
    <row r="116" spans="1:10">
      <c r="C116" s="26" t="s">
        <v>205</v>
      </c>
      <c r="D116">
        <v>1</v>
      </c>
      <c r="G116" t="e" cm="1">
        <f t="array" aca="1" ref="G116" ca="1">INDIRECT("'" &amp; SKJEMA_KRIT &amp; "'!" &amp; "MK_23_D")</f>
        <v>#REF!</v>
      </c>
    </row>
    <row r="117" spans="1:10">
      <c r="C117" s="26" t="s">
        <v>206</v>
      </c>
      <c r="D117">
        <v>1</v>
      </c>
      <c r="G117" t="e" cm="1">
        <f t="array" aca="1" ref="G117" ca="1">INDIRECT("'" &amp; SKJEMA_KRIT &amp; "'!" &amp; "MK_23_E")</f>
        <v>#REF!</v>
      </c>
    </row>
    <row r="118" spans="1:10">
      <c r="C118" s="26"/>
    </row>
    <row r="119" spans="1:10" ht="25.5">
      <c r="A119" s="29" t="s">
        <v>207</v>
      </c>
      <c r="B119" s="28" t="s">
        <v>208</v>
      </c>
      <c r="E119">
        <v>3</v>
      </c>
      <c r="G119" t="e" cm="1">
        <f t="array" aca="1" ref="G119" ca="1">INDIRECT("'" &amp; SKJEMA_KRIT &amp; "'!" &amp; "KM_" &amp; A119)</f>
        <v>#REF!</v>
      </c>
      <c r="H119" t="e">
        <f ca="1">VLOOKUP(G119,C120:D123,2,0)</f>
        <v>#REF!</v>
      </c>
      <c r="I119" t="e">
        <f ca="1">H119</f>
        <v>#REF!</v>
      </c>
      <c r="J119" t="e">
        <f ca="1">I119/E119</f>
        <v>#REF!</v>
      </c>
    </row>
    <row r="120" spans="1:10">
      <c r="C120" s="26" t="s">
        <v>209</v>
      </c>
      <c r="D120">
        <v>3</v>
      </c>
    </row>
    <row r="121" spans="1:10">
      <c r="C121" s="26" t="s">
        <v>210</v>
      </c>
      <c r="D121">
        <v>2</v>
      </c>
    </row>
    <row r="122" spans="1:10">
      <c r="C122" s="26" t="s">
        <v>211</v>
      </c>
      <c r="D122">
        <v>1</v>
      </c>
    </row>
    <row r="123" spans="1:10">
      <c r="C123" s="26" t="s">
        <v>212</v>
      </c>
      <c r="D123">
        <v>0</v>
      </c>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tint="0.59999389629810485"/>
  </sheetPr>
  <dimension ref="A1:I48"/>
  <sheetViews>
    <sheetView showGridLines="0" topLeftCell="A15" zoomScale="80" zoomScaleNormal="80" workbookViewId="0">
      <selection activeCell="D3" sqref="D3"/>
    </sheetView>
  </sheetViews>
  <sheetFormatPr baseColWidth="10" defaultColWidth="11.5703125" defaultRowHeight="15"/>
  <cols>
    <col min="1" max="1" width="7" style="73" customWidth="1"/>
    <col min="2" max="2" width="42.7109375" style="73" customWidth="1"/>
    <col min="3" max="3" width="4" style="73" customWidth="1"/>
    <col min="4" max="4" width="99.28515625" style="73" customWidth="1"/>
    <col min="5" max="16384" width="11.5703125" style="73"/>
  </cols>
  <sheetData>
    <row r="1" spans="1:5" ht="20.25" thickBot="1">
      <c r="A1" s="79" t="s">
        <v>213</v>
      </c>
    </row>
    <row r="2" spans="1:5" ht="15.75" thickTop="1">
      <c r="A2"/>
      <c r="B2"/>
    </row>
    <row r="3" spans="1:5">
      <c r="A3" s="1" t="s">
        <v>214</v>
      </c>
      <c r="B3"/>
      <c r="D3" s="71" t="str" cm="1">
        <f t="array" aca="1" ref="D3" ca="1">ANALYSE_AV</f>
        <v>Fant ikke fila eller navn mangler!</v>
      </c>
    </row>
    <row r="4" spans="1:5">
      <c r="A4"/>
      <c r="B4"/>
    </row>
    <row r="5" spans="1:5" ht="22.5" customHeight="1">
      <c r="A5" s="5" t="s">
        <v>215</v>
      </c>
      <c r="B5"/>
    </row>
    <row r="6" spans="1:5" ht="19.5" customHeight="1">
      <c r="A6" s="5" t="s">
        <v>216</v>
      </c>
      <c r="B6"/>
    </row>
    <row r="8" spans="1:5">
      <c r="A8" s="76" t="s">
        <v>217</v>
      </c>
    </row>
    <row r="9" spans="1:5">
      <c r="B9" s="58" t="s">
        <v>218</v>
      </c>
      <c r="C9" s="58"/>
      <c r="D9" s="58" t="s">
        <v>219</v>
      </c>
      <c r="E9" s="58"/>
    </row>
    <row r="10" spans="1:5" ht="55.5" customHeight="1">
      <c r="B10" s="74" t="s">
        <v>220</v>
      </c>
      <c r="C10" s="84"/>
      <c r="D10" s="102" t="s">
        <v>221</v>
      </c>
      <c r="E10" s="77"/>
    </row>
    <row r="11" spans="1:5" ht="59.25" customHeight="1">
      <c r="B11" s="133" t="s">
        <v>222</v>
      </c>
      <c r="C11" s="85"/>
      <c r="D11" s="132" t="str" cm="1">
        <f t="array" aca="1" ref="D11" ca="1">IFERROR(_xlfn.SWITCH(KRIT_RES_K11, 5, "Vi søker en leverandør som kan tilby 24/7 support med oppmøte. Dette innebærer at leverandørens tekniske team skal være tilgjengelig til enhver tid, dag og natt, inkludert helger og helligdager, for å gi umiddelbar assistanse på stedet. ", 4, "Denne utlysningen krever at leverandøren tilbyr 24/7 support via telefon og epost. Med dette alternativet, skal leverandørens supportteam være tilgjengelig hele døgnet for å gi umiddelbar assistanse og veiledning via telefon og epost. ", 3, "Vi søker en leverandør som kan tilby support på vanlige forretningsdager via telefon og epost. Dette innebærer at supportteamet skal være tilgjengelig i løpet av standard arbeidstid på hverdager for å gi assistanse og løse eventuelle problemer.", 2, "Denne utlysningen krever at leverandøren tilbyr support gjennom epost. Leverandørens team skal svare på henvendelser via epost innenfor avtalte tidsrammer. ", 1, "For denne løsningen vil det være tilstrekkelig med selvhjelp over internet."), "Svar på spørsmål mangler")</f>
        <v>Svar på spørsmål mangler</v>
      </c>
    </row>
    <row r="12" spans="1:5" ht="72.75" customHeight="1">
      <c r="B12" s="74" t="s">
        <v>223</v>
      </c>
      <c r="C12" s="85"/>
      <c r="D12" s="90" t="s">
        <v>224</v>
      </c>
    </row>
    <row r="13" spans="1:5" ht="116.25" customHeight="1">
      <c r="B13" s="133" t="s">
        <v>225</v>
      </c>
      <c r="C13" s="84"/>
      <c r="D13" s="90" t="s">
        <v>226</v>
      </c>
      <c r="E13" s="58"/>
    </row>
    <row r="14" spans="1:5" ht="62.25" customHeight="1">
      <c r="B14" s="133" t="s">
        <v>227</v>
      </c>
      <c r="C14" s="84"/>
      <c r="D14" s="90" t="s">
        <v>228</v>
      </c>
      <c r="E14" s="77"/>
    </row>
    <row r="15" spans="1:5" ht="114" customHeight="1">
      <c r="B15" s="133" t="s">
        <v>229</v>
      </c>
      <c r="C15" s="84"/>
      <c r="D15" s="90" t="s">
        <v>230</v>
      </c>
      <c r="E15" s="77"/>
    </row>
    <row r="16" spans="1:5" ht="125.25" customHeight="1">
      <c r="B16" s="133" t="s">
        <v>231</v>
      </c>
      <c r="C16" s="84"/>
      <c r="D16" s="90" t="s">
        <v>232</v>
      </c>
      <c r="E16" s="77"/>
    </row>
    <row r="17" spans="1:5" ht="78.75" customHeight="1">
      <c r="B17" s="133" t="s">
        <v>233</v>
      </c>
      <c r="C17" s="84"/>
      <c r="D17" s="90" t="s">
        <v>234</v>
      </c>
      <c r="E17" s="77"/>
    </row>
    <row r="18" spans="1:5" ht="54" customHeight="1">
      <c r="B18" s="133" t="s">
        <v>235</v>
      </c>
      <c r="C18" s="84"/>
      <c r="D18" s="90" t="s">
        <v>236</v>
      </c>
      <c r="E18" s="77"/>
    </row>
    <row r="19" spans="1:5" ht="123" customHeight="1">
      <c r="B19" s="74" t="s">
        <v>237</v>
      </c>
      <c r="C19" s="84"/>
      <c r="D19" s="90" t="s">
        <v>238</v>
      </c>
      <c r="E19" s="78"/>
    </row>
    <row r="21" spans="1:5">
      <c r="A21" s="76" t="s">
        <v>239</v>
      </c>
    </row>
    <row r="22" spans="1:5">
      <c r="B22" s="71" t="s">
        <v>240</v>
      </c>
      <c r="C22" s="71"/>
      <c r="D22" s="58" t="s">
        <v>241</v>
      </c>
      <c r="E22" s="58"/>
    </row>
    <row r="23" spans="1:5" ht="30">
      <c r="B23" s="80" t="s">
        <v>242</v>
      </c>
      <c r="C23" s="83"/>
      <c r="D23" s="90" t="s">
        <v>243</v>
      </c>
      <c r="E23" s="78"/>
    </row>
    <row r="24" spans="1:5" ht="30">
      <c r="B24" s="81" t="s">
        <v>244</v>
      </c>
      <c r="C24" s="83"/>
      <c r="D24" s="90" t="s">
        <v>245</v>
      </c>
      <c r="E24" s="77"/>
    </row>
    <row r="25" spans="1:5" ht="30">
      <c r="A25" s="64"/>
      <c r="B25" s="82" t="s">
        <v>246</v>
      </c>
      <c r="C25" s="83"/>
      <c r="D25" s="90" t="s">
        <v>247</v>
      </c>
      <c r="E25" s="77"/>
    </row>
    <row r="26" spans="1:5" ht="30">
      <c r="A26" s="64"/>
      <c r="B26" s="80" t="s">
        <v>248</v>
      </c>
      <c r="C26" s="83"/>
      <c r="D26" s="90" t="s">
        <v>249</v>
      </c>
    </row>
    <row r="27" spans="1:5" ht="30">
      <c r="B27" s="80" t="s">
        <v>250</v>
      </c>
      <c r="C27" s="86"/>
      <c r="D27" s="90" t="s">
        <v>251</v>
      </c>
    </row>
    <row r="28" spans="1:5">
      <c r="B28" s="81"/>
    </row>
    <row r="29" spans="1:5">
      <c r="B29" s="81"/>
    </row>
    <row r="30" spans="1:5">
      <c r="B30" s="81"/>
    </row>
    <row r="31" spans="1:5">
      <c r="B31" s="81"/>
    </row>
    <row r="32" spans="1:5">
      <c r="B32" s="81"/>
    </row>
    <row r="33" spans="2:9">
      <c r="B33" s="81"/>
    </row>
    <row r="34" spans="2:9">
      <c r="B34" s="81"/>
      <c r="I34" s="73">
        <v>1</v>
      </c>
    </row>
    <row r="35" spans="2:9">
      <c r="B35" s="81"/>
    </row>
    <row r="36" spans="2:9">
      <c r="B36" s="81"/>
    </row>
    <row r="37" spans="2:9">
      <c r="B37" s="81"/>
    </row>
    <row r="38" spans="2:9">
      <c r="B38" s="81"/>
    </row>
    <row r="39" spans="2:9">
      <c r="B39" s="81"/>
    </row>
    <row r="40" spans="2:9">
      <c r="B40" s="81"/>
    </row>
    <row r="41" spans="2:9">
      <c r="B41" s="81"/>
    </row>
    <row r="42" spans="2:9">
      <c r="B42" s="81"/>
    </row>
    <row r="43" spans="2:9">
      <c r="B43" s="81"/>
    </row>
    <row r="44" spans="2:9">
      <c r="B44" s="81"/>
    </row>
    <row r="45" spans="2:9">
      <c r="B45" s="81"/>
    </row>
    <row r="46" spans="2:9">
      <c r="B46" s="81"/>
    </row>
    <row r="47" spans="2:9">
      <c r="B47" s="81"/>
    </row>
    <row r="48" spans="2:9">
      <c r="B48" s="81"/>
    </row>
  </sheetData>
  <conditionalFormatting sqref="D10">
    <cfRule type="expression" dxfId="39" priority="14">
      <formula>SUM_KRITIKALITET_N&gt;0.6</formula>
    </cfRule>
  </conditionalFormatting>
  <conditionalFormatting sqref="D12">
    <cfRule type="expression" dxfId="38" priority="3">
      <formula>KMOD_RES_MK5&gt;1</formula>
    </cfRule>
  </conditionalFormatting>
  <conditionalFormatting sqref="D13">
    <cfRule type="expression" dxfId="37" priority="2">
      <formula>KRIT_RES_K6=3</formula>
    </cfRule>
  </conditionalFormatting>
  <conditionalFormatting sqref="D14">
    <cfRule type="expression" dxfId="36" priority="1">
      <formula>KRIT_RES_K7=3</formula>
    </cfRule>
  </conditionalFormatting>
  <conditionalFormatting sqref="D15">
    <cfRule type="expression" dxfId="35" priority="13">
      <formula>KRIT_RES_K8=3</formula>
    </cfRule>
  </conditionalFormatting>
  <conditionalFormatting sqref="D16">
    <cfRule type="expression" dxfId="34" priority="9">
      <formula>KRIT_RES_K9&gt;2</formula>
    </cfRule>
  </conditionalFormatting>
  <conditionalFormatting sqref="D17">
    <cfRule type="expression" dxfId="33" priority="12">
      <formula>KRIT_RES_K12&gt;2</formula>
    </cfRule>
  </conditionalFormatting>
  <conditionalFormatting sqref="D18">
    <cfRule type="expression" dxfId="32" priority="11">
      <formula>KRIT_RES_K12&gt;3</formula>
    </cfRule>
  </conditionalFormatting>
  <conditionalFormatting sqref="D19">
    <cfRule type="expression" dxfId="31" priority="10">
      <formula>SUM_AVHENGIGHETER&gt;6</formula>
    </cfRule>
  </conditionalFormatting>
  <conditionalFormatting sqref="D23">
    <cfRule type="expression" dxfId="30" priority="4">
      <formula>KRIT_RES_K7=3</formula>
    </cfRule>
  </conditionalFormatting>
  <conditionalFormatting sqref="D24:D25">
    <cfRule type="expression" dxfId="29" priority="7">
      <formula>IF(AND(KMOD_RES_MK6 &lt; 3, SUM_AVHENGIGHETER_N &gt; 0.5), TRUE, FALSE)</formula>
    </cfRule>
  </conditionalFormatting>
  <conditionalFormatting sqref="D26">
    <cfRule type="expression" dxfId="28" priority="6">
      <formula>"IF=SYSTEMANSVARLIG_INVOLVERING&lt;0.6"</formula>
    </cfRule>
  </conditionalFormatting>
  <conditionalFormatting sqref="D27">
    <cfRule type="expression" dxfId="27" priority="5">
      <formula>KMOD_RES_MK23&lt;2</formula>
    </cfRule>
  </conditionalFormatting>
  <pageMargins left="0.78749999999999998" right="0.78749999999999998" top="1.0249999999999999" bottom="1.0249999999999999" header="0.78749999999999998" footer="0.78749999999999998"/>
  <pageSetup paperSize="9" orientation="portrait" horizontalDpi="300" verticalDpi="30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74"/>
  <sheetViews>
    <sheetView zoomScaleNormal="100" workbookViewId="0">
      <pane ySplit="1" topLeftCell="A13" activePane="bottomLeft" state="frozen"/>
      <selection activeCell="I102" sqref="I102"/>
      <selection pane="bottomLeft" activeCell="I102" sqref="I102"/>
    </sheetView>
  </sheetViews>
  <sheetFormatPr baseColWidth="10" defaultColWidth="11.5703125" defaultRowHeight="12.75"/>
  <cols>
    <col min="2" max="2" width="63.7109375" customWidth="1"/>
    <col min="3" max="3" width="38.5703125" customWidth="1"/>
    <col min="4" max="6" width="11.28515625" customWidth="1"/>
    <col min="7" max="7" width="28.28515625" customWidth="1"/>
    <col min="9" max="9" width="8" customWidth="1"/>
    <col min="10" max="10" width="10.28515625" customWidth="1"/>
    <col min="11" max="11" width="24.28515625" customWidth="1"/>
  </cols>
  <sheetData>
    <row r="1" spans="1:14">
      <c r="A1" s="42" t="s">
        <v>25</v>
      </c>
      <c r="B1" s="43" t="s">
        <v>26</v>
      </c>
      <c r="C1" s="44" t="s">
        <v>27</v>
      </c>
      <c r="D1" s="44" t="s">
        <v>28</v>
      </c>
      <c r="E1" s="44" t="s">
        <v>29</v>
      </c>
      <c r="F1" s="44" t="s">
        <v>30</v>
      </c>
      <c r="G1" s="43" t="s">
        <v>31</v>
      </c>
      <c r="H1" s="43" t="s">
        <v>33</v>
      </c>
      <c r="I1" s="1" t="s">
        <v>34</v>
      </c>
      <c r="J1" s="1"/>
    </row>
    <row r="2" spans="1:14">
      <c r="A2" s="95" t="s">
        <v>252</v>
      </c>
      <c r="B2" s="48" t="s">
        <v>253</v>
      </c>
      <c r="C2" s="46"/>
      <c r="D2" s="46"/>
      <c r="E2" s="46"/>
      <c r="F2" s="46"/>
      <c r="G2" s="95" t="e" cm="1">
        <f t="array" aca="1" ref="G2" ca="1">INDIRECT("'" &amp; SKJEMA_LEV &amp; "'!" &amp; "LEV_NAVN")</f>
        <v>#REF!</v>
      </c>
      <c r="H2" s="48"/>
      <c r="I2" s="1"/>
      <c r="J2" s="1"/>
    </row>
    <row r="3" spans="1:14">
      <c r="A3" s="45" t="s">
        <v>254</v>
      </c>
      <c r="B3" s="46" t="s">
        <v>255</v>
      </c>
      <c r="C3" s="47"/>
      <c r="D3" s="47"/>
      <c r="E3" s="47">
        <v>1</v>
      </c>
      <c r="G3" s="47" t="e" cm="1">
        <f t="array" aca="1" ref="G3" ca="1">INDIRECT("'" &amp; SKJEMA_LEV &amp; "'!LEV_" &amp; A3)</f>
        <v>#REF!</v>
      </c>
      <c r="H3" s="47" t="e">
        <f ca="1">VLOOKUP(G3,C4:D5,2,0)</f>
        <v>#REF!</v>
      </c>
      <c r="I3" t="e">
        <f ca="1">H3/E3</f>
        <v>#REF!</v>
      </c>
    </row>
    <row r="4" spans="1:14">
      <c r="A4" s="47"/>
      <c r="B4" s="48"/>
      <c r="C4" s="45" t="s">
        <v>65</v>
      </c>
      <c r="D4" s="47">
        <v>1</v>
      </c>
      <c r="E4" s="47"/>
      <c r="G4" s="47"/>
      <c r="H4" s="47"/>
    </row>
    <row r="5" spans="1:14" ht="15">
      <c r="A5" s="47"/>
      <c r="B5" s="48"/>
      <c r="C5" s="47" t="s">
        <v>48</v>
      </c>
      <c r="D5" s="47">
        <v>0</v>
      </c>
      <c r="E5" s="47"/>
      <c r="G5" s="47"/>
      <c r="H5" s="47"/>
      <c r="K5" s="7" t="s">
        <v>39</v>
      </c>
      <c r="L5" s="7" t="s">
        <v>40</v>
      </c>
      <c r="M5" s="7" t="s">
        <v>41</v>
      </c>
      <c r="N5" s="7" t="s">
        <v>42</v>
      </c>
    </row>
    <row r="6" spans="1:14">
      <c r="A6" s="45" t="s">
        <v>256</v>
      </c>
      <c r="B6" s="46" t="s">
        <v>257</v>
      </c>
      <c r="C6" s="47"/>
      <c r="D6" s="47"/>
      <c r="E6" s="47">
        <v>3</v>
      </c>
      <c r="G6" s="47" t="e" cm="1">
        <f t="array" aca="1" ref="G6" ca="1">INDIRECT("'" &amp; SKJEMA_LEV &amp; "'!LEV_" &amp; A6)</f>
        <v>#REF!</v>
      </c>
      <c r="H6" s="47" t="e">
        <f ca="1">VLOOKUP(G6,C7:D10,2,0)</f>
        <v>#REF!</v>
      </c>
      <c r="I6" t="e">
        <f ca="1">H6/E6</f>
        <v>#REF!</v>
      </c>
      <c r="K6" t="s">
        <v>258</v>
      </c>
      <c r="L6" t="e">
        <f ca="1">SUM(H3:H72)</f>
        <v>#REF!</v>
      </c>
      <c r="M6">
        <v>31</v>
      </c>
      <c r="N6" s="8" t="e">
        <f ca="1">SUM(I3:I72)/15</f>
        <v>#REF!</v>
      </c>
    </row>
    <row r="7" spans="1:14">
      <c r="A7" s="47"/>
      <c r="B7" s="48"/>
      <c r="C7" s="49" t="s">
        <v>259</v>
      </c>
      <c r="D7" s="47">
        <v>3</v>
      </c>
      <c r="E7" s="47"/>
      <c r="G7" s="47"/>
      <c r="H7" s="47"/>
    </row>
    <row r="8" spans="1:14" ht="15">
      <c r="A8" s="47"/>
      <c r="B8" s="48"/>
      <c r="C8" s="49" t="s">
        <v>260</v>
      </c>
      <c r="D8" s="47">
        <v>2</v>
      </c>
      <c r="E8" s="47"/>
      <c r="G8" s="47"/>
      <c r="H8" s="47"/>
      <c r="K8" s="7" t="s">
        <v>54</v>
      </c>
      <c r="L8" s="7" t="s">
        <v>40</v>
      </c>
      <c r="M8" s="7" t="s">
        <v>41</v>
      </c>
      <c r="N8" s="7" t="s">
        <v>42</v>
      </c>
    </row>
    <row r="9" spans="1:14">
      <c r="A9" s="47"/>
      <c r="B9" s="48"/>
      <c r="C9" s="49" t="s">
        <v>261</v>
      </c>
      <c r="D9" s="47">
        <v>1</v>
      </c>
      <c r="E9" s="47"/>
      <c r="G9" s="47"/>
      <c r="H9" s="47"/>
      <c r="K9" t="s">
        <v>262</v>
      </c>
      <c r="L9" t="e">
        <f ca="1">SUM(H4:H33)</f>
        <v>#REF!</v>
      </c>
      <c r="M9">
        <v>12</v>
      </c>
      <c r="N9" s="8" t="e">
        <f ca="1">SUM(I4:I33)/7</f>
        <v>#REF!</v>
      </c>
    </row>
    <row r="10" spans="1:14">
      <c r="A10" s="47"/>
      <c r="B10" s="48"/>
      <c r="C10" s="49" t="s">
        <v>136</v>
      </c>
      <c r="D10" s="47">
        <v>0</v>
      </c>
      <c r="E10" s="47"/>
      <c r="G10" s="47"/>
      <c r="H10" s="47"/>
      <c r="K10" t="s">
        <v>263</v>
      </c>
      <c r="L10" t="e">
        <f ca="1">SUM(H16:H57)</f>
        <v>#REF!</v>
      </c>
      <c r="M10">
        <v>19</v>
      </c>
      <c r="N10" s="8" t="e">
        <f ca="1">SUM(I16:I57)/10</f>
        <v>#REF!</v>
      </c>
    </row>
    <row r="11" spans="1:14">
      <c r="A11" s="50" t="s">
        <v>264</v>
      </c>
      <c r="B11" s="51" t="s">
        <v>265</v>
      </c>
      <c r="C11" s="47"/>
      <c r="D11" s="47"/>
      <c r="E11" s="47">
        <v>3</v>
      </c>
      <c r="G11" s="47" t="e" cm="1">
        <f t="array" aca="1" ref="G11" ca="1">INDIRECT("'" &amp; SKJEMA_LEV &amp; "'!LEV_" &amp; A11)</f>
        <v>#REF!</v>
      </c>
      <c r="H11" s="47" t="e">
        <f ca="1">VLOOKUP(G11,C12:D15,2,0)</f>
        <v>#REF!</v>
      </c>
      <c r="I11" t="e">
        <f ca="1">H11/E11</f>
        <v>#REF!</v>
      </c>
      <c r="K11" t="s">
        <v>266</v>
      </c>
      <c r="L11" t="e">
        <f ca="1">RES_LIS05+RES_LIS06+RES_LIS09+RES_LIS08</f>
        <v>#REF!</v>
      </c>
      <c r="M11">
        <v>8</v>
      </c>
      <c r="N11" s="8" t="e">
        <f ca="1">(RES_LIS05_N+RES_LIS06+RES_LIS09_N+RES_LIS08_N)/4</f>
        <v>#REF!</v>
      </c>
    </row>
    <row r="12" spans="1:14">
      <c r="A12" s="47"/>
      <c r="B12" s="48"/>
      <c r="C12" s="49" t="s">
        <v>267</v>
      </c>
      <c r="D12" s="47">
        <v>1</v>
      </c>
      <c r="E12" s="47"/>
      <c r="G12" s="47"/>
      <c r="H12" s="47"/>
      <c r="K12" t="s">
        <v>268</v>
      </c>
      <c r="L12" t="e">
        <f ca="1">RES_LIS04+RES_LIS08+RES_LIS14</f>
        <v>#REF!</v>
      </c>
      <c r="M12">
        <v>6</v>
      </c>
      <c r="N12" s="8" t="e">
        <f ca="1">(RES_LIS04_N+RES_LIS08_N+RES_LIS14_N)/3</f>
        <v>#REF!</v>
      </c>
    </row>
    <row r="13" spans="1:14">
      <c r="A13" s="47"/>
      <c r="B13" s="48"/>
      <c r="C13" s="49" t="s">
        <v>269</v>
      </c>
      <c r="D13" s="47">
        <v>2</v>
      </c>
      <c r="E13" s="47"/>
      <c r="G13" s="47"/>
      <c r="H13" s="47"/>
      <c r="K13" t="s">
        <v>270</v>
      </c>
      <c r="L13" t="e">
        <f ca="1">RES_LIS15+RES_LIS13</f>
        <v>#REF!</v>
      </c>
      <c r="M13">
        <v>5</v>
      </c>
      <c r="N13" s="8" t="e">
        <f ca="1">(RES_LIS15_N+RES_LIS13_N)/2</f>
        <v>#REF!</v>
      </c>
    </row>
    <row r="14" spans="1:14">
      <c r="A14" s="47"/>
      <c r="B14" s="48"/>
      <c r="C14" s="49" t="s">
        <v>271</v>
      </c>
      <c r="D14" s="47">
        <v>3</v>
      </c>
      <c r="E14" s="47"/>
      <c r="G14" s="47"/>
      <c r="H14" s="47"/>
    </row>
    <row r="15" spans="1:14" ht="15">
      <c r="A15" s="47"/>
      <c r="B15" s="48"/>
      <c r="C15" s="49" t="s">
        <v>272</v>
      </c>
      <c r="D15" s="47">
        <v>2</v>
      </c>
      <c r="E15" s="47"/>
      <c r="G15" s="47"/>
      <c r="H15" s="47"/>
      <c r="K15" s="7"/>
      <c r="L15" s="7"/>
      <c r="M15" s="7"/>
      <c r="N15" s="7"/>
    </row>
    <row r="16" spans="1:14">
      <c r="A16" s="50" t="s">
        <v>273</v>
      </c>
      <c r="B16" s="51" t="s">
        <v>274</v>
      </c>
      <c r="C16" s="47"/>
      <c r="D16" s="47"/>
      <c r="E16" s="47">
        <v>1</v>
      </c>
      <c r="G16" s="47" t="e" cm="1">
        <f t="array" aca="1" ref="G16" ca="1">INDIRECT("'" &amp; SKJEMA_LEV &amp; "'!LEV_" &amp; A16)</f>
        <v>#REF!</v>
      </c>
      <c r="H16" s="47" t="e">
        <f ca="1">VLOOKUP(G16,C17:D18,2,0)</f>
        <v>#REF!</v>
      </c>
      <c r="I16" t="e">
        <f ca="1">H16/E16</f>
        <v>#REF!</v>
      </c>
      <c r="N16" s="8"/>
    </row>
    <row r="17" spans="1:14">
      <c r="A17" s="47"/>
      <c r="B17" s="48"/>
      <c r="C17" s="49" t="s">
        <v>65</v>
      </c>
      <c r="D17" s="47">
        <v>1</v>
      </c>
      <c r="E17" s="47"/>
      <c r="G17" s="47"/>
      <c r="H17" s="47"/>
      <c r="N17" s="8"/>
    </row>
    <row r="18" spans="1:14">
      <c r="A18" s="47"/>
      <c r="B18" s="48"/>
      <c r="C18" s="49" t="s">
        <v>48</v>
      </c>
      <c r="D18" s="47">
        <v>0</v>
      </c>
      <c r="E18" s="47"/>
      <c r="G18" s="47"/>
      <c r="H18" s="47"/>
      <c r="N18" s="8"/>
    </row>
    <row r="19" spans="1:14">
      <c r="A19" s="50" t="s">
        <v>275</v>
      </c>
      <c r="B19" s="51" t="s">
        <v>276</v>
      </c>
      <c r="C19" s="47"/>
      <c r="D19" s="47"/>
      <c r="E19" s="47">
        <v>1</v>
      </c>
      <c r="G19" s="47" t="e" cm="1">
        <f t="array" aca="1" ref="G19" ca="1">INDIRECT("'" &amp; SKJEMA_LEV &amp; "'!LEV_" &amp; A19)</f>
        <v>#REF!</v>
      </c>
      <c r="H19" s="47" t="e">
        <f ca="1">VLOOKUP(G19,C20:D22,2,0)</f>
        <v>#REF!</v>
      </c>
      <c r="I19" t="e">
        <f ca="1">H19/E19</f>
        <v>#REF!</v>
      </c>
      <c r="N19" s="8"/>
    </row>
    <row r="20" spans="1:14">
      <c r="A20" s="47"/>
      <c r="B20" s="48"/>
      <c r="C20" s="49" t="s">
        <v>65</v>
      </c>
      <c r="D20" s="47">
        <v>1</v>
      </c>
      <c r="E20" s="47"/>
      <c r="G20" s="47"/>
      <c r="H20" s="47"/>
      <c r="N20" s="8"/>
    </row>
    <row r="21" spans="1:14">
      <c r="A21" s="47"/>
      <c r="B21" s="48"/>
      <c r="C21" s="49" t="s">
        <v>48</v>
      </c>
      <c r="D21" s="47">
        <v>0</v>
      </c>
      <c r="E21" s="47"/>
      <c r="G21" s="47"/>
      <c r="H21" s="47"/>
      <c r="N21" s="8"/>
    </row>
    <row r="22" spans="1:14">
      <c r="A22" s="47"/>
      <c r="B22" s="48"/>
      <c r="C22" s="49" t="s">
        <v>277</v>
      </c>
      <c r="D22" s="47">
        <v>1</v>
      </c>
      <c r="E22" s="47"/>
      <c r="G22" s="47"/>
      <c r="H22" s="47"/>
      <c r="N22" s="8"/>
    </row>
    <row r="23" spans="1:14">
      <c r="A23" s="50" t="s">
        <v>278</v>
      </c>
      <c r="B23" s="51" t="s">
        <v>279</v>
      </c>
      <c r="C23" s="47"/>
      <c r="D23" s="47"/>
      <c r="E23" s="47">
        <v>1</v>
      </c>
      <c r="G23" s="47" t="e" cm="1">
        <f t="array" aca="1" ref="G23" ca="1">INDIRECT("'" &amp; SKJEMA_LEV &amp; "'!LEV_" &amp; A23)</f>
        <v>#REF!</v>
      </c>
      <c r="H23" s="47" t="e">
        <f ca="1">VLOOKUP(G23,C24:D25,2,0)</f>
        <v>#REF!</v>
      </c>
      <c r="I23" t="e">
        <f ca="1">H23/E23</f>
        <v>#REF!</v>
      </c>
      <c r="N23" s="8"/>
    </row>
    <row r="24" spans="1:14">
      <c r="A24" s="47"/>
      <c r="B24" s="48"/>
      <c r="C24" s="49" t="s">
        <v>65</v>
      </c>
      <c r="D24" s="47">
        <v>1</v>
      </c>
      <c r="E24" s="47"/>
      <c r="G24" s="47"/>
      <c r="H24" s="47"/>
      <c r="N24" s="8"/>
    </row>
    <row r="25" spans="1:14">
      <c r="A25" s="47"/>
      <c r="B25" s="48"/>
      <c r="C25" s="49" t="s">
        <v>48</v>
      </c>
      <c r="D25" s="47">
        <v>0</v>
      </c>
      <c r="E25" s="47"/>
      <c r="G25" s="47"/>
      <c r="H25" s="47"/>
    </row>
    <row r="26" spans="1:14">
      <c r="A26" s="50" t="s">
        <v>280</v>
      </c>
      <c r="B26" s="51" t="s">
        <v>281</v>
      </c>
      <c r="C26" s="47"/>
      <c r="D26" s="47"/>
      <c r="E26" s="47">
        <v>1</v>
      </c>
      <c r="G26" s="47" t="e" cm="1">
        <f t="array" aca="1" ref="G26" ca="1">INDIRECT("'" &amp; SKJEMA_LEV &amp; "'!LEV_" &amp; A26)</f>
        <v>#REF!</v>
      </c>
      <c r="H26" s="47" t="e">
        <f ca="1">VLOOKUP(G26,C27:D29,2,0)</f>
        <v>#REF!</v>
      </c>
      <c r="I26" t="e">
        <f ca="1">H26/E26</f>
        <v>#REF!</v>
      </c>
    </row>
    <row r="27" spans="1:14">
      <c r="A27" s="47"/>
      <c r="B27" s="48"/>
      <c r="C27" s="49" t="s">
        <v>282</v>
      </c>
      <c r="D27" s="47">
        <v>0</v>
      </c>
      <c r="E27" s="47"/>
      <c r="G27" s="47"/>
      <c r="H27" s="47"/>
    </row>
    <row r="28" spans="1:14">
      <c r="A28" s="47"/>
      <c r="B28" s="48"/>
      <c r="C28" s="49" t="s">
        <v>283</v>
      </c>
      <c r="D28" s="47">
        <v>1</v>
      </c>
      <c r="E28" s="47"/>
      <c r="G28" s="47"/>
      <c r="H28" s="47"/>
    </row>
    <row r="29" spans="1:14">
      <c r="A29" s="47"/>
      <c r="B29" s="48"/>
      <c r="C29" s="49" t="s">
        <v>284</v>
      </c>
      <c r="D29" s="47">
        <v>2</v>
      </c>
      <c r="E29" s="47"/>
      <c r="G29" s="47"/>
      <c r="H29" s="47"/>
    </row>
    <row r="30" spans="1:14">
      <c r="A30" s="50" t="s">
        <v>285</v>
      </c>
      <c r="B30" s="51" t="s">
        <v>286</v>
      </c>
      <c r="C30" s="47"/>
      <c r="D30" s="47"/>
      <c r="E30" s="47">
        <v>2</v>
      </c>
      <c r="G30" s="47" t="e" cm="1">
        <f t="array" aca="1" ref="G30" ca="1">INDIRECT("'" &amp; SKJEMA_LEV &amp; "'!LEV_" &amp; A30)</f>
        <v>#REF!</v>
      </c>
      <c r="H30" s="47" t="e">
        <f ca="1">VLOOKUP(G30,C31:D33,2,0)</f>
        <v>#REF!</v>
      </c>
      <c r="I30" t="e">
        <f ca="1">H30/E30</f>
        <v>#REF!</v>
      </c>
    </row>
    <row r="31" spans="1:14">
      <c r="A31" s="47"/>
      <c r="B31" s="48"/>
      <c r="C31" s="49" t="s">
        <v>287</v>
      </c>
      <c r="D31" s="47">
        <v>2</v>
      </c>
      <c r="E31" s="47"/>
      <c r="G31" s="47"/>
      <c r="H31" s="47"/>
    </row>
    <row r="32" spans="1:14">
      <c r="A32" s="47"/>
      <c r="B32" s="48"/>
      <c r="C32" s="49" t="s">
        <v>141</v>
      </c>
      <c r="D32" s="47">
        <v>1</v>
      </c>
      <c r="E32" s="47"/>
      <c r="G32" s="47"/>
      <c r="H32" s="47"/>
    </row>
    <row r="33" spans="1:9">
      <c r="A33" s="47"/>
      <c r="B33" s="48"/>
      <c r="C33" s="49" t="s">
        <v>77</v>
      </c>
      <c r="D33" s="47">
        <v>0</v>
      </c>
      <c r="E33" s="47"/>
      <c r="G33" s="47"/>
      <c r="H33" s="47"/>
    </row>
    <row r="34" spans="1:9">
      <c r="A34" s="50" t="s">
        <v>288</v>
      </c>
      <c r="B34" s="51" t="s">
        <v>289</v>
      </c>
      <c r="C34" s="47"/>
      <c r="D34" s="47"/>
      <c r="E34" s="47">
        <v>4</v>
      </c>
      <c r="G34" s="47" t="e" cm="1">
        <f t="array" aca="1" ref="G34" ca="1">INDIRECT("'" &amp; SKJEMA_LEV &amp; "'!LEV_" &amp; A34)</f>
        <v>#REF!</v>
      </c>
      <c r="H34" s="47" t="e">
        <f ca="1">VLOOKUP(G34,C35:D39,2,0)</f>
        <v>#REF!</v>
      </c>
      <c r="I34" t="e">
        <f ca="1">H34/E34</f>
        <v>#REF!</v>
      </c>
    </row>
    <row r="35" spans="1:9">
      <c r="A35" s="47"/>
      <c r="B35" s="48"/>
      <c r="C35" s="49" t="s">
        <v>77</v>
      </c>
      <c r="D35" s="47">
        <v>4</v>
      </c>
      <c r="E35" s="47"/>
      <c r="G35" s="47"/>
      <c r="H35" s="47"/>
    </row>
    <row r="36" spans="1:9">
      <c r="A36" s="47"/>
      <c r="B36" s="48"/>
      <c r="C36" s="49" t="s">
        <v>290</v>
      </c>
      <c r="D36" s="47">
        <v>3</v>
      </c>
      <c r="E36" s="47"/>
      <c r="G36" s="47"/>
      <c r="H36" s="47"/>
    </row>
    <row r="37" spans="1:9">
      <c r="A37" s="47"/>
      <c r="B37" s="48"/>
      <c r="C37" s="49" t="s">
        <v>291</v>
      </c>
      <c r="D37" s="47">
        <v>0</v>
      </c>
      <c r="E37" s="47"/>
      <c r="G37" s="47"/>
      <c r="H37" s="47"/>
    </row>
    <row r="38" spans="1:9">
      <c r="A38" s="47"/>
      <c r="B38" s="48"/>
      <c r="C38" s="49" t="s">
        <v>292</v>
      </c>
      <c r="D38" s="47">
        <v>0</v>
      </c>
      <c r="E38" s="47"/>
      <c r="G38" s="47"/>
      <c r="H38" s="47"/>
    </row>
    <row r="39" spans="1:9">
      <c r="A39" s="47"/>
      <c r="B39" s="48"/>
      <c r="C39" s="49" t="s">
        <v>107</v>
      </c>
      <c r="D39" s="47">
        <v>0</v>
      </c>
      <c r="E39" s="47"/>
      <c r="G39" s="47"/>
      <c r="H39" s="47"/>
    </row>
    <row r="40" spans="1:9">
      <c r="A40" s="50" t="s">
        <v>293</v>
      </c>
      <c r="B40" s="51" t="s">
        <v>294</v>
      </c>
      <c r="C40" s="47"/>
      <c r="D40" s="47"/>
      <c r="E40" s="47">
        <v>2</v>
      </c>
      <c r="G40" s="47" t="e" cm="1">
        <f t="array" aca="1" ref="G40" ca="1">INDIRECT("'" &amp; SKJEMA_LEV &amp; "'!LEV_" &amp; A40)</f>
        <v>#REF!</v>
      </c>
      <c r="H40" s="47" t="e">
        <f ca="1">VLOOKUP(G40,C41:D43,2,0)</f>
        <v>#REF!</v>
      </c>
      <c r="I40" t="e">
        <f ca="1">H40/E40</f>
        <v>#REF!</v>
      </c>
    </row>
    <row r="41" spans="1:9">
      <c r="A41" s="47"/>
      <c r="B41" s="48"/>
      <c r="C41" s="49" t="s">
        <v>65</v>
      </c>
      <c r="D41" s="47">
        <v>2</v>
      </c>
      <c r="E41" s="47"/>
      <c r="G41" s="47"/>
      <c r="H41" s="47"/>
    </row>
    <row r="42" spans="1:9">
      <c r="A42" s="47"/>
      <c r="B42" s="48"/>
      <c r="C42" s="49" t="s">
        <v>141</v>
      </c>
      <c r="D42" s="47">
        <v>1</v>
      </c>
      <c r="E42" s="47"/>
      <c r="G42" s="47"/>
      <c r="H42" s="47"/>
    </row>
    <row r="43" spans="1:9">
      <c r="A43" s="47"/>
      <c r="B43" s="48"/>
      <c r="C43" s="49" t="s">
        <v>48</v>
      </c>
      <c r="D43" s="47">
        <v>0</v>
      </c>
      <c r="E43" s="47"/>
      <c r="G43" s="47"/>
      <c r="H43" s="47"/>
    </row>
    <row r="44" spans="1:9">
      <c r="A44" s="50" t="s">
        <v>295</v>
      </c>
      <c r="B44" s="51" t="s">
        <v>296</v>
      </c>
      <c r="C44" s="47"/>
      <c r="D44" s="47"/>
      <c r="E44" s="47">
        <v>2</v>
      </c>
      <c r="G44" s="47" t="e" cm="1">
        <f t="array" aca="1" ref="G44" ca="1">INDIRECT("'" &amp; SKJEMA_LEV &amp; "'!LEV_" &amp; A44)</f>
        <v>#REF!</v>
      </c>
      <c r="H44" s="47" t="e">
        <f ca="1">VLOOKUP(G44,C45:D47,2,0)</f>
        <v>#REF!</v>
      </c>
      <c r="I44" t="e">
        <f ca="1">H44/E44</f>
        <v>#REF!</v>
      </c>
    </row>
    <row r="45" spans="1:9">
      <c r="A45" s="47"/>
      <c r="B45" s="48"/>
      <c r="C45" s="49" t="s">
        <v>65</v>
      </c>
      <c r="D45" s="47">
        <v>2</v>
      </c>
      <c r="E45" s="47"/>
      <c r="G45" s="47"/>
      <c r="H45" s="47"/>
    </row>
    <row r="46" spans="1:9">
      <c r="A46" s="47"/>
      <c r="B46" s="48"/>
      <c r="C46" s="49" t="s">
        <v>141</v>
      </c>
      <c r="D46" s="47">
        <v>1</v>
      </c>
      <c r="E46" s="47"/>
      <c r="G46" s="47"/>
      <c r="H46" s="47"/>
    </row>
    <row r="47" spans="1:9">
      <c r="A47" s="47"/>
      <c r="B47" s="48"/>
      <c r="C47" s="49" t="s">
        <v>48</v>
      </c>
      <c r="D47" s="47">
        <v>0</v>
      </c>
      <c r="E47" s="47"/>
      <c r="G47" s="47"/>
      <c r="H47" s="47"/>
    </row>
    <row r="48" spans="1:9">
      <c r="A48" s="50" t="s">
        <v>297</v>
      </c>
      <c r="B48" s="51" t="s">
        <v>298</v>
      </c>
      <c r="C48" s="47"/>
      <c r="D48" s="47"/>
      <c r="E48" s="47">
        <v>2</v>
      </c>
      <c r="G48" s="47" t="e" cm="1">
        <f t="array" aca="1" ref="G48" ca="1">INDIRECT("'" &amp; SKJEMA_LEV &amp; "'!LEV_" &amp; A48)</f>
        <v>#REF!</v>
      </c>
      <c r="H48" s="47" t="e">
        <f ca="1">VLOOKUP(G48,C49:D51,2,0)</f>
        <v>#REF!</v>
      </c>
      <c r="I48" t="e">
        <f ca="1">H48/E48</f>
        <v>#REF!</v>
      </c>
    </row>
    <row r="49" spans="1:9">
      <c r="A49" s="47"/>
      <c r="B49" s="48"/>
      <c r="C49" s="49" t="s">
        <v>299</v>
      </c>
      <c r="D49" s="47">
        <v>2</v>
      </c>
      <c r="E49" s="47"/>
      <c r="G49" s="47"/>
      <c r="H49" s="47"/>
    </row>
    <row r="50" spans="1:9">
      <c r="A50" s="47"/>
      <c r="B50" s="48"/>
      <c r="C50" s="49" t="s">
        <v>300</v>
      </c>
      <c r="D50" s="47">
        <v>1</v>
      </c>
      <c r="E50" s="47"/>
      <c r="G50" s="47"/>
      <c r="H50" s="47"/>
    </row>
    <row r="51" spans="1:9">
      <c r="A51" s="47"/>
      <c r="B51" s="48"/>
      <c r="C51" s="49" t="s">
        <v>301</v>
      </c>
      <c r="D51" s="47">
        <v>0</v>
      </c>
      <c r="E51" s="47"/>
      <c r="G51" s="47"/>
      <c r="H51" s="47"/>
    </row>
    <row r="52" spans="1:9">
      <c r="A52" s="52" t="s">
        <v>302</v>
      </c>
      <c r="B52" s="51" t="s">
        <v>303</v>
      </c>
      <c r="C52" s="47"/>
      <c r="D52" s="47"/>
      <c r="E52" s="47">
        <v>3</v>
      </c>
      <c r="G52" s="47" t="e" cm="1">
        <f t="array" aca="1" ref="G52" ca="1">INDIRECT("'" &amp; SKJEMA_LEV &amp; "'!LEV_" &amp; A52)</f>
        <v>#REF!</v>
      </c>
      <c r="H52" s="47" t="e">
        <f ca="1">VLOOKUP(G52,C53:D60,2,0)</f>
        <v>#REF!</v>
      </c>
      <c r="I52" t="e">
        <f ca="1">H52/E52</f>
        <v>#REF!</v>
      </c>
    </row>
    <row r="53" spans="1:9">
      <c r="A53" s="47"/>
      <c r="B53" s="48"/>
      <c r="C53" s="49" t="s">
        <v>136</v>
      </c>
      <c r="D53" s="47">
        <v>3</v>
      </c>
      <c r="E53" s="47"/>
      <c r="G53" s="47"/>
      <c r="H53" s="47"/>
    </row>
    <row r="54" spans="1:9">
      <c r="A54" s="47"/>
      <c r="B54" s="48"/>
      <c r="C54" s="49" t="s">
        <v>304</v>
      </c>
      <c r="D54" s="47">
        <v>2</v>
      </c>
      <c r="E54" s="47"/>
      <c r="G54" s="47"/>
      <c r="H54" s="47"/>
    </row>
    <row r="55" spans="1:9">
      <c r="A55" s="47"/>
      <c r="B55" s="48"/>
      <c r="C55" s="49" t="s">
        <v>305</v>
      </c>
      <c r="D55" s="47">
        <v>2</v>
      </c>
      <c r="E55" s="47"/>
      <c r="G55" s="47"/>
      <c r="H55" s="47"/>
    </row>
    <row r="56" spans="1:9">
      <c r="A56" s="47"/>
      <c r="B56" s="48"/>
      <c r="C56" s="49" t="s">
        <v>306</v>
      </c>
      <c r="D56" s="47">
        <v>1</v>
      </c>
      <c r="E56" s="47"/>
      <c r="G56" s="47"/>
      <c r="H56" s="47"/>
    </row>
    <row r="57" spans="1:9">
      <c r="A57" s="47"/>
      <c r="B57" s="48"/>
      <c r="C57" s="49" t="s">
        <v>307</v>
      </c>
      <c r="D57" s="47">
        <v>0</v>
      </c>
      <c r="E57" s="47"/>
      <c r="G57" s="47"/>
      <c r="H57" s="47"/>
    </row>
    <row r="58" spans="1:9">
      <c r="A58" s="47"/>
      <c r="B58" s="48"/>
      <c r="C58" s="49" t="s">
        <v>308</v>
      </c>
      <c r="D58" s="47">
        <v>0</v>
      </c>
      <c r="E58" s="47"/>
      <c r="G58" s="47"/>
      <c r="H58" s="47"/>
    </row>
    <row r="59" spans="1:9">
      <c r="A59" s="47"/>
      <c r="B59" s="48"/>
      <c r="C59" s="49" t="s">
        <v>309</v>
      </c>
      <c r="D59" s="47">
        <v>3</v>
      </c>
      <c r="E59" s="47"/>
      <c r="G59" s="47"/>
      <c r="H59" s="47"/>
    </row>
    <row r="60" spans="1:9">
      <c r="A60" s="47"/>
      <c r="B60" s="48"/>
      <c r="C60" s="49" t="s">
        <v>310</v>
      </c>
      <c r="D60" s="47">
        <v>2</v>
      </c>
      <c r="E60" s="47"/>
      <c r="G60" s="47"/>
      <c r="H60" s="47"/>
    </row>
    <row r="61" spans="1:9">
      <c r="A61" s="49" t="s">
        <v>311</v>
      </c>
      <c r="B61" s="53" t="s">
        <v>312</v>
      </c>
      <c r="C61" s="47"/>
      <c r="D61" s="47"/>
      <c r="E61" s="47">
        <v>3</v>
      </c>
      <c r="G61" s="47" t="e" cm="1">
        <f t="array" aca="1" ref="G61" ca="1">INDIRECT("'" &amp; SKJEMA_LEV &amp; "'!LEV_" &amp; A61)</f>
        <v>#REF!</v>
      </c>
      <c r="H61" s="47" t="e">
        <f ca="1">VLOOKUP(G61,C62:D67,2,0)</f>
        <v>#REF!</v>
      </c>
      <c r="I61" t="e">
        <f ca="1">H61/E61</f>
        <v>#REF!</v>
      </c>
    </row>
    <row r="62" spans="1:9">
      <c r="A62" s="47"/>
      <c r="B62" s="48"/>
      <c r="C62" s="49" t="s">
        <v>313</v>
      </c>
      <c r="D62" s="47">
        <v>3</v>
      </c>
      <c r="E62" s="47"/>
      <c r="G62" s="47"/>
      <c r="H62" s="47"/>
    </row>
    <row r="63" spans="1:9">
      <c r="A63" s="47"/>
      <c r="B63" s="48"/>
      <c r="C63" s="49" t="s">
        <v>314</v>
      </c>
      <c r="D63" s="47">
        <v>2</v>
      </c>
      <c r="E63" s="47"/>
      <c r="G63" s="47"/>
      <c r="H63" s="47"/>
    </row>
    <row r="64" spans="1:9">
      <c r="A64" s="47"/>
      <c r="B64" s="48"/>
      <c r="C64" s="49" t="s">
        <v>315</v>
      </c>
      <c r="D64" s="47">
        <v>1</v>
      </c>
      <c r="E64" s="47"/>
      <c r="G64" s="47"/>
      <c r="H64" s="47"/>
    </row>
    <row r="65" spans="1:9">
      <c r="A65" s="47"/>
      <c r="B65" s="48"/>
      <c r="C65" s="49" t="s">
        <v>316</v>
      </c>
      <c r="D65" s="47">
        <v>0</v>
      </c>
      <c r="E65" s="47"/>
      <c r="G65" s="47"/>
      <c r="H65" s="47"/>
    </row>
    <row r="66" spans="1:9">
      <c r="A66" s="47"/>
      <c r="B66" s="48"/>
      <c r="C66" s="49" t="s">
        <v>211</v>
      </c>
      <c r="D66" s="47">
        <v>0</v>
      </c>
      <c r="E66" s="47"/>
      <c r="G66" s="47"/>
      <c r="H66" s="47"/>
    </row>
    <row r="67" spans="1:9">
      <c r="A67" s="47"/>
      <c r="B67" s="48"/>
      <c r="C67" s="49" t="s">
        <v>136</v>
      </c>
      <c r="D67" s="47">
        <v>0</v>
      </c>
      <c r="E67" s="47"/>
      <c r="G67" s="47"/>
      <c r="H67" s="47"/>
    </row>
    <row r="68" spans="1:9">
      <c r="A68" s="49" t="s">
        <v>317</v>
      </c>
      <c r="B68" s="53" t="s">
        <v>318</v>
      </c>
      <c r="C68" s="47"/>
      <c r="D68" s="47"/>
      <c r="E68" s="47">
        <v>2</v>
      </c>
      <c r="G68" s="47" t="e" cm="1">
        <f t="array" aca="1" ref="G68" ca="1">INDIRECT("'" &amp; SKJEMA_LEV &amp; "'!LEV_" &amp; A68)</f>
        <v>#REF!</v>
      </c>
      <c r="H68" s="47" t="e">
        <f ca="1">VLOOKUP(G68,C69:D72,2,0)</f>
        <v>#REF!</v>
      </c>
      <c r="I68" t="e">
        <f ca="1">H68/E68</f>
        <v>#REF!</v>
      </c>
    </row>
    <row r="69" spans="1:9">
      <c r="A69" s="47"/>
      <c r="B69" s="48"/>
      <c r="C69" s="49" t="s">
        <v>319</v>
      </c>
      <c r="D69" s="47">
        <v>2</v>
      </c>
      <c r="E69" s="47"/>
      <c r="G69" s="47"/>
      <c r="H69" s="47"/>
    </row>
    <row r="70" spans="1:9">
      <c r="A70" s="47"/>
      <c r="B70" s="48"/>
      <c r="C70" s="49" t="s">
        <v>141</v>
      </c>
      <c r="D70" s="47">
        <v>1</v>
      </c>
      <c r="E70" s="47"/>
      <c r="G70" s="47"/>
      <c r="H70" s="47"/>
    </row>
    <row r="71" spans="1:9">
      <c r="A71" s="47"/>
      <c r="B71" s="48"/>
      <c r="C71" s="49" t="s">
        <v>48</v>
      </c>
      <c r="D71" s="47">
        <v>0</v>
      </c>
      <c r="E71" s="47"/>
      <c r="G71" s="47"/>
      <c r="H71" s="47"/>
    </row>
    <row r="72" spans="1:9">
      <c r="A72" s="47"/>
      <c r="B72" s="48"/>
      <c r="C72" s="49" t="s">
        <v>136</v>
      </c>
      <c r="D72" s="47">
        <v>0</v>
      </c>
      <c r="E72" s="47"/>
      <c r="G72" s="47"/>
      <c r="H72" s="47"/>
    </row>
    <row r="73" spans="1:9">
      <c r="B73" s="1"/>
    </row>
    <row r="74" spans="1:9">
      <c r="B74" s="1"/>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55"/>
  <sheetViews>
    <sheetView zoomScaleNormal="100" workbookViewId="0">
      <pane ySplit="1" topLeftCell="A107" activePane="bottomLeft" state="frozen"/>
      <selection activeCell="I102" sqref="I102"/>
      <selection pane="bottomLeft" activeCell="I102" sqref="I102"/>
    </sheetView>
  </sheetViews>
  <sheetFormatPr baseColWidth="10" defaultColWidth="11.5703125" defaultRowHeight="12.75"/>
  <cols>
    <col min="1" max="1" width="11.5703125" style="94"/>
    <col min="2" max="2" width="45.7109375" customWidth="1"/>
    <col min="3" max="3" width="23" customWidth="1"/>
    <col min="4" max="4" width="11.42578125" customWidth="1"/>
    <col min="5" max="5" width="8.7109375" customWidth="1"/>
    <col min="6" max="6" width="8.28515625" customWidth="1"/>
    <col min="7" max="8" width="18.5703125" customWidth="1"/>
    <col min="9" max="9" width="12.42578125" customWidth="1"/>
    <col min="10" max="10" width="6.28515625" customWidth="1"/>
    <col min="11" max="11" width="9.7109375" customWidth="1"/>
    <col min="12" max="12" width="24.28515625" customWidth="1"/>
  </cols>
  <sheetData>
    <row r="1" spans="1:15" ht="15">
      <c r="A1" s="97" t="s">
        <v>25</v>
      </c>
      <c r="B1" s="69" t="s">
        <v>26</v>
      </c>
      <c r="C1" s="70" t="s">
        <v>27</v>
      </c>
      <c r="D1" s="70" t="s">
        <v>28</v>
      </c>
      <c r="E1" s="70" t="s">
        <v>29</v>
      </c>
      <c r="F1" s="70" t="s">
        <v>30</v>
      </c>
      <c r="G1" s="69" t="s">
        <v>31</v>
      </c>
      <c r="H1" s="69" t="s">
        <v>32</v>
      </c>
      <c r="I1" s="69" t="s">
        <v>33</v>
      </c>
      <c r="J1" s="71" t="s">
        <v>34</v>
      </c>
      <c r="K1" s="1"/>
    </row>
    <row r="2" spans="1:15" ht="15">
      <c r="A2" s="61" t="s">
        <v>320</v>
      </c>
      <c r="B2" s="72" t="s">
        <v>321</v>
      </c>
      <c r="C2" s="73"/>
      <c r="D2" s="73"/>
      <c r="E2" s="73"/>
      <c r="F2" s="73"/>
      <c r="G2" s="73"/>
      <c r="H2" s="73"/>
      <c r="I2" s="73"/>
      <c r="J2" s="73"/>
    </row>
    <row r="3" spans="1:15" ht="15">
      <c r="A3" s="63" t="s">
        <v>322</v>
      </c>
      <c r="B3" s="67" t="s">
        <v>323</v>
      </c>
      <c r="C3" s="64"/>
      <c r="D3" s="73"/>
      <c r="E3" s="73">
        <v>3</v>
      </c>
      <c r="F3" s="73"/>
      <c r="G3" s="73" t="e" cm="1">
        <f t="array" aca="1" ref="G3" ca="1">INDIRECT("'" &amp; SKJEMA_LEV &amp; "'!LEV_" &amp; A3)</f>
        <v>#REF!</v>
      </c>
      <c r="H3" s="73" t="e">
        <f ca="1">VLOOKUP(G3,C4:D7,2,0)</f>
        <v>#REF!</v>
      </c>
      <c r="I3" s="73" t="e">
        <f ca="1">H3</f>
        <v>#REF!</v>
      </c>
      <c r="J3" s="73" t="e">
        <f ca="1">I3/E3</f>
        <v>#REF!</v>
      </c>
    </row>
    <row r="4" spans="1:15" ht="15">
      <c r="A4" s="98"/>
      <c r="B4" s="71"/>
      <c r="C4" s="34" t="s">
        <v>324</v>
      </c>
      <c r="D4" s="73">
        <v>3</v>
      </c>
      <c r="E4" s="73"/>
      <c r="F4" s="73"/>
      <c r="G4" s="73"/>
      <c r="H4" s="73"/>
      <c r="I4" s="73"/>
      <c r="J4" s="73"/>
      <c r="L4" s="7" t="s">
        <v>39</v>
      </c>
      <c r="M4" s="7" t="s">
        <v>40</v>
      </c>
      <c r="N4" s="7" t="s">
        <v>41</v>
      </c>
      <c r="O4" s="7" t="s">
        <v>42</v>
      </c>
    </row>
    <row r="5" spans="1:15" ht="15">
      <c r="A5" s="63"/>
      <c r="B5" s="58"/>
      <c r="C5" s="34" t="s">
        <v>325</v>
      </c>
      <c r="D5" s="73">
        <v>2</v>
      </c>
      <c r="E5" s="73"/>
      <c r="F5" s="73"/>
      <c r="G5" s="73"/>
      <c r="H5" s="73"/>
      <c r="I5" s="73"/>
      <c r="J5" s="73"/>
      <c r="L5" t="s">
        <v>112</v>
      </c>
      <c r="M5" t="e">
        <f ca="1">SUM(I3:I194)</f>
        <v>#REF!</v>
      </c>
      <c r="N5">
        <v>92</v>
      </c>
      <c r="O5" s="8" t="e">
        <f ca="1">SUM('Rådata leverandør modenhet'!J3:J194)/28</f>
        <v>#REF!</v>
      </c>
    </row>
    <row r="6" spans="1:15" ht="15">
      <c r="A6" s="98"/>
      <c r="B6" s="71"/>
      <c r="C6" s="34" t="s">
        <v>48</v>
      </c>
      <c r="D6" s="73">
        <v>0</v>
      </c>
      <c r="E6" s="73"/>
      <c r="F6" s="73"/>
      <c r="G6" s="73"/>
      <c r="H6" s="73"/>
      <c r="I6" s="73"/>
      <c r="J6" s="73"/>
      <c r="L6" t="s">
        <v>321</v>
      </c>
      <c r="M6" t="e">
        <f ca="1">SUM('Rådata leverandør modenhet'!I3:I32)</f>
        <v>#REF!</v>
      </c>
      <c r="N6">
        <v>17</v>
      </c>
      <c r="O6" s="8" t="e">
        <f ca="1">SUM('Rådata leverandør modenhet'!J3:J32)/6</f>
        <v>#REF!</v>
      </c>
    </row>
    <row r="7" spans="1:15" ht="15">
      <c r="A7" s="98"/>
      <c r="B7" s="71"/>
      <c r="C7" s="34" t="s">
        <v>326</v>
      </c>
      <c r="D7" s="73">
        <v>1</v>
      </c>
      <c r="E7" s="73"/>
      <c r="F7" s="73"/>
      <c r="G7" s="73"/>
      <c r="H7" s="73"/>
      <c r="I7" s="73"/>
      <c r="J7" s="73"/>
      <c r="L7" t="s">
        <v>327</v>
      </c>
      <c r="M7" t="e">
        <f ca="1">SUM('Rådata leverandør modenhet'!I44:I80)</f>
        <v>#REF!</v>
      </c>
      <c r="N7">
        <v>25</v>
      </c>
      <c r="O7" s="8" t="e">
        <f ca="1">SUM('Rådata leverandør modenhet'!J44:J80)/6</f>
        <v>#REF!</v>
      </c>
    </row>
    <row r="8" spans="1:15" ht="15">
      <c r="A8" s="63" t="s">
        <v>328</v>
      </c>
      <c r="B8" s="67" t="s">
        <v>329</v>
      </c>
      <c r="C8" s="34"/>
      <c r="D8" s="73"/>
      <c r="E8" s="73">
        <v>2</v>
      </c>
      <c r="F8" s="73"/>
      <c r="G8" s="73" t="e" cm="1">
        <f t="array" aca="1" ref="G8" ca="1">INDIRECT("'" &amp; SKJEMA_LEV &amp; "'!LEV_" &amp; A8)</f>
        <v>#REF!</v>
      </c>
      <c r="H8" s="73" t="e">
        <f ca="1">VLOOKUP(G8,C9:D11,2,0)</f>
        <v>#REF!</v>
      </c>
      <c r="I8" s="73" t="e">
        <f ca="1">H8</f>
        <v>#REF!</v>
      </c>
      <c r="J8" s="71" t="e">
        <f ca="1">I8/E8</f>
        <v>#REF!</v>
      </c>
      <c r="L8" t="s">
        <v>330</v>
      </c>
      <c r="M8" t="e">
        <f ca="1">LM1_3_1</f>
        <v>#REF!</v>
      </c>
      <c r="N8">
        <v>2</v>
      </c>
      <c r="O8" s="8" t="e">
        <f ca="1">LM1_3_1_N</f>
        <v>#REF!</v>
      </c>
    </row>
    <row r="9" spans="1:15" ht="15">
      <c r="A9" s="98"/>
      <c r="B9" s="71"/>
      <c r="C9" s="34" t="s">
        <v>331</v>
      </c>
      <c r="D9" s="73">
        <v>2</v>
      </c>
      <c r="E9" s="73"/>
      <c r="F9" s="73"/>
      <c r="G9" s="73"/>
      <c r="H9" s="73"/>
      <c r="I9" s="73"/>
      <c r="J9" s="73"/>
      <c r="L9" t="s">
        <v>332</v>
      </c>
      <c r="M9" t="e">
        <f ca="1">LM2_1_1+LM2_1_2+LM2_1_3</f>
        <v>#REF!</v>
      </c>
      <c r="N9">
        <v>8</v>
      </c>
      <c r="O9" s="8" t="e">
        <f ca="1">(LM2_1_1_N+LM2_1_2_N+LM2_1_3_N)/3</f>
        <v>#REF!</v>
      </c>
    </row>
    <row r="10" spans="1:15" ht="15">
      <c r="A10" s="122"/>
      <c r="B10" s="123"/>
      <c r="C10" s="34" t="s">
        <v>141</v>
      </c>
      <c r="D10" s="73">
        <v>1</v>
      </c>
      <c r="E10" s="73"/>
      <c r="F10" s="73"/>
      <c r="G10" s="73"/>
      <c r="H10" s="73"/>
      <c r="I10" s="73"/>
      <c r="J10" s="73"/>
      <c r="L10" t="s">
        <v>333</v>
      </c>
      <c r="M10" t="e">
        <f ca="1">LM3_1_1+LM3_1_2</f>
        <v>#REF!</v>
      </c>
      <c r="N10">
        <v>4</v>
      </c>
      <c r="O10" s="8" t="e">
        <f ca="1">(LM3_1_1_N+LM3_1_2_N)/2</f>
        <v>#REF!</v>
      </c>
    </row>
    <row r="11" spans="1:15" ht="15">
      <c r="A11" s="122"/>
      <c r="B11" s="123"/>
      <c r="C11" s="34" t="s">
        <v>136</v>
      </c>
      <c r="D11" s="73">
        <v>0</v>
      </c>
      <c r="E11" s="73"/>
      <c r="F11" s="73"/>
      <c r="G11" s="73"/>
      <c r="H11" s="73"/>
      <c r="I11" s="73"/>
      <c r="J11" s="73"/>
      <c r="L11" t="s">
        <v>334</v>
      </c>
      <c r="M11" t="e">
        <f ca="1">LM4_1_1+LM4_1_2+LM4_1_3+LM4_1_4+LM4_1_5+LM4_1_6+LM4_1_7+LM4_1_8</f>
        <v>#REF!</v>
      </c>
      <c r="N11">
        <v>27</v>
      </c>
      <c r="O11" s="8" t="e">
        <f ca="1">(LM4_1_1_N+LM4_1_2_N+LM4_1_3_N+LM4_1_4_N+LM4_1_5_N+LM4_1_6_N+LM4_1_7_N+LM4_1_8_N)/8</f>
        <v>#REF!</v>
      </c>
    </row>
    <row r="12" spans="1:15" ht="15">
      <c r="A12" s="63" t="s">
        <v>335</v>
      </c>
      <c r="B12" s="67" t="s">
        <v>336</v>
      </c>
      <c r="C12" s="34"/>
      <c r="D12" s="73"/>
      <c r="E12" s="73">
        <v>3</v>
      </c>
      <c r="F12" s="73"/>
      <c r="G12" s="73" t="e" cm="1">
        <f t="array" aca="1" ref="G12" ca="1">INDIRECT("'" &amp; SKJEMA_LEV &amp; "'!LEV_" &amp; A12)</f>
        <v>#REF!</v>
      </c>
      <c r="H12" s="73" t="e">
        <f ca="1">VLOOKUP(G12,C13:D16,2,0)</f>
        <v>#REF!</v>
      </c>
      <c r="I12" s="73" t="e">
        <f ca="1">H12</f>
        <v>#REF!</v>
      </c>
      <c r="J12" s="71" t="e">
        <f ca="1">I12/E12</f>
        <v>#REF!</v>
      </c>
    </row>
    <row r="13" spans="1:15" ht="15">
      <c r="A13" s="98"/>
      <c r="B13" s="71"/>
      <c r="C13" s="34" t="s">
        <v>337</v>
      </c>
      <c r="D13" s="73">
        <v>3</v>
      </c>
      <c r="E13" s="73"/>
      <c r="F13" s="73"/>
      <c r="G13" s="73"/>
      <c r="H13" s="73"/>
      <c r="I13" s="73"/>
      <c r="J13" s="73"/>
      <c r="L13" s="7" t="s">
        <v>54</v>
      </c>
      <c r="M13" s="7" t="s">
        <v>40</v>
      </c>
      <c r="N13" s="7" t="s">
        <v>41</v>
      </c>
      <c r="O13" s="7" t="s">
        <v>42</v>
      </c>
    </row>
    <row r="14" spans="1:15" ht="15">
      <c r="A14" s="98"/>
      <c r="B14" s="71"/>
      <c r="C14" s="34" t="s">
        <v>338</v>
      </c>
      <c r="D14" s="73">
        <v>2</v>
      </c>
      <c r="E14" s="73"/>
      <c r="F14" s="73"/>
      <c r="G14" s="73"/>
      <c r="H14" s="73"/>
      <c r="I14" s="73"/>
      <c r="J14" s="73"/>
      <c r="L14" t="s">
        <v>339</v>
      </c>
      <c r="M14" t="e">
        <f ca="1">SUM(I3:I24)</f>
        <v>#REF!</v>
      </c>
      <c r="N14">
        <v>14</v>
      </c>
      <c r="O14" s="8" t="e">
        <f ca="1">SUM(J3:J24)/5</f>
        <v>#REF!</v>
      </c>
    </row>
    <row r="15" spans="1:15" ht="15">
      <c r="A15" s="98"/>
      <c r="B15" s="71"/>
      <c r="C15" s="34" t="s">
        <v>340</v>
      </c>
      <c r="D15" s="73">
        <v>1</v>
      </c>
      <c r="E15" s="73"/>
      <c r="F15" s="73"/>
      <c r="G15" s="73"/>
      <c r="H15" s="73"/>
      <c r="I15" s="73"/>
      <c r="J15" s="73"/>
      <c r="L15" t="s">
        <v>341</v>
      </c>
      <c r="M15" t="e">
        <f ca="1">SUM(I31:I55)</f>
        <v>#REF!</v>
      </c>
      <c r="N15">
        <v>20</v>
      </c>
      <c r="O15" s="8" t="e">
        <f ca="1">SUM(J31:J55)/4</f>
        <v>#REF!</v>
      </c>
    </row>
    <row r="16" spans="1:15" ht="15">
      <c r="A16" s="122"/>
      <c r="B16" s="123"/>
      <c r="C16" s="34" t="s">
        <v>77</v>
      </c>
      <c r="D16" s="73">
        <v>0</v>
      </c>
      <c r="E16" s="73"/>
      <c r="F16" s="73"/>
      <c r="G16" s="73"/>
      <c r="H16" s="73"/>
      <c r="I16" s="73"/>
      <c r="J16" s="73"/>
      <c r="L16" t="s">
        <v>342</v>
      </c>
      <c r="M16" t="e">
        <f ca="1">SUM(I60:I80)</f>
        <v>#REF!</v>
      </c>
      <c r="N16">
        <v>13</v>
      </c>
      <c r="O16" s="8" t="e">
        <f ca="1">SUM(J60:J80)/4</f>
        <v>#REF!</v>
      </c>
    </row>
    <row r="17" spans="1:15" ht="15">
      <c r="A17" s="63" t="s">
        <v>343</v>
      </c>
      <c r="B17" s="67" t="s">
        <v>344</v>
      </c>
      <c r="C17" s="34"/>
      <c r="D17" s="73"/>
      <c r="E17" s="73">
        <v>3</v>
      </c>
      <c r="F17" s="73"/>
      <c r="G17" s="73" t="e" cm="1">
        <f t="array" aca="1" ref="G17" ca="1">INDIRECT("'" &amp; SKJEMA_LEV &amp; "'!LEV_" &amp; A17)</f>
        <v>#REF!</v>
      </c>
      <c r="H17" s="73" t="e">
        <f ca="1">VLOOKUP(G17,C18:D21,2,0)</f>
        <v>#REF!</v>
      </c>
      <c r="I17" s="73" t="e">
        <f ca="1">H17</f>
        <v>#REF!</v>
      </c>
      <c r="J17" s="73" t="e">
        <f ca="1">I17/E17</f>
        <v>#REF!</v>
      </c>
      <c r="L17" t="s">
        <v>345</v>
      </c>
      <c r="M17" t="e">
        <f ca="1">LM1_2_2+LM1_2_4+LM1_2_6</f>
        <v>#REF!</v>
      </c>
      <c r="N17">
        <v>22</v>
      </c>
      <c r="O17" s="8" t="e">
        <f ca="1">(LM1_2_2_N+LM1_2_4_N+LM1_2_6_N)/3</f>
        <v>#REF!</v>
      </c>
    </row>
    <row r="18" spans="1:15" ht="15">
      <c r="A18" s="98"/>
      <c r="B18" s="71"/>
      <c r="C18" s="34" t="s">
        <v>346</v>
      </c>
      <c r="D18" s="73">
        <v>3</v>
      </c>
      <c r="E18" s="73"/>
      <c r="F18" s="73"/>
      <c r="G18" s="73"/>
      <c r="H18" s="73"/>
      <c r="I18" s="73"/>
      <c r="J18" s="73"/>
      <c r="O18" s="8"/>
    </row>
    <row r="19" spans="1:15" ht="15">
      <c r="A19" s="122"/>
      <c r="B19" s="123"/>
      <c r="C19" s="34" t="s">
        <v>347</v>
      </c>
      <c r="D19" s="73">
        <v>2</v>
      </c>
      <c r="E19" s="73"/>
      <c r="F19" s="73"/>
      <c r="G19" s="73"/>
      <c r="H19" s="73"/>
      <c r="I19" s="73"/>
      <c r="J19" s="73"/>
      <c r="O19" s="8"/>
    </row>
    <row r="20" spans="1:15" ht="15">
      <c r="A20" s="98"/>
      <c r="B20" s="71"/>
      <c r="C20" s="34" t="s">
        <v>348</v>
      </c>
      <c r="D20" s="73">
        <v>1</v>
      </c>
      <c r="E20" s="73"/>
      <c r="F20" s="73"/>
      <c r="G20" s="73"/>
      <c r="H20" s="73"/>
      <c r="I20" s="73"/>
      <c r="J20" s="73"/>
    </row>
    <row r="21" spans="1:15" ht="15">
      <c r="A21" s="98"/>
      <c r="B21" s="71"/>
      <c r="C21" s="34" t="s">
        <v>349</v>
      </c>
      <c r="D21" s="73">
        <v>0</v>
      </c>
      <c r="E21" s="73"/>
      <c r="F21" s="73"/>
      <c r="G21" s="73"/>
      <c r="H21" s="73"/>
      <c r="I21" s="73"/>
      <c r="J21" s="73"/>
    </row>
    <row r="22" spans="1:15" ht="15">
      <c r="A22" s="63" t="s">
        <v>350</v>
      </c>
      <c r="B22" s="67" t="s">
        <v>351</v>
      </c>
      <c r="C22" s="34"/>
      <c r="D22" s="73"/>
      <c r="E22" s="73">
        <v>3</v>
      </c>
      <c r="F22" s="73"/>
      <c r="G22" s="73" t="e" cm="1">
        <f t="array" aca="1" ref="G22" ca="1">INDIRECT("'" &amp; SKJEMA_LEV &amp; "'!LEV_" &amp; A22)</f>
        <v>#REF!</v>
      </c>
      <c r="H22" s="73" t="e">
        <f ca="1">VLOOKUP(G22,C23:D26,2,0)</f>
        <v>#REF!</v>
      </c>
      <c r="I22" s="73" t="e">
        <f ca="1">H22</f>
        <v>#REF!</v>
      </c>
      <c r="J22" s="73" t="e">
        <f ca="1">I22/E22</f>
        <v>#REF!</v>
      </c>
    </row>
    <row r="23" spans="1:15" ht="15">
      <c r="A23" s="98"/>
      <c r="B23" s="71"/>
      <c r="C23" s="34" t="s">
        <v>352</v>
      </c>
      <c r="D23" s="73">
        <v>3</v>
      </c>
      <c r="E23" s="73"/>
      <c r="F23" s="73"/>
      <c r="G23" s="73"/>
      <c r="H23" s="73"/>
      <c r="I23" s="73"/>
      <c r="J23" s="73"/>
    </row>
    <row r="24" spans="1:15" ht="15">
      <c r="A24" s="98"/>
      <c r="B24" s="71"/>
      <c r="C24" s="34" t="s">
        <v>353</v>
      </c>
      <c r="D24" s="73">
        <v>2</v>
      </c>
      <c r="E24" s="73"/>
      <c r="F24" s="73"/>
      <c r="G24" s="73"/>
      <c r="H24" s="73"/>
      <c r="I24" s="73"/>
      <c r="J24" s="73"/>
    </row>
    <row r="25" spans="1:15" ht="15">
      <c r="A25" s="122"/>
      <c r="B25" s="123"/>
      <c r="C25" s="34" t="s">
        <v>354</v>
      </c>
      <c r="D25" s="73">
        <v>0</v>
      </c>
      <c r="E25" s="73"/>
      <c r="F25" s="73"/>
      <c r="G25" s="73"/>
      <c r="H25" s="73"/>
      <c r="I25" s="73"/>
      <c r="J25" s="73"/>
    </row>
    <row r="26" spans="1:15" ht="15">
      <c r="A26" s="98"/>
      <c r="B26" s="71"/>
      <c r="C26" s="34" t="s">
        <v>355</v>
      </c>
      <c r="D26" s="73">
        <v>0</v>
      </c>
      <c r="E26" s="73"/>
      <c r="F26" s="73"/>
      <c r="G26" s="73"/>
      <c r="H26" s="73"/>
      <c r="I26" s="73"/>
      <c r="J26" s="73"/>
    </row>
    <row r="27" spans="1:15" ht="15">
      <c r="A27" s="63" t="s">
        <v>356</v>
      </c>
      <c r="B27" s="67" t="s">
        <v>357</v>
      </c>
      <c r="C27" s="34"/>
      <c r="D27" s="73"/>
      <c r="E27" s="73">
        <v>3</v>
      </c>
      <c r="F27" s="73"/>
      <c r="G27" s="73" t="e" cm="1">
        <f t="array" aca="1" ref="G27" ca="1">INDIRECT("'" &amp; SKJEMA_LEV &amp; "'!LEV_" &amp; A27)</f>
        <v>#REF!</v>
      </c>
      <c r="H27" s="73" t="e">
        <f ca="1">VLOOKUP(G27,C28:D32,2,0)</f>
        <v>#REF!</v>
      </c>
      <c r="I27" s="73" t="e">
        <f ca="1">H27</f>
        <v>#REF!</v>
      </c>
      <c r="J27" s="73" t="e">
        <f ca="1">I27/E27</f>
        <v>#REF!</v>
      </c>
    </row>
    <row r="28" spans="1:15" ht="15">
      <c r="A28" s="98"/>
      <c r="B28" s="71"/>
      <c r="C28" s="34" t="s">
        <v>358</v>
      </c>
      <c r="D28" s="73">
        <v>3</v>
      </c>
      <c r="E28" s="73"/>
      <c r="F28" s="73"/>
      <c r="G28" s="73"/>
      <c r="H28" s="73"/>
      <c r="I28" s="73"/>
      <c r="J28" s="73"/>
    </row>
    <row r="29" spans="1:15" ht="15">
      <c r="A29" s="122"/>
      <c r="B29" s="123"/>
      <c r="C29" s="34" t="s">
        <v>359</v>
      </c>
      <c r="D29" s="73">
        <v>2</v>
      </c>
      <c r="E29" s="73"/>
      <c r="F29" s="73"/>
      <c r="G29" s="73"/>
      <c r="H29" s="73"/>
      <c r="I29" s="73"/>
      <c r="J29" s="73"/>
    </row>
    <row r="30" spans="1:15" ht="15">
      <c r="A30" s="98"/>
      <c r="B30" s="71"/>
      <c r="C30" s="34" t="s">
        <v>360</v>
      </c>
      <c r="D30" s="73">
        <v>2</v>
      </c>
      <c r="E30" s="73"/>
      <c r="F30" s="73"/>
      <c r="G30" s="73"/>
      <c r="H30" s="73"/>
      <c r="I30" s="73"/>
      <c r="J30" s="73"/>
    </row>
    <row r="31" spans="1:15" ht="15">
      <c r="A31" s="98"/>
      <c r="B31" s="71"/>
      <c r="C31" s="34" t="s">
        <v>361</v>
      </c>
      <c r="D31" s="73">
        <v>2</v>
      </c>
      <c r="E31" s="73"/>
      <c r="F31" s="73"/>
      <c r="G31" s="73"/>
      <c r="H31" s="73"/>
      <c r="I31" s="73"/>
      <c r="J31" s="73"/>
    </row>
    <row r="32" spans="1:15" ht="15">
      <c r="A32" s="98"/>
      <c r="B32" s="71"/>
      <c r="C32" s="34" t="s">
        <v>355</v>
      </c>
      <c r="D32" s="73">
        <v>0</v>
      </c>
      <c r="E32" s="73"/>
      <c r="F32" s="73"/>
      <c r="G32" s="73"/>
      <c r="H32" s="73"/>
      <c r="I32" s="73"/>
      <c r="J32" s="73"/>
    </row>
    <row r="33" spans="1:10" ht="30">
      <c r="A33" s="63" t="s">
        <v>362</v>
      </c>
      <c r="B33" s="67" t="s">
        <v>363</v>
      </c>
      <c r="C33" s="73"/>
      <c r="D33" s="73"/>
      <c r="E33" s="73">
        <v>3</v>
      </c>
      <c r="F33" s="73"/>
      <c r="G33" s="73" t="e" cm="1">
        <f t="array" aca="1" ref="G33" ca="1">INDIRECT("'" &amp; SKJEMA_LEV &amp; "'!LEV_" &amp; A33)</f>
        <v>#REF!</v>
      </c>
      <c r="H33" s="73" t="e">
        <f ca="1">VLOOKUP(G33,C34:D38,2,0)</f>
        <v>#REF!</v>
      </c>
      <c r="I33" s="73" t="e">
        <f ca="1">H33</f>
        <v>#REF!</v>
      </c>
      <c r="J33" s="73" t="e">
        <f ca="1">I33/E33</f>
        <v>#REF!</v>
      </c>
    </row>
    <row r="34" spans="1:10" ht="15">
      <c r="A34" s="98"/>
      <c r="B34" s="71"/>
      <c r="C34" s="34" t="s">
        <v>65</v>
      </c>
      <c r="D34" s="73">
        <v>3</v>
      </c>
      <c r="E34" s="73"/>
      <c r="F34" s="73"/>
      <c r="G34" s="73"/>
      <c r="H34" s="73"/>
      <c r="I34" s="73"/>
      <c r="J34" s="73"/>
    </row>
    <row r="35" spans="1:10" ht="15">
      <c r="A35" s="98"/>
      <c r="B35" s="71"/>
      <c r="C35" s="34" t="s">
        <v>141</v>
      </c>
      <c r="D35" s="73">
        <v>2</v>
      </c>
      <c r="E35" s="73"/>
      <c r="F35" s="73"/>
      <c r="G35" s="73"/>
      <c r="H35" s="73"/>
      <c r="I35" s="73"/>
      <c r="J35" s="73"/>
    </row>
    <row r="36" spans="1:10" ht="15">
      <c r="A36" s="98"/>
      <c r="B36" s="71"/>
      <c r="C36" s="34" t="s">
        <v>48</v>
      </c>
      <c r="D36" s="73">
        <v>0</v>
      </c>
      <c r="E36" s="73"/>
      <c r="F36" s="73"/>
      <c r="G36" s="73"/>
      <c r="H36" s="73"/>
      <c r="I36" s="73"/>
      <c r="J36" s="73"/>
    </row>
    <row r="37" spans="1:10" ht="15">
      <c r="A37" s="98"/>
      <c r="B37" s="71"/>
      <c r="C37" s="34" t="s">
        <v>358</v>
      </c>
      <c r="D37" s="73">
        <v>4</v>
      </c>
      <c r="E37" s="73"/>
      <c r="F37" s="73"/>
      <c r="G37" s="73"/>
      <c r="H37" s="73"/>
      <c r="I37" s="73"/>
      <c r="J37" s="73"/>
    </row>
    <row r="38" spans="1:10" ht="15">
      <c r="A38" s="98"/>
      <c r="B38" s="71"/>
      <c r="C38" s="34" t="s">
        <v>136</v>
      </c>
      <c r="D38" s="73">
        <v>0</v>
      </c>
      <c r="E38" s="73"/>
      <c r="F38" s="73"/>
      <c r="G38" s="73"/>
      <c r="H38" s="73"/>
      <c r="I38" s="73"/>
      <c r="J38" s="73"/>
    </row>
    <row r="39" spans="1:10" ht="30">
      <c r="A39" s="63" t="s">
        <v>364</v>
      </c>
      <c r="B39" s="67" t="s">
        <v>365</v>
      </c>
      <c r="C39" s="73"/>
      <c r="D39" s="73"/>
      <c r="E39" s="73">
        <v>2</v>
      </c>
      <c r="F39" s="73"/>
      <c r="G39" s="73" t="e" cm="1">
        <f t="array" aca="1" ref="G39" ca="1">INDIRECT("'" &amp; SKJEMA_LEV &amp; "'!LEV_" &amp; A39)</f>
        <v>#REF!</v>
      </c>
      <c r="H39" s="73" t="e">
        <f ca="1">VLOOKUP(G39,C40:D43,2,0)</f>
        <v>#REF!</v>
      </c>
      <c r="I39" s="73" t="e">
        <f ca="1">H39</f>
        <v>#REF!</v>
      </c>
      <c r="J39" s="73" t="e">
        <f ca="1">I39/E39</f>
        <v>#REF!</v>
      </c>
    </row>
    <row r="40" spans="1:10" ht="15">
      <c r="A40" s="98"/>
      <c r="B40" s="71"/>
      <c r="C40" s="34" t="s">
        <v>65</v>
      </c>
      <c r="D40" s="73">
        <v>2</v>
      </c>
      <c r="E40" s="73"/>
      <c r="F40" s="73"/>
      <c r="G40" s="73"/>
      <c r="H40" s="73"/>
      <c r="I40" s="73"/>
      <c r="J40" s="73"/>
    </row>
    <row r="41" spans="1:10" ht="15">
      <c r="A41" s="98"/>
      <c r="B41" s="71"/>
      <c r="C41" s="34" t="s">
        <v>212</v>
      </c>
      <c r="D41" s="73">
        <v>1</v>
      </c>
      <c r="E41" s="73"/>
      <c r="F41" s="73"/>
      <c r="G41" s="73"/>
      <c r="H41" s="73"/>
      <c r="I41" s="73"/>
      <c r="J41" s="73"/>
    </row>
    <row r="42" spans="1:10" ht="15">
      <c r="A42" s="98"/>
      <c r="B42" s="71"/>
      <c r="C42" s="34" t="s">
        <v>48</v>
      </c>
      <c r="D42" s="73">
        <v>1</v>
      </c>
      <c r="E42" s="73"/>
      <c r="F42" s="73"/>
      <c r="G42" s="73"/>
      <c r="H42" s="73"/>
      <c r="I42" s="73"/>
      <c r="J42" s="73"/>
    </row>
    <row r="43" spans="1:10" ht="15">
      <c r="A43" s="122"/>
      <c r="B43" s="123"/>
      <c r="C43" s="34" t="s">
        <v>136</v>
      </c>
      <c r="D43" s="73">
        <v>0</v>
      </c>
      <c r="E43" s="73"/>
      <c r="F43" s="73"/>
      <c r="G43" s="73"/>
      <c r="H43" s="73"/>
      <c r="I43" s="73"/>
      <c r="J43" s="73"/>
    </row>
    <row r="44" spans="1:10" ht="15">
      <c r="A44" s="61" t="s">
        <v>366</v>
      </c>
      <c r="B44" s="72" t="s">
        <v>327</v>
      </c>
      <c r="C44" s="34"/>
      <c r="D44" s="73"/>
      <c r="E44" s="73"/>
      <c r="F44" s="73"/>
      <c r="G44" s="73"/>
      <c r="H44" s="73"/>
      <c r="I44" s="73"/>
      <c r="J44" s="73"/>
    </row>
    <row r="45" spans="1:10" ht="30">
      <c r="A45" s="63" t="s">
        <v>367</v>
      </c>
      <c r="B45" s="68" t="s">
        <v>368</v>
      </c>
      <c r="C45" s="34"/>
      <c r="D45" s="73"/>
      <c r="E45" s="73">
        <v>3</v>
      </c>
      <c r="F45" s="73"/>
      <c r="G45" s="73" t="e" cm="1">
        <f t="array" aca="1" ref="G45" ca="1">INDIRECT("'" &amp; SKJEMA_LEV &amp; "'!LEV_" &amp; A45)</f>
        <v>#REF!</v>
      </c>
      <c r="H45" s="73" t="e">
        <f ca="1">VLOOKUP(G45,C46:D49,2,0)</f>
        <v>#REF!</v>
      </c>
      <c r="I45" s="73" t="e">
        <f ca="1">H45</f>
        <v>#REF!</v>
      </c>
      <c r="J45" s="73" t="e">
        <f ca="1">I45/E45</f>
        <v>#REF!</v>
      </c>
    </row>
    <row r="46" spans="1:10" ht="15">
      <c r="A46" s="98"/>
      <c r="B46" s="71"/>
      <c r="C46" s="34" t="s">
        <v>65</v>
      </c>
      <c r="D46" s="73">
        <v>3</v>
      </c>
      <c r="E46" s="73"/>
      <c r="F46" s="73"/>
      <c r="G46" s="73"/>
      <c r="H46" s="73"/>
      <c r="I46" s="73"/>
      <c r="J46" s="73"/>
    </row>
    <row r="47" spans="1:10" ht="15">
      <c r="A47" s="122"/>
      <c r="B47" s="123"/>
      <c r="C47" s="34" t="s">
        <v>369</v>
      </c>
      <c r="D47" s="73">
        <v>2</v>
      </c>
      <c r="E47" s="73"/>
      <c r="F47" s="73"/>
      <c r="G47" s="73"/>
      <c r="H47" s="73"/>
      <c r="I47" s="73"/>
      <c r="J47" s="73"/>
    </row>
    <row r="48" spans="1:10" ht="15">
      <c r="A48" s="98"/>
      <c r="B48" s="71"/>
      <c r="C48" s="34" t="s">
        <v>315</v>
      </c>
      <c r="D48" s="73">
        <v>1</v>
      </c>
      <c r="E48" s="73"/>
      <c r="F48" s="73"/>
      <c r="G48" s="73"/>
      <c r="H48" s="73"/>
      <c r="I48" s="73"/>
      <c r="J48" s="73"/>
    </row>
    <row r="49" spans="1:10" ht="15">
      <c r="A49" s="98"/>
      <c r="B49" s="71"/>
      <c r="C49" s="34" t="s">
        <v>48</v>
      </c>
      <c r="D49" s="73">
        <v>0</v>
      </c>
      <c r="E49" s="73"/>
      <c r="F49" s="73"/>
      <c r="G49" s="73"/>
      <c r="H49" s="73"/>
      <c r="I49" s="73"/>
      <c r="J49" s="73"/>
    </row>
    <row r="50" spans="1:10" ht="15">
      <c r="A50" s="63" t="s">
        <v>370</v>
      </c>
      <c r="B50" s="67" t="s">
        <v>371</v>
      </c>
      <c r="C50" s="34"/>
      <c r="D50" s="73"/>
      <c r="E50" s="73">
        <v>9</v>
      </c>
      <c r="F50" s="73"/>
      <c r="G50" s="73" t="s">
        <v>201</v>
      </c>
      <c r="H50" s="73"/>
      <c r="I50" s="73">
        <f ca="1">COUNTIF(G50:G59, TRUE)</f>
        <v>0</v>
      </c>
      <c r="J50" s="73">
        <f ca="1">I50/E50</f>
        <v>0</v>
      </c>
    </row>
    <row r="51" spans="1:10" ht="15">
      <c r="A51" s="124"/>
      <c r="B51" s="123"/>
      <c r="C51" s="34" t="s">
        <v>372</v>
      </c>
      <c r="D51" s="73">
        <v>2</v>
      </c>
      <c r="E51" s="73"/>
      <c r="F51" s="73"/>
      <c r="G51" s="73" t="e" cm="1">
        <f t="array" aca="1" ref="G51" ca="1">INDIRECT("'" &amp; SKJEMA_LEV &amp; "'!LEV_1.2.2_A")</f>
        <v>#REF!</v>
      </c>
      <c r="H51" s="73"/>
      <c r="I51" s="73"/>
      <c r="J51" s="73"/>
    </row>
    <row r="52" spans="1:10" ht="15">
      <c r="A52" s="98"/>
      <c r="B52" s="71"/>
      <c r="C52" s="34" t="s">
        <v>373</v>
      </c>
      <c r="D52" s="73">
        <v>1</v>
      </c>
      <c r="E52" s="73"/>
      <c r="F52" s="73"/>
      <c r="G52" s="73" t="e" cm="1">
        <f t="array" aca="1" ref="G52" ca="1">INDIRECT("'" &amp; SKJEMA_LEV &amp; "'!LEV_1.2.2_B")</f>
        <v>#REF!</v>
      </c>
      <c r="H52" s="73"/>
      <c r="I52" s="73"/>
      <c r="J52" s="73"/>
    </row>
    <row r="53" spans="1:10" ht="15">
      <c r="A53" s="98"/>
      <c r="B53" s="71"/>
      <c r="C53" s="34" t="s">
        <v>374</v>
      </c>
      <c r="D53" s="73">
        <v>1</v>
      </c>
      <c r="E53" s="73"/>
      <c r="F53" s="73"/>
      <c r="G53" s="73" t="e" cm="1">
        <f t="array" aca="1" ref="G53" ca="1">INDIRECT("'" &amp; SKJEMA_LEV &amp; "'!LEV_1.2.2_C")</f>
        <v>#REF!</v>
      </c>
      <c r="H53" s="73"/>
      <c r="I53" s="73"/>
      <c r="J53" s="73"/>
    </row>
    <row r="54" spans="1:10" ht="15">
      <c r="A54" s="98"/>
      <c r="B54" s="71"/>
      <c r="C54" s="34" t="s">
        <v>375</v>
      </c>
      <c r="D54" s="73">
        <v>2</v>
      </c>
      <c r="E54" s="73"/>
      <c r="F54" s="73"/>
      <c r="G54" s="73" t="e" cm="1">
        <f t="array" aca="1" ref="G54" ca="1">INDIRECT("'" &amp; SKJEMA_LEV &amp; "'!LEV_1.2.2_D")</f>
        <v>#REF!</v>
      </c>
      <c r="H54" s="73"/>
      <c r="I54" s="73"/>
      <c r="J54" s="73"/>
    </row>
    <row r="55" spans="1:10" ht="15">
      <c r="A55" s="98"/>
      <c r="B55" s="71"/>
      <c r="C55" s="34" t="s">
        <v>376</v>
      </c>
      <c r="D55" s="73">
        <v>1</v>
      </c>
      <c r="E55" s="73"/>
      <c r="F55" s="73"/>
      <c r="G55" s="73" t="e" cm="1">
        <f t="array" aca="1" ref="G55" ca="1">INDIRECT("'" &amp; SKJEMA_LEV &amp; "'!LEV_1.2.2_E")</f>
        <v>#REF!</v>
      </c>
      <c r="H55" s="73"/>
      <c r="I55" s="73"/>
      <c r="J55" s="73"/>
    </row>
    <row r="56" spans="1:10" ht="15">
      <c r="A56" s="98"/>
      <c r="B56" s="71"/>
      <c r="C56" s="34" t="s">
        <v>377</v>
      </c>
      <c r="D56" s="73">
        <v>1</v>
      </c>
      <c r="E56" s="73"/>
      <c r="F56" s="73"/>
      <c r="G56" s="73" t="e" cm="1">
        <f t="array" aca="1" ref="G56" ca="1">INDIRECT("'" &amp; SKJEMA_LEV &amp; "'!LEV_1.2.2_F")</f>
        <v>#REF!</v>
      </c>
      <c r="H56" s="73"/>
      <c r="I56" s="73"/>
      <c r="J56" s="73"/>
    </row>
    <row r="57" spans="1:10" ht="15">
      <c r="A57" s="98"/>
      <c r="B57" s="71"/>
      <c r="C57" s="34" t="s">
        <v>378</v>
      </c>
      <c r="D57" s="73">
        <v>1</v>
      </c>
      <c r="E57" s="73"/>
      <c r="F57" s="73"/>
      <c r="G57" s="73" t="e" cm="1">
        <f t="array" aca="1" ref="G57" ca="1">INDIRECT("'" &amp; SKJEMA_LEV &amp; "'!LEV_1.2.2_G")</f>
        <v>#REF!</v>
      </c>
      <c r="H57" s="73"/>
      <c r="I57" s="73"/>
      <c r="J57" s="73"/>
    </row>
    <row r="58" spans="1:10" ht="15">
      <c r="A58" s="98"/>
      <c r="B58" s="71"/>
      <c r="C58" s="34" t="s">
        <v>379</v>
      </c>
      <c r="D58" s="73">
        <v>1</v>
      </c>
      <c r="E58" s="73"/>
      <c r="F58" s="73"/>
      <c r="G58" s="73" t="e" cm="1">
        <f t="array" aca="1" ref="G58" ca="1">INDIRECT("'" &amp; SKJEMA_LEV &amp; "'!LEV_1.2.2_H")</f>
        <v>#REF!</v>
      </c>
      <c r="H58" s="73"/>
      <c r="I58" s="73"/>
      <c r="J58" s="73"/>
    </row>
    <row r="59" spans="1:10" ht="15">
      <c r="A59" s="125"/>
      <c r="B59" s="126"/>
      <c r="C59" s="34" t="s">
        <v>380</v>
      </c>
      <c r="D59" s="73">
        <v>1</v>
      </c>
      <c r="E59" s="73"/>
      <c r="F59" s="73"/>
      <c r="G59" s="73" t="e" cm="1">
        <f t="array" aca="1" ref="G59" ca="1">INDIRECT("'" &amp; SKJEMA_LEV &amp; "'!LEV_1.2.2_I")</f>
        <v>#REF!</v>
      </c>
      <c r="H59" s="73"/>
      <c r="I59" s="73"/>
      <c r="J59" s="73"/>
    </row>
    <row r="60" spans="1:10" ht="15">
      <c r="A60" s="63" t="s">
        <v>381</v>
      </c>
      <c r="B60" s="68" t="s">
        <v>382</v>
      </c>
      <c r="C60" s="34"/>
      <c r="D60" s="73"/>
      <c r="E60" s="73">
        <v>3</v>
      </c>
      <c r="F60" s="73"/>
      <c r="G60" s="73" t="e" cm="1">
        <f t="array" aca="1" ref="G60" ca="1">INDIRECT("'" &amp; SKJEMA_LEV &amp; "'!LEV_" &amp; A60)</f>
        <v>#REF!</v>
      </c>
      <c r="H60" s="73" t="e">
        <f ca="1">VLOOKUP(G60,C61:D64,2,0)</f>
        <v>#REF!</v>
      </c>
      <c r="I60" s="73" t="e">
        <f ca="1">H60</f>
        <v>#REF!</v>
      </c>
      <c r="J60" s="73" t="e">
        <f ca="1">I60/E60</f>
        <v>#REF!</v>
      </c>
    </row>
    <row r="61" spans="1:10" ht="15">
      <c r="A61" s="98"/>
      <c r="B61" s="71"/>
      <c r="C61" s="34" t="s">
        <v>383</v>
      </c>
      <c r="D61" s="73">
        <v>3</v>
      </c>
      <c r="E61" s="73"/>
      <c r="F61" s="73"/>
      <c r="G61" s="73"/>
      <c r="H61" s="73"/>
      <c r="I61" s="73"/>
      <c r="J61" s="73"/>
    </row>
    <row r="62" spans="1:10" ht="15">
      <c r="A62" s="98"/>
      <c r="B62" s="71"/>
      <c r="C62" s="34" t="s">
        <v>347</v>
      </c>
      <c r="D62" s="73">
        <v>2</v>
      </c>
      <c r="E62" s="73"/>
      <c r="F62" s="73"/>
      <c r="G62" s="73"/>
      <c r="H62" s="73"/>
      <c r="I62" s="73"/>
      <c r="J62" s="73"/>
    </row>
    <row r="63" spans="1:10" ht="15">
      <c r="A63" s="98"/>
      <c r="B63" s="71"/>
      <c r="C63" s="34" t="s">
        <v>348</v>
      </c>
      <c r="D63" s="73">
        <v>1</v>
      </c>
      <c r="E63" s="73"/>
      <c r="F63" s="73"/>
      <c r="G63" s="73"/>
      <c r="H63" s="73"/>
      <c r="I63" s="73"/>
      <c r="J63" s="73"/>
    </row>
    <row r="64" spans="1:10" ht="15">
      <c r="A64" s="98"/>
      <c r="B64" s="71"/>
      <c r="C64" s="34" t="s">
        <v>384</v>
      </c>
      <c r="D64" s="73">
        <v>0</v>
      </c>
      <c r="E64" s="73"/>
      <c r="F64" s="73"/>
      <c r="G64" s="73"/>
      <c r="H64" s="73"/>
      <c r="I64" s="73"/>
      <c r="J64" s="73"/>
    </row>
    <row r="65" spans="1:10" ht="15">
      <c r="A65" s="98" t="s">
        <v>385</v>
      </c>
      <c r="B65" s="71" t="s">
        <v>386</v>
      </c>
      <c r="C65" s="34"/>
      <c r="D65" s="73"/>
      <c r="E65" s="73">
        <v>3</v>
      </c>
      <c r="F65" s="73"/>
      <c r="G65" s="73" t="e" cm="1">
        <f t="array" aca="1" ref="G65" ca="1">INDIRECT("'" &amp; SKJEMA_LEV &amp; "'!LEV_" &amp; A65)</f>
        <v>#REF!</v>
      </c>
      <c r="H65" s="73" t="e">
        <f ca="1">VLOOKUP(G65,C66:D69,2,0)</f>
        <v>#REF!</v>
      </c>
      <c r="I65" s="73" t="e">
        <f ca="1">H65</f>
        <v>#REF!</v>
      </c>
      <c r="J65" s="73" t="e">
        <f ca="1">I65/E65</f>
        <v>#REF!</v>
      </c>
    </row>
    <row r="66" spans="1:10" ht="15">
      <c r="A66" s="98"/>
      <c r="B66" s="71"/>
      <c r="C66" s="34" t="s">
        <v>387</v>
      </c>
      <c r="D66" s="73">
        <v>3</v>
      </c>
      <c r="E66" s="73"/>
      <c r="F66" s="73"/>
      <c r="G66" s="73"/>
      <c r="H66" s="73"/>
      <c r="I66" s="73"/>
      <c r="J66" s="73"/>
    </row>
    <row r="67" spans="1:10" ht="15">
      <c r="A67" s="98"/>
      <c r="B67" s="71"/>
      <c r="C67" s="34" t="s">
        <v>388</v>
      </c>
      <c r="D67" s="73">
        <v>2</v>
      </c>
      <c r="E67" s="73"/>
      <c r="F67" s="73"/>
      <c r="G67" s="73"/>
      <c r="H67" s="73"/>
      <c r="I67" s="73"/>
      <c r="J67" s="73"/>
    </row>
    <row r="68" spans="1:10" ht="15">
      <c r="A68" s="98"/>
      <c r="B68" s="71"/>
      <c r="C68" s="34" t="s">
        <v>389</v>
      </c>
      <c r="D68" s="73">
        <v>1</v>
      </c>
      <c r="E68" s="73"/>
      <c r="F68" s="73"/>
      <c r="G68" s="73"/>
      <c r="H68" s="73"/>
      <c r="I68" s="73"/>
      <c r="J68" s="73"/>
    </row>
    <row r="69" spans="1:10" ht="15">
      <c r="A69" s="98"/>
      <c r="B69" s="71"/>
      <c r="C69" s="34" t="s">
        <v>390</v>
      </c>
      <c r="D69" s="73">
        <v>0</v>
      </c>
      <c r="E69" s="73"/>
      <c r="F69" s="73"/>
      <c r="G69" s="73"/>
      <c r="H69" s="73"/>
      <c r="I69" s="73"/>
      <c r="J69" s="73"/>
    </row>
    <row r="70" spans="1:10" ht="30">
      <c r="A70" s="63" t="s">
        <v>391</v>
      </c>
      <c r="B70" s="68" t="s">
        <v>392</v>
      </c>
      <c r="C70" s="73"/>
      <c r="D70" s="73"/>
      <c r="E70" s="73">
        <v>4</v>
      </c>
      <c r="F70" s="73"/>
      <c r="G70" s="73" t="e" cm="1">
        <f t="array" aca="1" ref="G70" ca="1">INDIRECT("'" &amp; SKJEMA_LEV &amp; "'!LEV_" &amp; A70)</f>
        <v>#REF!</v>
      </c>
      <c r="H70" s="73" t="e">
        <f ca="1">VLOOKUP(G70,C71:D75,2,0)</f>
        <v>#REF!</v>
      </c>
      <c r="I70" s="73" t="e">
        <f ca="1">H70</f>
        <v>#REF!</v>
      </c>
      <c r="J70" s="73" t="e">
        <f ca="1">I70/E70</f>
        <v>#REF!</v>
      </c>
    </row>
    <row r="71" spans="1:10" ht="15">
      <c r="A71" s="98"/>
      <c r="B71" s="71"/>
      <c r="C71" s="34" t="s">
        <v>393</v>
      </c>
      <c r="D71" s="73">
        <v>4</v>
      </c>
      <c r="E71" s="73"/>
      <c r="F71" s="73"/>
      <c r="G71" s="73"/>
      <c r="H71" s="73"/>
      <c r="I71" s="73"/>
      <c r="J71" s="73"/>
    </row>
    <row r="72" spans="1:10" ht="15">
      <c r="A72" s="98"/>
      <c r="B72" s="71"/>
      <c r="C72" s="34" t="s">
        <v>394</v>
      </c>
      <c r="D72" s="73">
        <v>3</v>
      </c>
      <c r="E72" s="73"/>
      <c r="F72" s="73"/>
      <c r="G72" s="73"/>
      <c r="H72" s="73"/>
      <c r="I72" s="73"/>
      <c r="J72" s="73"/>
    </row>
    <row r="73" spans="1:10" ht="15">
      <c r="A73" s="98"/>
      <c r="B73" s="71"/>
      <c r="C73" s="34" t="s">
        <v>395</v>
      </c>
      <c r="D73" s="73">
        <v>2</v>
      </c>
      <c r="E73" s="73"/>
      <c r="F73" s="73"/>
      <c r="G73" s="73"/>
      <c r="H73" s="73"/>
      <c r="I73" s="73"/>
      <c r="J73" s="73"/>
    </row>
    <row r="74" spans="1:10" ht="15">
      <c r="A74" s="98"/>
      <c r="B74" s="71"/>
      <c r="C74" s="34" t="s">
        <v>396</v>
      </c>
      <c r="D74" s="73">
        <v>1</v>
      </c>
      <c r="E74" s="73"/>
      <c r="F74" s="73"/>
      <c r="G74" s="73"/>
      <c r="H74" s="73"/>
      <c r="I74" s="73"/>
      <c r="J74" s="73"/>
    </row>
    <row r="75" spans="1:10" ht="15">
      <c r="A75" s="98"/>
      <c r="B75" s="71"/>
      <c r="C75" s="34" t="s">
        <v>136</v>
      </c>
      <c r="D75" s="73">
        <v>0</v>
      </c>
      <c r="E75" s="73"/>
      <c r="F75" s="73"/>
      <c r="G75" s="73"/>
      <c r="H75" s="73"/>
      <c r="I75" s="73"/>
      <c r="J75" s="73"/>
    </row>
    <row r="76" spans="1:10" ht="30">
      <c r="A76" s="63" t="s">
        <v>397</v>
      </c>
      <c r="B76" s="68" t="s">
        <v>398</v>
      </c>
      <c r="C76" s="73"/>
      <c r="D76" s="73"/>
      <c r="E76" s="73">
        <v>3</v>
      </c>
      <c r="F76" s="73"/>
      <c r="G76" s="73" t="e" cm="1">
        <f t="array" aca="1" ref="G76" ca="1">INDIRECT("'" &amp; SKJEMA_LEV &amp; "'!LEV_" &amp; A76)</f>
        <v>#REF!</v>
      </c>
      <c r="H76" s="73" t="e">
        <f ca="1">VLOOKUP(G76,C77:D80,2,0)</f>
        <v>#REF!</v>
      </c>
      <c r="I76" s="73" t="e">
        <f ca="1">H76</f>
        <v>#REF!</v>
      </c>
      <c r="J76" s="73" t="e">
        <f ca="1">I76/E76</f>
        <v>#REF!</v>
      </c>
    </row>
    <row r="77" spans="1:10" ht="15">
      <c r="A77" s="98"/>
      <c r="B77" s="73"/>
      <c r="C77" s="34" t="s">
        <v>399</v>
      </c>
      <c r="D77" s="73">
        <v>3</v>
      </c>
      <c r="E77" s="73"/>
      <c r="F77" s="73"/>
      <c r="G77" s="73"/>
      <c r="H77" s="73"/>
      <c r="I77" s="73"/>
      <c r="J77" s="73"/>
    </row>
    <row r="78" spans="1:10" ht="15">
      <c r="A78" s="98"/>
      <c r="B78" s="73"/>
      <c r="C78" s="34" t="s">
        <v>141</v>
      </c>
      <c r="D78" s="73">
        <v>2</v>
      </c>
      <c r="E78" s="73"/>
      <c r="F78" s="73"/>
      <c r="G78" s="73"/>
      <c r="H78" s="73"/>
      <c r="I78" s="73"/>
      <c r="J78" s="73"/>
    </row>
    <row r="79" spans="1:10" ht="15">
      <c r="A79" s="98"/>
      <c r="B79" s="73"/>
      <c r="C79" s="34" t="s">
        <v>48</v>
      </c>
      <c r="D79" s="73">
        <v>1</v>
      </c>
      <c r="E79" s="73"/>
      <c r="F79" s="73"/>
      <c r="G79" s="73"/>
      <c r="H79" s="73"/>
      <c r="I79" s="73"/>
      <c r="J79" s="73"/>
    </row>
    <row r="80" spans="1:10" ht="15">
      <c r="A80" s="98"/>
      <c r="B80" s="73"/>
      <c r="C80" s="34" t="s">
        <v>400</v>
      </c>
      <c r="D80" s="73">
        <v>0</v>
      </c>
      <c r="E80" s="73"/>
      <c r="F80" s="73"/>
      <c r="G80" s="73"/>
      <c r="H80" s="73"/>
      <c r="I80" s="73"/>
      <c r="J80" s="73"/>
    </row>
    <row r="81" spans="1:10" ht="15">
      <c r="A81" s="61" t="s">
        <v>401</v>
      </c>
      <c r="B81" s="62" t="s">
        <v>402</v>
      </c>
      <c r="C81" s="73"/>
      <c r="D81" s="73"/>
      <c r="E81" s="73"/>
      <c r="F81" s="73"/>
      <c r="G81" s="73"/>
      <c r="H81" s="73"/>
      <c r="I81" s="73"/>
      <c r="J81" s="73"/>
    </row>
    <row r="82" spans="1:10" ht="30">
      <c r="A82" s="63" t="s">
        <v>403</v>
      </c>
      <c r="B82" s="123" t="s">
        <v>404</v>
      </c>
      <c r="C82" s="73"/>
      <c r="D82" s="73"/>
      <c r="E82" s="73">
        <v>2</v>
      </c>
      <c r="F82" s="73"/>
      <c r="G82" s="73" t="e" cm="1">
        <f t="array" aca="1" ref="G82" ca="1">INDIRECT("'" &amp; SKJEMA_LEV &amp; "'!LEV_" &amp; A82)</f>
        <v>#REF!</v>
      </c>
      <c r="H82" s="73" t="e">
        <f ca="1">VLOOKUP(G82,C83:D85,2,0)</f>
        <v>#REF!</v>
      </c>
      <c r="I82" s="73" t="e">
        <f ca="1">H82</f>
        <v>#REF!</v>
      </c>
      <c r="J82" s="73" t="e">
        <f ca="1">I82/E82</f>
        <v>#REF!</v>
      </c>
    </row>
    <row r="83" spans="1:10" ht="15">
      <c r="A83" s="98"/>
      <c r="B83" s="73"/>
      <c r="C83" s="34" t="s">
        <v>65</v>
      </c>
      <c r="D83" s="73">
        <v>2</v>
      </c>
      <c r="E83" s="73"/>
      <c r="F83" s="73"/>
      <c r="G83" s="73"/>
      <c r="H83" s="73"/>
      <c r="I83" s="73"/>
      <c r="J83" s="73"/>
    </row>
    <row r="84" spans="1:10" ht="15">
      <c r="A84" s="98"/>
      <c r="B84" s="73"/>
      <c r="C84" s="34" t="s">
        <v>141</v>
      </c>
      <c r="D84" s="73">
        <v>1</v>
      </c>
      <c r="E84" s="73"/>
      <c r="F84" s="73"/>
      <c r="G84" s="73"/>
      <c r="H84" s="73"/>
      <c r="I84" s="73"/>
      <c r="J84" s="73"/>
    </row>
    <row r="85" spans="1:10" ht="15">
      <c r="A85" s="98"/>
      <c r="B85" s="73"/>
      <c r="C85" s="34" t="s">
        <v>48</v>
      </c>
      <c r="D85" s="73">
        <v>0</v>
      </c>
      <c r="E85" s="73"/>
      <c r="F85" s="73"/>
      <c r="G85" s="73"/>
      <c r="H85" s="73"/>
      <c r="I85" s="73"/>
      <c r="J85" s="73"/>
    </row>
    <row r="86" spans="1:10" ht="15">
      <c r="A86" s="61" t="s">
        <v>405</v>
      </c>
      <c r="B86" s="72" t="s">
        <v>406</v>
      </c>
      <c r="C86" s="73"/>
      <c r="D86" s="73"/>
      <c r="E86" s="73"/>
      <c r="F86" s="73"/>
      <c r="G86" s="73"/>
      <c r="H86" s="73"/>
      <c r="I86" s="73"/>
      <c r="J86" s="73"/>
    </row>
    <row r="87" spans="1:10" ht="15">
      <c r="A87" s="63" t="s">
        <v>407</v>
      </c>
      <c r="B87" s="127" t="s">
        <v>408</v>
      </c>
      <c r="C87" s="73"/>
      <c r="D87" s="73"/>
      <c r="E87" s="73">
        <v>3</v>
      </c>
      <c r="F87" s="73"/>
      <c r="G87" s="73" t="e" cm="1">
        <f t="array" aca="1" ref="G87" ca="1">INDIRECT("'" &amp; SKJEMA_LEV &amp; "'!LEV_" &amp; A87)</f>
        <v>#REF!</v>
      </c>
      <c r="H87" s="73" t="e">
        <f ca="1">VLOOKUP(G87,C88:D91,2,0)</f>
        <v>#REF!</v>
      </c>
      <c r="I87" s="73" t="e">
        <f ca="1">H87</f>
        <v>#REF!</v>
      </c>
      <c r="J87" s="73" t="e">
        <f ca="1">I87/E87</f>
        <v>#REF!</v>
      </c>
    </row>
    <row r="88" spans="1:10" ht="15">
      <c r="A88" s="98"/>
      <c r="B88" s="73"/>
      <c r="C88" s="34" t="s">
        <v>409</v>
      </c>
      <c r="D88" s="73">
        <v>3</v>
      </c>
      <c r="E88" s="73"/>
      <c r="F88" s="73"/>
      <c r="G88" s="73"/>
      <c r="H88" s="73"/>
      <c r="I88" s="73"/>
      <c r="J88" s="73"/>
    </row>
    <row r="89" spans="1:10" ht="15">
      <c r="A89" s="98"/>
      <c r="B89" s="73"/>
      <c r="C89" s="34" t="s">
        <v>410</v>
      </c>
      <c r="D89" s="73">
        <v>2</v>
      </c>
      <c r="E89" s="73"/>
      <c r="F89" s="73"/>
      <c r="G89" s="73"/>
      <c r="H89" s="73"/>
      <c r="I89" s="73"/>
      <c r="J89" s="73"/>
    </row>
    <row r="90" spans="1:10" ht="15">
      <c r="A90" s="98"/>
      <c r="B90" s="73"/>
      <c r="C90" s="34" t="s">
        <v>411</v>
      </c>
      <c r="D90" s="73">
        <v>1</v>
      </c>
      <c r="E90" s="73"/>
      <c r="F90" s="73"/>
      <c r="G90" s="73"/>
      <c r="H90" s="73"/>
      <c r="I90" s="73"/>
      <c r="J90" s="73"/>
    </row>
    <row r="91" spans="1:10" ht="15">
      <c r="A91" s="98"/>
      <c r="B91" s="73"/>
      <c r="C91" s="34" t="s">
        <v>48</v>
      </c>
      <c r="D91" s="73">
        <v>0</v>
      </c>
      <c r="E91" s="73"/>
      <c r="F91" s="73"/>
      <c r="G91" s="73"/>
      <c r="H91" s="73"/>
      <c r="I91" s="73"/>
      <c r="J91" s="73"/>
    </row>
    <row r="92" spans="1:10" ht="15">
      <c r="A92" s="63" t="s">
        <v>412</v>
      </c>
      <c r="B92" s="127" t="s">
        <v>413</v>
      </c>
      <c r="C92" s="73"/>
      <c r="D92" s="73"/>
      <c r="E92" s="73">
        <v>3</v>
      </c>
      <c r="F92" s="73"/>
      <c r="G92" s="73" t="e" cm="1">
        <f t="array" aca="1" ref="G92" ca="1">INDIRECT("'" &amp; SKJEMA_LEV &amp; "'!LEV_" &amp; A92)</f>
        <v>#REF!</v>
      </c>
      <c r="H92" s="73" t="e">
        <f ca="1">VLOOKUP(G92,C93:D96,2,0)</f>
        <v>#REF!</v>
      </c>
      <c r="I92" s="73" t="e">
        <f ca="1">H92</f>
        <v>#REF!</v>
      </c>
      <c r="J92" s="73" t="e">
        <f ca="1">I92/E92</f>
        <v>#REF!</v>
      </c>
    </row>
    <row r="93" spans="1:10" ht="15">
      <c r="A93" s="98"/>
      <c r="B93" s="73"/>
      <c r="C93" s="34" t="s">
        <v>65</v>
      </c>
      <c r="D93" s="73">
        <v>3</v>
      </c>
      <c r="E93" s="73"/>
      <c r="F93" s="73"/>
      <c r="G93" s="73"/>
      <c r="H93" s="73"/>
      <c r="I93" s="73"/>
      <c r="J93" s="73"/>
    </row>
    <row r="94" spans="1:10" ht="15">
      <c r="A94" s="98"/>
      <c r="B94" s="73"/>
      <c r="C94" s="34" t="s">
        <v>414</v>
      </c>
      <c r="D94" s="73">
        <v>2</v>
      </c>
      <c r="E94" s="73"/>
      <c r="F94" s="73"/>
      <c r="G94" s="73"/>
      <c r="H94" s="73"/>
      <c r="I94" s="73"/>
      <c r="J94" s="73"/>
    </row>
    <row r="95" spans="1:10" ht="15">
      <c r="A95" s="98"/>
      <c r="B95" s="73"/>
      <c r="C95" s="34" t="s">
        <v>141</v>
      </c>
      <c r="D95" s="73">
        <v>1</v>
      </c>
      <c r="E95" s="73"/>
      <c r="F95" s="73"/>
      <c r="G95" s="73"/>
      <c r="H95" s="73"/>
      <c r="I95" s="73"/>
      <c r="J95" s="73"/>
    </row>
    <row r="96" spans="1:10" ht="15">
      <c r="A96" s="98"/>
      <c r="B96" s="73"/>
      <c r="C96" s="34" t="s">
        <v>48</v>
      </c>
      <c r="D96" s="73">
        <v>9</v>
      </c>
      <c r="E96" s="73"/>
      <c r="F96" s="73"/>
      <c r="G96" s="73"/>
      <c r="H96" s="73"/>
      <c r="I96" s="73"/>
      <c r="J96" s="73"/>
    </row>
    <row r="97" spans="1:10" ht="45">
      <c r="A97" s="63" t="s">
        <v>415</v>
      </c>
      <c r="B97" s="123" t="s">
        <v>416</v>
      </c>
      <c r="C97" s="73"/>
      <c r="D97" s="73"/>
      <c r="E97" s="73">
        <v>2</v>
      </c>
      <c r="F97" s="73"/>
      <c r="G97" s="73" t="e" cm="1">
        <f t="array" aca="1" ref="G97" ca="1">INDIRECT("'" &amp; SKJEMA_LEV &amp; "'!LEV_" &amp; A97)</f>
        <v>#REF!</v>
      </c>
      <c r="H97" s="73" t="e">
        <f ca="1">VLOOKUP(G97,C98:D101,2,0)</f>
        <v>#REF!</v>
      </c>
      <c r="I97" s="73" t="e">
        <f ca="1">H97</f>
        <v>#REF!</v>
      </c>
      <c r="J97" s="73" t="e">
        <f ca="1">I97/E97</f>
        <v>#REF!</v>
      </c>
    </row>
    <row r="98" spans="1:10" ht="15">
      <c r="A98" s="98"/>
      <c r="B98" s="73"/>
      <c r="C98" s="34" t="s">
        <v>65</v>
      </c>
      <c r="D98" s="73">
        <v>2</v>
      </c>
      <c r="E98" s="73"/>
      <c r="F98" s="73"/>
      <c r="G98" s="73"/>
      <c r="H98" s="73"/>
      <c r="I98" s="73"/>
      <c r="J98" s="73"/>
    </row>
    <row r="99" spans="1:10" ht="15">
      <c r="A99" s="98"/>
      <c r="B99" s="73"/>
      <c r="C99" s="34" t="s">
        <v>417</v>
      </c>
      <c r="D99" s="73">
        <v>1</v>
      </c>
      <c r="E99" s="73"/>
      <c r="F99" s="73"/>
      <c r="G99" s="73"/>
      <c r="H99" s="73"/>
      <c r="I99" s="73"/>
      <c r="J99" s="73"/>
    </row>
    <row r="100" spans="1:10" ht="15">
      <c r="A100" s="98"/>
      <c r="B100" s="73"/>
      <c r="C100" s="34" t="s">
        <v>48</v>
      </c>
      <c r="D100" s="73">
        <v>0</v>
      </c>
      <c r="E100" s="73"/>
      <c r="F100" s="73"/>
      <c r="G100" s="73"/>
      <c r="H100" s="73"/>
      <c r="I100" s="73"/>
      <c r="J100" s="73"/>
    </row>
    <row r="101" spans="1:10" ht="15">
      <c r="A101" s="61" t="s">
        <v>418</v>
      </c>
      <c r="B101" s="72" t="s">
        <v>419</v>
      </c>
      <c r="C101" s="34"/>
      <c r="D101" s="73"/>
      <c r="E101" s="73"/>
      <c r="F101" s="73"/>
      <c r="G101" s="73"/>
      <c r="H101" s="73"/>
      <c r="I101" s="73"/>
      <c r="J101" s="73"/>
    </row>
    <row r="102" spans="1:10" ht="30">
      <c r="A102" s="63" t="s">
        <v>420</v>
      </c>
      <c r="B102" s="58" t="s">
        <v>421</v>
      </c>
      <c r="C102" s="34"/>
      <c r="D102" s="73"/>
      <c r="E102" s="73">
        <v>3</v>
      </c>
      <c r="F102" s="73"/>
      <c r="G102" s="73" t="e" cm="1">
        <f t="array" aca="1" ref="G102" ca="1">INDIRECT("'" &amp; SKJEMA_LEV &amp; "'!LEV_" &amp; A102)</f>
        <v>#REF!</v>
      </c>
      <c r="H102" s="73" t="e">
        <f ca="1">VLOOKUP(G102,C103:D106,2,0)</f>
        <v>#REF!</v>
      </c>
      <c r="I102" s="73" t="e">
        <f ca="1">H102</f>
        <v>#REF!</v>
      </c>
      <c r="J102" s="73" t="e">
        <f ca="1">I102/E102</f>
        <v>#REF!</v>
      </c>
    </row>
    <row r="103" spans="1:10" ht="15">
      <c r="A103" s="63"/>
      <c r="B103" s="74"/>
      <c r="C103" s="34" t="s">
        <v>422</v>
      </c>
      <c r="D103" s="73">
        <v>3</v>
      </c>
      <c r="E103" s="73"/>
      <c r="F103" s="73"/>
      <c r="G103" s="73"/>
      <c r="H103" s="73"/>
      <c r="I103" s="73"/>
      <c r="J103" s="73"/>
    </row>
    <row r="104" spans="1:10" ht="15">
      <c r="A104" s="63"/>
      <c r="B104" s="74"/>
      <c r="C104" s="34" t="s">
        <v>423</v>
      </c>
      <c r="D104" s="73">
        <v>2</v>
      </c>
      <c r="E104" s="73"/>
      <c r="F104" s="73"/>
      <c r="G104" s="73"/>
      <c r="H104" s="73"/>
      <c r="I104" s="73"/>
      <c r="J104" s="73"/>
    </row>
    <row r="105" spans="1:10" ht="15">
      <c r="A105" s="63"/>
      <c r="B105" s="74"/>
      <c r="C105" s="34" t="s">
        <v>424</v>
      </c>
      <c r="D105" s="73">
        <v>1</v>
      </c>
      <c r="E105" s="73"/>
      <c r="F105" s="73"/>
      <c r="G105" s="73"/>
      <c r="H105" s="73"/>
      <c r="I105" s="73"/>
      <c r="J105" s="73"/>
    </row>
    <row r="106" spans="1:10" ht="15">
      <c r="A106" s="63"/>
      <c r="B106" s="74"/>
      <c r="C106" s="34" t="s">
        <v>425</v>
      </c>
      <c r="D106" s="73">
        <v>0</v>
      </c>
      <c r="E106" s="73"/>
      <c r="F106" s="73"/>
      <c r="G106" s="73"/>
      <c r="H106" s="73"/>
      <c r="I106" s="73"/>
      <c r="J106" s="73"/>
    </row>
    <row r="107" spans="1:10" ht="45">
      <c r="A107" s="63" t="s">
        <v>426</v>
      </c>
      <c r="B107" s="75" t="s">
        <v>427</v>
      </c>
      <c r="C107" s="34"/>
      <c r="D107" s="73"/>
      <c r="E107" s="73">
        <v>5</v>
      </c>
      <c r="F107" s="73"/>
      <c r="G107" s="73"/>
      <c r="H107" s="73"/>
      <c r="I107" s="73">
        <f ca="1">COUNTIF(G107:G112, TRUE)</f>
        <v>0</v>
      </c>
      <c r="J107" s="73">
        <f ca="1">I107/E107</f>
        <v>0</v>
      </c>
    </row>
    <row r="108" spans="1:10" ht="15">
      <c r="A108" s="63"/>
      <c r="B108" s="74"/>
      <c r="C108" s="34" t="s">
        <v>428</v>
      </c>
      <c r="D108" s="73">
        <v>1</v>
      </c>
      <c r="E108" s="73"/>
      <c r="F108" s="73"/>
      <c r="G108" s="73" t="e" cm="1">
        <f t="array" aca="1" ref="G108" ca="1">INDIRECT("'" &amp; SKJEMA_LEV &amp; "'!LEV_3.1.2_A")</f>
        <v>#REF!</v>
      </c>
      <c r="H108" s="73"/>
      <c r="I108" s="73"/>
      <c r="J108" s="73"/>
    </row>
    <row r="109" spans="1:10" ht="15">
      <c r="A109" s="63"/>
      <c r="B109" s="74"/>
      <c r="C109" s="34" t="s">
        <v>429</v>
      </c>
      <c r="D109" s="73">
        <v>1</v>
      </c>
      <c r="E109" s="73"/>
      <c r="F109" s="73"/>
      <c r="G109" s="73" t="e" cm="1">
        <f t="array" aca="1" ref="G109" ca="1">INDIRECT("'" &amp; SKJEMA_LEV &amp; "'!LEV_3.1.2_B")</f>
        <v>#REF!</v>
      </c>
      <c r="H109" s="73"/>
      <c r="I109" s="73"/>
      <c r="J109" s="73"/>
    </row>
    <row r="110" spans="1:10" ht="15">
      <c r="A110" s="63"/>
      <c r="B110" s="74"/>
      <c r="C110" s="34" t="s">
        <v>430</v>
      </c>
      <c r="D110" s="73">
        <v>1</v>
      </c>
      <c r="E110" s="73"/>
      <c r="F110" s="73"/>
      <c r="G110" s="73" t="e" cm="1">
        <f t="array" aca="1" ref="G110" ca="1">INDIRECT("'" &amp; SKJEMA_LEV &amp; "'!LEV_3.1.2_C")</f>
        <v>#REF!</v>
      </c>
      <c r="H110" s="73"/>
      <c r="I110" s="73"/>
      <c r="J110" s="73"/>
    </row>
    <row r="111" spans="1:10" ht="15">
      <c r="A111" s="63"/>
      <c r="B111" s="74"/>
      <c r="C111" s="34" t="s">
        <v>431</v>
      </c>
      <c r="D111" s="73">
        <v>1</v>
      </c>
      <c r="E111" s="73"/>
      <c r="F111" s="73"/>
      <c r="G111" s="73" t="e" cm="1">
        <f t="array" aca="1" ref="G111" ca="1">INDIRECT("'" &amp; SKJEMA_LEV &amp; "'!LEV_3.1.2_D")</f>
        <v>#REF!</v>
      </c>
      <c r="H111" s="73"/>
      <c r="I111" s="73"/>
      <c r="J111" s="73"/>
    </row>
    <row r="112" spans="1:10" ht="15">
      <c r="A112" s="63"/>
      <c r="B112" s="74"/>
      <c r="C112" s="34" t="s">
        <v>136</v>
      </c>
      <c r="D112" s="73">
        <v>0</v>
      </c>
      <c r="E112" s="73"/>
      <c r="F112" s="73"/>
      <c r="G112" s="73" t="e" cm="1">
        <f t="array" aca="1" ref="G112" ca="1">INDIRECT("'" &amp; SKJEMA_LEV &amp; "'!LEV_3.1.2_E")</f>
        <v>#REF!</v>
      </c>
      <c r="H112" s="73"/>
      <c r="I112" s="73"/>
      <c r="J112" s="73"/>
    </row>
    <row r="113" spans="1:10" ht="15">
      <c r="A113" s="61" t="s">
        <v>432</v>
      </c>
      <c r="B113" s="62" t="s">
        <v>334</v>
      </c>
      <c r="C113" s="34"/>
      <c r="D113" s="73"/>
      <c r="E113" s="73"/>
      <c r="F113" s="73"/>
      <c r="G113" s="73"/>
      <c r="H113" s="73"/>
      <c r="I113" s="73"/>
      <c r="J113" s="73"/>
    </row>
    <row r="114" spans="1:10" ht="30">
      <c r="A114" s="63" t="s">
        <v>433</v>
      </c>
      <c r="B114" s="123" t="s">
        <v>434</v>
      </c>
      <c r="C114" s="73"/>
      <c r="D114" s="73"/>
      <c r="E114" s="73">
        <v>4</v>
      </c>
      <c r="F114" s="73"/>
      <c r="G114" s="73" t="e" cm="1">
        <f t="array" aca="1" ref="G114" ca="1">INDIRECT("'" &amp; SKJEMA_LEV &amp; "'!LEV_" &amp; A114)</f>
        <v>#REF!</v>
      </c>
      <c r="H114" s="73" t="e">
        <f ca="1">VLOOKUP(G114,C115:D119,2,0)</f>
        <v>#REF!</v>
      </c>
      <c r="I114" s="73" t="e">
        <f ca="1">H114</f>
        <v>#REF!</v>
      </c>
      <c r="J114" s="73" t="e">
        <f ca="1">I114/E114</f>
        <v>#REF!</v>
      </c>
    </row>
    <row r="115" spans="1:10" ht="15">
      <c r="A115" s="98"/>
      <c r="B115" s="73"/>
      <c r="C115" s="34" t="s">
        <v>65</v>
      </c>
      <c r="D115" s="73">
        <v>4</v>
      </c>
      <c r="E115" s="73"/>
      <c r="F115" s="73"/>
      <c r="G115" s="73"/>
      <c r="H115" s="73"/>
      <c r="I115" s="73"/>
      <c r="J115" s="73"/>
    </row>
    <row r="116" spans="1:10" ht="15">
      <c r="A116" s="98"/>
      <c r="B116" s="73"/>
      <c r="C116" s="34" t="s">
        <v>435</v>
      </c>
      <c r="D116" s="73">
        <v>3</v>
      </c>
      <c r="E116" s="73"/>
      <c r="F116" s="73"/>
      <c r="G116" s="73"/>
      <c r="H116" s="73"/>
      <c r="I116" s="73"/>
      <c r="J116" s="73"/>
    </row>
    <row r="117" spans="1:10" ht="15">
      <c r="A117" s="98"/>
      <c r="B117" s="73"/>
      <c r="C117" s="34" t="s">
        <v>141</v>
      </c>
      <c r="D117" s="73">
        <v>2</v>
      </c>
      <c r="E117" s="73"/>
      <c r="F117" s="73"/>
      <c r="G117" s="73"/>
      <c r="H117" s="73"/>
      <c r="I117" s="73"/>
      <c r="J117" s="73"/>
    </row>
    <row r="118" spans="1:10" ht="15">
      <c r="A118" s="98"/>
      <c r="B118" s="73"/>
      <c r="C118" s="34" t="s">
        <v>48</v>
      </c>
      <c r="D118" s="73">
        <v>1</v>
      </c>
      <c r="E118" s="73"/>
      <c r="F118" s="73"/>
      <c r="G118" s="73"/>
      <c r="H118" s="73"/>
      <c r="I118" s="73"/>
      <c r="J118" s="73"/>
    </row>
    <row r="119" spans="1:10" ht="15">
      <c r="A119" s="98"/>
      <c r="B119" s="73"/>
      <c r="C119" s="34" t="s">
        <v>136</v>
      </c>
      <c r="D119" s="73">
        <v>0</v>
      </c>
      <c r="E119" s="73"/>
      <c r="F119" s="73"/>
      <c r="G119" s="73"/>
      <c r="H119" s="73"/>
      <c r="I119" s="73"/>
      <c r="J119" s="73"/>
    </row>
    <row r="120" spans="1:10" ht="45">
      <c r="A120" s="63" t="s">
        <v>436</v>
      </c>
      <c r="B120" s="127" t="s">
        <v>437</v>
      </c>
      <c r="C120" s="73"/>
      <c r="D120" s="73"/>
      <c r="E120" s="73">
        <v>4</v>
      </c>
      <c r="F120" s="73"/>
      <c r="G120" s="73" t="e" cm="1">
        <f t="array" aca="1" ref="G120" ca="1">INDIRECT("'" &amp; SKJEMA_LEV &amp; "'!LEV_" &amp; A120)</f>
        <v>#REF!</v>
      </c>
      <c r="H120" s="73" t="e">
        <f ca="1">VLOOKUP(G120,C121:D125,2,0)</f>
        <v>#REF!</v>
      </c>
      <c r="I120" s="73" t="e">
        <f ca="1">H120</f>
        <v>#REF!</v>
      </c>
      <c r="J120" s="73" t="e">
        <f ca="1">I120/E120</f>
        <v>#REF!</v>
      </c>
    </row>
    <row r="121" spans="1:10" ht="15">
      <c r="A121" s="98"/>
      <c r="B121" s="73"/>
      <c r="C121" s="34" t="s">
        <v>438</v>
      </c>
      <c r="D121" s="73">
        <v>4</v>
      </c>
      <c r="E121" s="73"/>
      <c r="F121" s="73"/>
      <c r="G121" s="73"/>
      <c r="H121" s="73"/>
      <c r="I121" s="73"/>
      <c r="J121" s="73"/>
    </row>
    <row r="122" spans="1:10" ht="15">
      <c r="A122" s="98"/>
      <c r="B122" s="73"/>
      <c r="C122" s="34" t="s">
        <v>414</v>
      </c>
      <c r="D122" s="73">
        <v>3</v>
      </c>
      <c r="E122" s="73"/>
      <c r="F122" s="73"/>
      <c r="G122" s="73"/>
      <c r="H122" s="73"/>
      <c r="I122" s="73"/>
      <c r="J122" s="73"/>
    </row>
    <row r="123" spans="1:10" ht="15">
      <c r="A123" s="98"/>
      <c r="B123" s="73"/>
      <c r="C123" s="34" t="s">
        <v>439</v>
      </c>
      <c r="D123" s="73">
        <v>2</v>
      </c>
      <c r="E123" s="73"/>
      <c r="F123" s="73"/>
      <c r="G123" s="73"/>
      <c r="H123" s="73"/>
      <c r="I123" s="73"/>
      <c r="J123" s="73"/>
    </row>
    <row r="124" spans="1:10" ht="15">
      <c r="A124" s="98"/>
      <c r="B124" s="73"/>
      <c r="C124" s="34" t="s">
        <v>141</v>
      </c>
      <c r="D124" s="73">
        <v>1</v>
      </c>
      <c r="E124" s="73"/>
      <c r="F124" s="73"/>
      <c r="G124" s="73"/>
      <c r="H124" s="73"/>
      <c r="I124" s="73"/>
      <c r="J124" s="73"/>
    </row>
    <row r="125" spans="1:10" ht="15">
      <c r="A125" s="98"/>
      <c r="B125" s="73"/>
      <c r="C125" s="34" t="s">
        <v>48</v>
      </c>
      <c r="D125" s="73">
        <v>0</v>
      </c>
      <c r="E125" s="73"/>
      <c r="F125" s="73"/>
      <c r="G125" s="73"/>
      <c r="H125" s="73"/>
      <c r="I125" s="73"/>
      <c r="J125" s="73"/>
    </row>
    <row r="126" spans="1:10" ht="30">
      <c r="A126" s="63" t="s">
        <v>440</v>
      </c>
      <c r="B126" s="123" t="s">
        <v>441</v>
      </c>
      <c r="C126" s="73"/>
      <c r="D126" s="73"/>
      <c r="E126" s="73">
        <v>3</v>
      </c>
      <c r="F126" s="73"/>
      <c r="G126" s="73" t="e" cm="1">
        <f t="array" aca="1" ref="G126" ca="1">INDIRECT("'" &amp; SKJEMA_LEV &amp; "'!LEV_" &amp; A126)</f>
        <v>#REF!</v>
      </c>
      <c r="H126" s="73" t="e">
        <f ca="1">VLOOKUP(G126,C127:D130,2,0)</f>
        <v>#REF!</v>
      </c>
      <c r="I126" s="73" t="e">
        <f ca="1">H126</f>
        <v>#REF!</v>
      </c>
      <c r="J126" s="73" t="e">
        <f ca="1">I126/E126</f>
        <v>#REF!</v>
      </c>
    </row>
    <row r="127" spans="1:10" ht="15">
      <c r="A127" s="98"/>
      <c r="B127" s="73"/>
      <c r="C127" s="34" t="s">
        <v>442</v>
      </c>
      <c r="D127" s="73">
        <v>3</v>
      </c>
      <c r="E127" s="73"/>
      <c r="F127" s="73"/>
      <c r="G127" s="73"/>
      <c r="H127" s="73"/>
      <c r="I127" s="73"/>
      <c r="J127" s="73"/>
    </row>
    <row r="128" spans="1:10" ht="15">
      <c r="A128" s="98"/>
      <c r="B128" s="73"/>
      <c r="C128" s="34" t="s">
        <v>443</v>
      </c>
      <c r="D128" s="73">
        <v>2</v>
      </c>
      <c r="E128" s="73"/>
      <c r="F128" s="73"/>
      <c r="G128" s="73"/>
      <c r="H128" s="73"/>
      <c r="I128" s="73"/>
      <c r="J128" s="73"/>
    </row>
    <row r="129" spans="1:10" ht="15">
      <c r="A129" s="98"/>
      <c r="B129" s="73"/>
      <c r="C129" s="34" t="s">
        <v>48</v>
      </c>
      <c r="D129" s="73">
        <v>1</v>
      </c>
      <c r="E129" s="73"/>
      <c r="F129" s="73"/>
      <c r="G129" s="73"/>
      <c r="H129" s="73"/>
      <c r="I129" s="73"/>
      <c r="J129" s="73"/>
    </row>
    <row r="130" spans="1:10" ht="15">
      <c r="A130" s="98"/>
      <c r="B130" s="73"/>
      <c r="C130" s="34" t="s">
        <v>136</v>
      </c>
      <c r="D130" s="73">
        <v>0</v>
      </c>
      <c r="E130" s="73"/>
      <c r="F130" s="73"/>
      <c r="G130" s="73"/>
      <c r="H130" s="73"/>
      <c r="I130" s="73"/>
      <c r="J130" s="73"/>
    </row>
    <row r="131" spans="1:10" ht="30">
      <c r="A131" s="63" t="s">
        <v>444</v>
      </c>
      <c r="B131" s="123" t="s">
        <v>445</v>
      </c>
      <c r="C131" s="73"/>
      <c r="D131" s="73"/>
      <c r="E131" s="73">
        <v>4</v>
      </c>
      <c r="F131" s="73"/>
      <c r="G131" s="73" t="e" cm="1">
        <f t="array" aca="1" ref="G131" ca="1">INDIRECT("'" &amp; SKJEMA_LEV &amp; "'!LEV_" &amp; A131)</f>
        <v>#REF!</v>
      </c>
      <c r="H131" s="73" t="e">
        <f ca="1">VLOOKUP(G131,C132:D135,2,0)</f>
        <v>#REF!</v>
      </c>
      <c r="I131" s="73" t="e">
        <f ca="1">H131</f>
        <v>#REF!</v>
      </c>
      <c r="J131" s="73" t="e">
        <f ca="1">I131/E131</f>
        <v>#REF!</v>
      </c>
    </row>
    <row r="132" spans="1:10" ht="15">
      <c r="A132" s="98"/>
      <c r="B132" s="73"/>
      <c r="C132" s="34" t="s">
        <v>65</v>
      </c>
      <c r="D132" s="73">
        <v>4</v>
      </c>
      <c r="E132" s="73"/>
      <c r="F132" s="73"/>
      <c r="G132" s="73"/>
      <c r="H132" s="73"/>
      <c r="I132" s="73"/>
      <c r="J132" s="73"/>
    </row>
    <row r="133" spans="1:10" ht="15">
      <c r="A133" s="98"/>
      <c r="B133" s="73"/>
      <c r="C133" s="34" t="s">
        <v>141</v>
      </c>
      <c r="D133" s="73">
        <v>3</v>
      </c>
      <c r="E133" s="73"/>
      <c r="F133" s="73"/>
      <c r="G133" s="73"/>
      <c r="H133" s="73"/>
      <c r="I133" s="73"/>
      <c r="J133" s="73"/>
    </row>
    <row r="134" spans="1:10" ht="15">
      <c r="A134" s="98"/>
      <c r="B134" s="73"/>
      <c r="C134" s="34" t="s">
        <v>48</v>
      </c>
      <c r="D134" s="73">
        <v>1</v>
      </c>
      <c r="E134" s="73"/>
      <c r="F134" s="73"/>
      <c r="G134" s="73"/>
      <c r="H134" s="73"/>
      <c r="I134" s="73"/>
      <c r="J134" s="73"/>
    </row>
    <row r="135" spans="1:10" ht="15">
      <c r="A135" s="98"/>
      <c r="B135" s="73"/>
      <c r="C135" s="34" t="s">
        <v>446</v>
      </c>
      <c r="D135" s="73">
        <v>2</v>
      </c>
      <c r="E135" s="73"/>
      <c r="F135" s="73"/>
      <c r="G135" s="73"/>
      <c r="H135" s="73"/>
      <c r="I135" s="73"/>
      <c r="J135" s="73"/>
    </row>
    <row r="136" spans="1:10" ht="15">
      <c r="A136" s="63" t="s">
        <v>447</v>
      </c>
      <c r="B136" s="127" t="s">
        <v>448</v>
      </c>
      <c r="C136" s="73"/>
      <c r="D136" s="73"/>
      <c r="E136" s="73">
        <v>4</v>
      </c>
      <c r="F136" s="73"/>
      <c r="G136" s="73" t="e" cm="1">
        <f t="array" aca="1" ref="G136" ca="1">INDIRECT("'" &amp; SKJEMA_LEV &amp; "'!LEV_" &amp; A136)</f>
        <v>#REF!</v>
      </c>
      <c r="H136" s="73" t="e">
        <f ca="1">VLOOKUP(G136,C137:D141,2,0)</f>
        <v>#REF!</v>
      </c>
      <c r="I136" s="73" t="e">
        <f ca="1">H136</f>
        <v>#REF!</v>
      </c>
      <c r="J136" s="73" t="e">
        <f ca="1">I136/E136</f>
        <v>#REF!</v>
      </c>
    </row>
    <row r="137" spans="1:10" ht="15">
      <c r="A137" s="98"/>
      <c r="B137" s="73"/>
      <c r="C137" s="34" t="s">
        <v>449</v>
      </c>
      <c r="D137" s="73">
        <v>4</v>
      </c>
      <c r="E137" s="73"/>
      <c r="F137" s="73"/>
      <c r="G137" s="73"/>
      <c r="H137" s="73"/>
      <c r="I137" s="73"/>
      <c r="J137" s="73"/>
    </row>
    <row r="138" spans="1:10" ht="15">
      <c r="A138" s="98"/>
      <c r="B138" s="73"/>
      <c r="C138" s="34" t="s">
        <v>450</v>
      </c>
      <c r="D138" s="73">
        <v>3</v>
      </c>
      <c r="E138" s="73"/>
      <c r="F138" s="73"/>
      <c r="G138" s="73"/>
      <c r="H138" s="73"/>
      <c r="I138" s="73"/>
      <c r="J138" s="73"/>
    </row>
    <row r="139" spans="1:10" ht="15">
      <c r="A139" s="98"/>
      <c r="B139" s="73"/>
      <c r="C139" s="34" t="s">
        <v>451</v>
      </c>
      <c r="D139" s="73">
        <v>2</v>
      </c>
      <c r="E139" s="73"/>
      <c r="F139" s="73"/>
      <c r="G139" s="73"/>
      <c r="H139" s="73"/>
      <c r="I139" s="73"/>
      <c r="J139" s="73"/>
    </row>
    <row r="140" spans="1:10" ht="15">
      <c r="A140" s="98"/>
      <c r="B140" s="73"/>
      <c r="C140" s="34" t="s">
        <v>452</v>
      </c>
      <c r="D140" s="73">
        <v>1</v>
      </c>
      <c r="E140" s="73"/>
      <c r="F140" s="73"/>
      <c r="G140" s="73"/>
      <c r="H140" s="73"/>
      <c r="I140" s="73"/>
      <c r="J140" s="73"/>
    </row>
    <row r="141" spans="1:10" ht="15">
      <c r="A141" s="98"/>
      <c r="B141" s="73"/>
      <c r="C141" s="34" t="s">
        <v>125</v>
      </c>
      <c r="D141" s="73">
        <v>0</v>
      </c>
      <c r="E141" s="73"/>
      <c r="F141" s="73"/>
      <c r="G141" s="73"/>
      <c r="H141" s="73"/>
      <c r="I141" s="73"/>
      <c r="J141" s="73"/>
    </row>
    <row r="142" spans="1:10" ht="30">
      <c r="A142" s="63" t="s">
        <v>453</v>
      </c>
      <c r="B142" s="123" t="s">
        <v>454</v>
      </c>
      <c r="C142" s="73"/>
      <c r="D142" s="73"/>
      <c r="E142" s="73">
        <v>3</v>
      </c>
      <c r="F142" s="73"/>
      <c r="G142" s="73" t="e" cm="1">
        <f t="array" aca="1" ref="G142" ca="1">INDIRECT("'" &amp; SKJEMA_LEV &amp; "'!LEV_" &amp; A142)</f>
        <v>#REF!</v>
      </c>
      <c r="H142" s="73" t="e">
        <f ca="1">VLOOKUP(G142,C143:D146,2,0)</f>
        <v>#REF!</v>
      </c>
      <c r="I142" s="73" t="e">
        <f ca="1">H142</f>
        <v>#REF!</v>
      </c>
      <c r="J142" s="73" t="e">
        <f ca="1">I142/E142</f>
        <v>#REF!</v>
      </c>
    </row>
    <row r="143" spans="1:10" ht="15">
      <c r="A143" s="98"/>
      <c r="B143" s="73"/>
      <c r="C143" s="34" t="s">
        <v>65</v>
      </c>
      <c r="D143" s="73">
        <v>3</v>
      </c>
      <c r="E143" s="73"/>
      <c r="F143" s="73"/>
      <c r="G143" s="73"/>
      <c r="H143" s="73"/>
      <c r="I143" s="73"/>
      <c r="J143" s="73"/>
    </row>
    <row r="144" spans="1:10" ht="15">
      <c r="A144" s="98"/>
      <c r="B144" s="73"/>
      <c r="C144" s="34" t="s">
        <v>141</v>
      </c>
      <c r="D144" s="73">
        <v>2</v>
      </c>
      <c r="E144" s="73"/>
      <c r="F144" s="73"/>
      <c r="G144" s="73"/>
      <c r="H144" s="73"/>
      <c r="I144" s="73"/>
      <c r="J144" s="73"/>
    </row>
    <row r="145" spans="1:10" ht="15">
      <c r="A145" s="98"/>
      <c r="B145" s="73"/>
      <c r="C145" s="34" t="s">
        <v>48</v>
      </c>
      <c r="D145" s="73">
        <v>0</v>
      </c>
      <c r="E145" s="73"/>
      <c r="F145" s="73"/>
      <c r="G145" s="73"/>
      <c r="H145" s="73"/>
      <c r="I145" s="73"/>
      <c r="J145" s="73"/>
    </row>
    <row r="146" spans="1:10" ht="15">
      <c r="A146" s="98"/>
      <c r="B146" s="73"/>
      <c r="C146" s="34" t="s">
        <v>455</v>
      </c>
      <c r="D146" s="73">
        <v>1</v>
      </c>
      <c r="E146" s="73"/>
      <c r="F146" s="73"/>
      <c r="G146" s="73"/>
      <c r="H146" s="73"/>
      <c r="I146" s="73"/>
      <c r="J146" s="73"/>
    </row>
    <row r="147" spans="1:10" ht="45">
      <c r="A147" s="63" t="s">
        <v>456</v>
      </c>
      <c r="B147" s="127" t="s">
        <v>457</v>
      </c>
      <c r="C147" s="73"/>
      <c r="D147" s="73"/>
      <c r="E147" s="73">
        <v>3</v>
      </c>
      <c r="F147" s="73"/>
      <c r="G147" s="73" t="e" cm="1">
        <f t="array" aca="1" ref="G147" ca="1">INDIRECT("'" &amp; SKJEMA_LEV &amp; "'!LEV_" &amp; A147)</f>
        <v>#REF!</v>
      </c>
      <c r="H147" s="73" t="e">
        <f ca="1">VLOOKUP(G147,C148:D151,2,0)</f>
        <v>#REF!</v>
      </c>
      <c r="I147" s="73" t="e">
        <f ca="1">H147</f>
        <v>#REF!</v>
      </c>
      <c r="J147" s="73" t="e">
        <f ca="1">I147/E147</f>
        <v>#REF!</v>
      </c>
    </row>
    <row r="148" spans="1:10" ht="15">
      <c r="A148" s="98"/>
      <c r="B148" s="73"/>
      <c r="C148" s="34" t="s">
        <v>458</v>
      </c>
      <c r="D148" s="73">
        <v>3</v>
      </c>
      <c r="E148" s="73"/>
      <c r="F148" s="73"/>
      <c r="G148" s="73"/>
      <c r="H148" s="73"/>
      <c r="I148" s="73"/>
      <c r="J148" s="73"/>
    </row>
    <row r="149" spans="1:10" ht="15">
      <c r="A149" s="98"/>
      <c r="B149" s="73"/>
      <c r="C149" s="34" t="s">
        <v>459</v>
      </c>
      <c r="D149" s="73">
        <v>2</v>
      </c>
      <c r="E149" s="73"/>
      <c r="F149" s="73"/>
      <c r="G149" s="73"/>
      <c r="H149" s="73"/>
      <c r="I149" s="73"/>
      <c r="J149" s="73"/>
    </row>
    <row r="150" spans="1:10" ht="15">
      <c r="A150" s="98"/>
      <c r="B150" s="73"/>
      <c r="C150" s="34" t="s">
        <v>460</v>
      </c>
      <c r="D150" s="73">
        <v>1</v>
      </c>
      <c r="E150" s="73"/>
      <c r="F150" s="73"/>
      <c r="G150" s="73"/>
      <c r="H150" s="73"/>
      <c r="I150" s="73"/>
      <c r="J150" s="73"/>
    </row>
    <row r="151" spans="1:10" ht="15">
      <c r="A151" s="98"/>
      <c r="B151" s="73"/>
      <c r="C151" s="34" t="s">
        <v>136</v>
      </c>
      <c r="D151" s="73">
        <v>0</v>
      </c>
      <c r="E151" s="73"/>
      <c r="F151" s="73"/>
      <c r="G151" s="73"/>
      <c r="H151" s="73"/>
      <c r="I151" s="73"/>
      <c r="J151" s="73"/>
    </row>
    <row r="152" spans="1:10" ht="45">
      <c r="A152" s="63" t="s">
        <v>461</v>
      </c>
      <c r="B152" s="127" t="s">
        <v>462</v>
      </c>
      <c r="C152" s="73"/>
      <c r="D152" s="73"/>
      <c r="E152" s="73">
        <v>2</v>
      </c>
      <c r="F152" s="73"/>
      <c r="G152" s="73" t="e" cm="1">
        <f t="array" aca="1" ref="G152" ca="1">INDIRECT("'" &amp; SKJEMA_LEV &amp; "'!LEV_" &amp; A152)</f>
        <v>#REF!</v>
      </c>
      <c r="H152" s="73" t="e">
        <f ca="1">VLOOKUP(G152,C153:D155,2,0)</f>
        <v>#REF!</v>
      </c>
      <c r="I152" s="73" t="e">
        <f ca="1">H152</f>
        <v>#REF!</v>
      </c>
      <c r="J152" s="73" t="e">
        <f ca="1">I152/E152</f>
        <v>#REF!</v>
      </c>
    </row>
    <row r="153" spans="1:10" ht="15">
      <c r="A153" s="98"/>
      <c r="B153" s="73"/>
      <c r="C153" s="34" t="s">
        <v>463</v>
      </c>
      <c r="D153" s="73">
        <v>2</v>
      </c>
      <c r="E153" s="73"/>
      <c r="F153" s="73"/>
      <c r="G153" s="73"/>
      <c r="H153" s="73"/>
      <c r="I153" s="73"/>
      <c r="J153" s="73"/>
    </row>
    <row r="154" spans="1:10" ht="15">
      <c r="A154" s="98"/>
      <c r="B154" s="73"/>
      <c r="C154" s="34" t="s">
        <v>464</v>
      </c>
      <c r="D154" s="73">
        <v>1</v>
      </c>
      <c r="E154" s="73"/>
      <c r="F154" s="73"/>
      <c r="G154" s="73"/>
      <c r="H154" s="73"/>
      <c r="I154" s="73"/>
      <c r="J154" s="73"/>
    </row>
    <row r="155" spans="1:10" ht="15">
      <c r="A155" s="98"/>
      <c r="B155" s="73"/>
      <c r="C155" s="34" t="s">
        <v>48</v>
      </c>
      <c r="D155" s="73">
        <v>0</v>
      </c>
      <c r="E155" s="73"/>
      <c r="F155" s="73"/>
      <c r="G155" s="73"/>
      <c r="H155" s="73"/>
      <c r="I155" s="73"/>
      <c r="J155" s="73"/>
    </row>
  </sheetData>
  <conditionalFormatting sqref="A45:B45 A50:B50 A60:B60 A70:B70 A76:B76">
    <cfRule type="expression" dxfId="26" priority="2">
      <formula>KMOD_RES_MK12=1</formula>
    </cfRule>
  </conditionalFormatting>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ignoredErrors>
    <ignoredError sqref="A81 A113 A101 A86 A4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P574"/>
  <sheetViews>
    <sheetView zoomScaleNormal="100" workbookViewId="0">
      <pane ySplit="1" topLeftCell="A114" activePane="bottomLeft" state="frozen"/>
      <selection activeCell="I102" sqref="I102"/>
      <selection pane="bottomLeft" activeCell="I102" sqref="I102"/>
    </sheetView>
  </sheetViews>
  <sheetFormatPr baseColWidth="10" defaultColWidth="11.5703125" defaultRowHeight="15"/>
  <cols>
    <col min="2" max="2" width="51.5703125" style="73" customWidth="1"/>
    <col min="3" max="3" width="29.7109375" customWidth="1"/>
    <col min="4" max="4" width="11" customWidth="1"/>
    <col min="5" max="5" width="8.28515625" customWidth="1"/>
    <col min="6" max="6" width="8" customWidth="1"/>
    <col min="7" max="7" width="37.42578125" customWidth="1"/>
    <col min="8" max="8" width="15.28515625" customWidth="1"/>
    <col min="9" max="9" width="13.28515625" customWidth="1"/>
    <col min="10" max="10" width="7.42578125" customWidth="1"/>
    <col min="11" max="11" width="5.28515625" customWidth="1"/>
    <col min="12" max="12" width="24.28515625" customWidth="1"/>
    <col min="15" max="15" width="22.42578125" customWidth="1"/>
  </cols>
  <sheetData>
    <row r="1" spans="1:16">
      <c r="A1" s="42" t="s">
        <v>25</v>
      </c>
      <c r="B1" s="69" t="s">
        <v>26</v>
      </c>
      <c r="C1" s="44" t="s">
        <v>27</v>
      </c>
      <c r="D1" s="44" t="s">
        <v>28</v>
      </c>
      <c r="E1" s="43" t="s">
        <v>29</v>
      </c>
      <c r="F1" s="44" t="s">
        <v>30</v>
      </c>
      <c r="G1" s="43" t="s">
        <v>31</v>
      </c>
      <c r="H1" s="43" t="s">
        <v>32</v>
      </c>
      <c r="I1" s="43" t="s">
        <v>33</v>
      </c>
      <c r="J1" s="1" t="s">
        <v>34</v>
      </c>
      <c r="K1" s="1"/>
    </row>
    <row r="2" spans="1:16">
      <c r="A2" s="57" t="s">
        <v>465</v>
      </c>
      <c r="B2" s="72" t="s">
        <v>466</v>
      </c>
      <c r="C2" s="47"/>
      <c r="D2" s="47"/>
      <c r="E2" s="47"/>
      <c r="F2" s="47"/>
      <c r="G2" s="47"/>
      <c r="H2" s="47"/>
      <c r="I2" s="47"/>
    </row>
    <row r="3" spans="1:16">
      <c r="A3" s="54" t="s">
        <v>467</v>
      </c>
      <c r="B3" s="127" t="s">
        <v>468</v>
      </c>
      <c r="C3" s="45"/>
      <c r="D3" s="47"/>
      <c r="E3" s="47">
        <v>2</v>
      </c>
      <c r="F3" s="47"/>
      <c r="G3" s="47" t="e" cm="1">
        <f t="array" aca="1" ref="G3" ca="1">INDIRECT("'" &amp; SKJEMA_LEV &amp; "'!LEV_" &amp; A3)</f>
        <v>#REF!</v>
      </c>
      <c r="H3" s="73" t="e">
        <f ca="1">VLOOKUP(G3,C4:D7,2,0)</f>
        <v>#REF!</v>
      </c>
      <c r="I3" s="47" t="e">
        <f ca="1">H3</f>
        <v>#REF!</v>
      </c>
      <c r="J3" t="e">
        <f ca="1">I3/E3</f>
        <v>#REF!</v>
      </c>
    </row>
    <row r="4" spans="1:16">
      <c r="A4" s="47"/>
      <c r="B4" s="71"/>
      <c r="C4" s="34" t="s">
        <v>65</v>
      </c>
      <c r="D4" s="47">
        <v>2</v>
      </c>
      <c r="E4" s="47"/>
      <c r="F4" s="47"/>
      <c r="G4" s="47"/>
      <c r="H4" s="47"/>
      <c r="I4" s="47"/>
      <c r="L4" s="7" t="s">
        <v>39</v>
      </c>
      <c r="M4" s="7" t="s">
        <v>40</v>
      </c>
      <c r="N4" s="7" t="s">
        <v>41</v>
      </c>
      <c r="O4" s="7" t="s">
        <v>42</v>
      </c>
      <c r="P4" s="1" t="s">
        <v>469</v>
      </c>
    </row>
    <row r="5" spans="1:16">
      <c r="A5" s="45"/>
      <c r="B5" s="58"/>
      <c r="C5" s="34" t="s">
        <v>470</v>
      </c>
      <c r="D5" s="47">
        <v>1</v>
      </c>
      <c r="E5" s="47"/>
      <c r="F5" s="47"/>
      <c r="G5" s="47"/>
      <c r="H5" s="47"/>
      <c r="I5" s="47"/>
      <c r="L5" t="s">
        <v>471</v>
      </c>
      <c r="M5" t="e">
        <f ca="1">SUM(I3:I622)</f>
        <v>#REF!</v>
      </c>
      <c r="N5">
        <v>310</v>
      </c>
      <c r="O5" t="e">
        <f ca="1">SUM(J3:J622)/P5</f>
        <v>#REF!</v>
      </c>
      <c r="P5">
        <v>107</v>
      </c>
    </row>
    <row r="6" spans="1:16">
      <c r="A6" s="47"/>
      <c r="B6" s="71"/>
      <c r="C6" s="34" t="s">
        <v>48</v>
      </c>
      <c r="D6" s="47">
        <v>0</v>
      </c>
      <c r="E6" s="47"/>
      <c r="F6" s="47"/>
      <c r="G6" s="47"/>
      <c r="H6" s="47"/>
      <c r="I6" s="47"/>
      <c r="L6" t="s">
        <v>472</v>
      </c>
      <c r="M6" t="e">
        <f ca="1">SUM(I3:I39)</f>
        <v>#REF!</v>
      </c>
      <c r="N6">
        <v>21</v>
      </c>
      <c r="O6" t="e">
        <f ca="1">SUM(J3:J39)/P6</f>
        <v>#REF!</v>
      </c>
      <c r="P6">
        <v>8</v>
      </c>
    </row>
    <row r="7" spans="1:16">
      <c r="A7" s="47"/>
      <c r="B7" s="71"/>
      <c r="C7" s="34" t="s">
        <v>400</v>
      </c>
      <c r="D7" s="47">
        <v>0</v>
      </c>
      <c r="E7" s="47"/>
      <c r="F7" s="47"/>
      <c r="G7" s="47"/>
      <c r="H7" s="47"/>
      <c r="I7" s="47"/>
      <c r="L7" t="s">
        <v>473</v>
      </c>
      <c r="M7" t="e">
        <f ca="1">SUM(I49:I69)</f>
        <v>#REF!</v>
      </c>
      <c r="N7">
        <v>13</v>
      </c>
      <c r="O7" t="e">
        <f ca="1">SUM(J49:J69)/P7</f>
        <v>#REF!</v>
      </c>
      <c r="P7">
        <v>6</v>
      </c>
    </row>
    <row r="8" spans="1:16">
      <c r="A8" s="54" t="s">
        <v>474</v>
      </c>
      <c r="B8" s="123" t="s">
        <v>475</v>
      </c>
      <c r="C8" s="49"/>
      <c r="D8" s="47"/>
      <c r="E8" s="47">
        <v>2</v>
      </c>
      <c r="F8" s="47"/>
      <c r="G8" s="47" t="e" cm="1">
        <f t="array" aca="1" ref="G8" ca="1">INDIRECT("'" &amp; SKJEMA_LEV &amp; "'!LEV_" &amp; A8)</f>
        <v>#REF!</v>
      </c>
      <c r="H8" s="73" t="e">
        <f ca="1">VLOOKUP(G8,C9:D12,2,0)</f>
        <v>#REF!</v>
      </c>
      <c r="I8" s="47" t="e">
        <f ca="1">H8</f>
        <v>#REF!</v>
      </c>
      <c r="J8" t="e">
        <f ca="1">I8/E8</f>
        <v>#REF!</v>
      </c>
      <c r="L8" t="s">
        <v>476</v>
      </c>
      <c r="M8" t="e">
        <f ca="1">SUM(I75:I99)</f>
        <v>#REF!</v>
      </c>
      <c r="N8">
        <v>18</v>
      </c>
      <c r="O8" t="e">
        <f ca="1">SUM(J75:J99)/P8</f>
        <v>#REF!</v>
      </c>
      <c r="P8">
        <v>6</v>
      </c>
    </row>
    <row r="9" spans="1:16">
      <c r="A9" s="47"/>
      <c r="B9" s="71"/>
      <c r="C9" s="34" t="s">
        <v>477</v>
      </c>
      <c r="D9" s="47">
        <v>2</v>
      </c>
      <c r="E9" s="47"/>
      <c r="F9" s="47"/>
      <c r="G9" s="47"/>
      <c r="H9" s="47"/>
      <c r="I9" s="47"/>
      <c r="L9" t="s">
        <v>478</v>
      </c>
      <c r="M9" t="e">
        <f ca="1">SUM(I106:I140)</f>
        <v>#REF!</v>
      </c>
      <c r="N9">
        <v>23</v>
      </c>
      <c r="O9" t="e">
        <f ca="1">SUM(J106:J140)/P9</f>
        <v>#REF!</v>
      </c>
      <c r="P9">
        <v>8</v>
      </c>
    </row>
    <row r="10" spans="1:16">
      <c r="A10" s="50"/>
      <c r="B10" s="123"/>
      <c r="C10" s="34" t="s">
        <v>479</v>
      </c>
      <c r="D10" s="47">
        <v>1</v>
      </c>
      <c r="E10" s="47"/>
      <c r="F10" s="47"/>
      <c r="G10" s="47"/>
      <c r="H10" s="47"/>
      <c r="I10" s="47"/>
      <c r="L10" t="s">
        <v>480</v>
      </c>
      <c r="M10" t="e">
        <f ca="1">SUM(I145:I180)</f>
        <v>#REF!</v>
      </c>
      <c r="N10">
        <v>23</v>
      </c>
      <c r="O10" t="e">
        <f ca="1">SUM(J145:J180)/P10</f>
        <v>#REF!</v>
      </c>
      <c r="P10">
        <v>8</v>
      </c>
    </row>
    <row r="11" spans="1:16">
      <c r="A11" s="54"/>
      <c r="B11" s="67"/>
      <c r="C11" s="34" t="s">
        <v>48</v>
      </c>
      <c r="D11" s="47">
        <v>0</v>
      </c>
      <c r="E11" s="47"/>
      <c r="F11" s="47"/>
      <c r="G11" s="47"/>
      <c r="H11" s="47"/>
      <c r="I11" s="47"/>
      <c r="L11" t="s">
        <v>481</v>
      </c>
      <c r="M11" t="e">
        <f ca="1">SUM(I197:I212)</f>
        <v>#REF!</v>
      </c>
      <c r="N11">
        <v>9</v>
      </c>
      <c r="O11" t="e">
        <f ca="1">SUM(J197:J212)/P11</f>
        <v>#REF!</v>
      </c>
      <c r="P11">
        <v>3</v>
      </c>
    </row>
    <row r="12" spans="1:16" ht="30">
      <c r="A12" s="54" t="s">
        <v>482</v>
      </c>
      <c r="B12" s="123" t="s">
        <v>483</v>
      </c>
      <c r="C12" s="34"/>
      <c r="D12" s="47"/>
      <c r="E12" s="47">
        <v>3</v>
      </c>
      <c r="F12" s="47"/>
      <c r="G12" s="47" t="e" cm="1">
        <f t="array" aca="1" ref="G12" ca="1">INDIRECT("'" &amp; SKJEMA_LEV &amp; "'!LEV_" &amp; A12)</f>
        <v>#REF!</v>
      </c>
      <c r="H12" s="73" t="e">
        <f ca="1">VLOOKUP(G12,C13:D16,2,0)</f>
        <v>#REF!</v>
      </c>
      <c r="I12" s="47" t="e">
        <f ca="1">H12</f>
        <v>#REF!</v>
      </c>
      <c r="J12" t="e">
        <f ca="1">I12/E12</f>
        <v>#REF!</v>
      </c>
      <c r="L12" t="s">
        <v>484</v>
      </c>
      <c r="M12" t="e">
        <f ca="1">I214</f>
        <v>#REF!</v>
      </c>
      <c r="N12">
        <v>2</v>
      </c>
      <c r="O12" t="e">
        <f ca="1">J214/P12</f>
        <v>#REF!</v>
      </c>
      <c r="P12">
        <v>1</v>
      </c>
    </row>
    <row r="13" spans="1:16">
      <c r="A13" s="47"/>
      <c r="B13" s="71"/>
      <c r="C13" s="34" t="s">
        <v>485</v>
      </c>
      <c r="D13" s="47">
        <v>3</v>
      </c>
      <c r="E13" s="47"/>
      <c r="F13" s="47"/>
      <c r="G13" s="47"/>
      <c r="H13" s="47"/>
      <c r="I13" s="47"/>
      <c r="L13" t="s">
        <v>486</v>
      </c>
      <c r="M13" t="e">
        <f ca="1">SUM(I219:I223)</f>
        <v>#REF!</v>
      </c>
      <c r="N13">
        <v>5</v>
      </c>
      <c r="O13" t="e">
        <f ca="1">SUM(J219:J223)/P13</f>
        <v>#REF!</v>
      </c>
      <c r="P13">
        <v>2</v>
      </c>
    </row>
    <row r="14" spans="1:16">
      <c r="A14" s="47"/>
      <c r="B14" s="71"/>
      <c r="C14" s="34" t="s">
        <v>487</v>
      </c>
      <c r="D14" s="47">
        <v>2</v>
      </c>
      <c r="E14" s="47"/>
      <c r="F14" s="47"/>
      <c r="G14" s="47"/>
      <c r="H14" s="47"/>
      <c r="I14" s="47"/>
      <c r="L14" t="s">
        <v>488</v>
      </c>
      <c r="M14" t="e">
        <f ca="1">I229</f>
        <v>#REF!</v>
      </c>
      <c r="N14">
        <v>3</v>
      </c>
      <c r="O14" t="e">
        <f ca="1">J229/P14</f>
        <v>#REF!</v>
      </c>
      <c r="P14">
        <v>1</v>
      </c>
    </row>
    <row r="15" spans="1:16">
      <c r="A15" s="50"/>
      <c r="B15" s="123"/>
      <c r="C15" s="34" t="s">
        <v>141</v>
      </c>
      <c r="D15" s="47">
        <v>1</v>
      </c>
      <c r="E15" s="47"/>
      <c r="F15" s="47"/>
      <c r="G15" s="47"/>
      <c r="H15" s="47"/>
      <c r="I15" s="47"/>
      <c r="L15" t="s">
        <v>489</v>
      </c>
      <c r="M15" t="e">
        <f ca="1">SUM(I235:I253)</f>
        <v>#REF!</v>
      </c>
      <c r="N15">
        <v>13</v>
      </c>
      <c r="O15" t="e">
        <f ca="1">SUM(J235:J253)/P15</f>
        <v>#REF!</v>
      </c>
      <c r="P15">
        <v>5</v>
      </c>
    </row>
    <row r="16" spans="1:16">
      <c r="A16" s="54"/>
      <c r="B16" s="67"/>
      <c r="C16" s="34" t="s">
        <v>48</v>
      </c>
      <c r="D16" s="47">
        <v>0</v>
      </c>
      <c r="E16" s="47"/>
      <c r="F16" s="47"/>
      <c r="G16" s="47"/>
      <c r="H16" s="47"/>
      <c r="I16" s="47"/>
      <c r="L16" t="s">
        <v>490</v>
      </c>
      <c r="M16" t="e">
        <f ca="1">SUM(I259:I282)</f>
        <v>#REF!</v>
      </c>
      <c r="N16">
        <v>18</v>
      </c>
      <c r="O16" t="e">
        <f ca="1">SUM(J259:J282)/P16</f>
        <v>#REF!</v>
      </c>
      <c r="P16">
        <v>5</v>
      </c>
    </row>
    <row r="17" spans="1:16" ht="30">
      <c r="A17" s="54" t="s">
        <v>491</v>
      </c>
      <c r="B17" s="123" t="s">
        <v>492</v>
      </c>
      <c r="C17" s="34"/>
      <c r="D17" s="47"/>
      <c r="E17" s="47">
        <v>2</v>
      </c>
      <c r="F17" s="47"/>
      <c r="G17" s="47" t="e" cm="1">
        <f t="array" aca="1" ref="G17" ca="1">INDIRECT("'" &amp; SKJEMA_LEV &amp; "'!LEV_" &amp; A17)</f>
        <v>#REF!</v>
      </c>
      <c r="H17" s="73" t="e">
        <f ca="1">VLOOKUP(G17,C18:D21,2,0)</f>
        <v>#REF!</v>
      </c>
      <c r="I17" s="47" t="e">
        <f ca="1">H17</f>
        <v>#REF!</v>
      </c>
      <c r="J17" t="e">
        <f ca="1">I17/E17</f>
        <v>#REF!</v>
      </c>
      <c r="L17" t="s">
        <v>493</v>
      </c>
      <c r="M17" t="e">
        <f ca="1">I288</f>
        <v>#REF!</v>
      </c>
      <c r="N17">
        <v>3</v>
      </c>
      <c r="O17" t="e">
        <f ca="1">J288/P17</f>
        <v>#REF!</v>
      </c>
      <c r="P17">
        <v>1</v>
      </c>
    </row>
    <row r="18" spans="1:16">
      <c r="A18" s="50"/>
      <c r="B18" s="123"/>
      <c r="C18" s="34" t="s">
        <v>494</v>
      </c>
      <c r="D18" s="47">
        <v>2</v>
      </c>
      <c r="E18" s="47"/>
      <c r="F18" s="47"/>
      <c r="G18" s="47"/>
      <c r="H18" s="47"/>
      <c r="I18" s="47"/>
      <c r="L18" t="s">
        <v>495</v>
      </c>
      <c r="M18" t="e">
        <f ca="1">SUM(I294:I304)</f>
        <v>#REF!</v>
      </c>
      <c r="N18">
        <v>8</v>
      </c>
      <c r="O18" t="e">
        <f ca="1">SUM(J294:J304)/P18</f>
        <v>#REF!</v>
      </c>
      <c r="P18">
        <v>3</v>
      </c>
    </row>
    <row r="19" spans="1:16">
      <c r="A19" s="47"/>
      <c r="B19" s="71"/>
      <c r="C19" s="34" t="s">
        <v>141</v>
      </c>
      <c r="D19" s="47">
        <v>1</v>
      </c>
      <c r="E19" s="47"/>
      <c r="F19" s="47"/>
      <c r="G19" s="47"/>
      <c r="H19" s="47"/>
      <c r="I19" s="47"/>
      <c r="L19" t="s">
        <v>496</v>
      </c>
      <c r="M19" t="e">
        <f ca="1">SUM(I310:I332)</f>
        <v>#REF!</v>
      </c>
      <c r="N19">
        <v>17</v>
      </c>
      <c r="O19" t="e">
        <f ca="1">SUM(J310:J332)/P19</f>
        <v>#REF!</v>
      </c>
      <c r="P19">
        <v>5</v>
      </c>
    </row>
    <row r="20" spans="1:16">
      <c r="A20" s="47"/>
      <c r="B20" s="71"/>
      <c r="C20" s="34" t="s">
        <v>48</v>
      </c>
      <c r="D20" s="47">
        <v>0</v>
      </c>
      <c r="E20" s="47"/>
      <c r="F20" s="47"/>
      <c r="G20" s="47"/>
      <c r="H20" s="47"/>
      <c r="I20" s="47"/>
      <c r="L20" t="s">
        <v>497</v>
      </c>
      <c r="M20" t="e">
        <f ca="1">I338</f>
        <v>#REF!</v>
      </c>
      <c r="N20">
        <v>4</v>
      </c>
      <c r="O20" t="e">
        <f ca="1">J338/P20</f>
        <v>#REF!</v>
      </c>
      <c r="P20">
        <v>1</v>
      </c>
    </row>
    <row r="21" spans="1:16" ht="30">
      <c r="A21" s="54" t="s">
        <v>498</v>
      </c>
      <c r="B21" s="127" t="s">
        <v>499</v>
      </c>
      <c r="C21" s="34"/>
      <c r="D21" s="47"/>
      <c r="E21" s="47">
        <v>3</v>
      </c>
      <c r="F21" s="47"/>
      <c r="G21" s="47" t="e" cm="1">
        <f t="array" aca="1" ref="G21" ca="1">INDIRECT("'" &amp; SKJEMA_LEV &amp; "'!LEV_" &amp; A21)</f>
        <v>#REF!</v>
      </c>
      <c r="H21" s="73" t="e">
        <f ca="1">VLOOKUP(G21,C22:D25,2,0)</f>
        <v>#REF!</v>
      </c>
      <c r="I21" s="47" t="e">
        <f ca="1">H21</f>
        <v>#REF!</v>
      </c>
      <c r="J21" t="e">
        <f ca="1">I21/E21</f>
        <v>#REF!</v>
      </c>
      <c r="L21" t="s">
        <v>500</v>
      </c>
      <c r="M21" t="e">
        <f ca="1">I345</f>
        <v>#REF!</v>
      </c>
      <c r="N21">
        <v>2</v>
      </c>
      <c r="O21" t="e">
        <f ca="1">J345/P21</f>
        <v>#REF!</v>
      </c>
      <c r="P21">
        <v>1</v>
      </c>
    </row>
    <row r="22" spans="1:16">
      <c r="A22" s="47"/>
      <c r="B22" s="71"/>
      <c r="C22" s="34" t="s">
        <v>501</v>
      </c>
      <c r="D22" s="47">
        <v>3</v>
      </c>
      <c r="E22" s="47"/>
      <c r="F22" s="47"/>
      <c r="G22" s="47"/>
      <c r="H22" s="47"/>
      <c r="I22" s="47"/>
      <c r="L22" t="s">
        <v>502</v>
      </c>
      <c r="M22" t="e">
        <f ca="1">SUM(I352:I357)</f>
        <v>#REF!</v>
      </c>
      <c r="N22">
        <v>6</v>
      </c>
      <c r="O22" t="e">
        <f ca="1">SUM(J352:J357)/P22</f>
        <v>#REF!</v>
      </c>
      <c r="P22">
        <v>2</v>
      </c>
    </row>
    <row r="23" spans="1:16">
      <c r="A23" s="47"/>
      <c r="B23" s="71"/>
      <c r="C23" s="34" t="s">
        <v>503</v>
      </c>
      <c r="D23" s="47">
        <v>2</v>
      </c>
      <c r="E23" s="47"/>
      <c r="F23" s="47"/>
      <c r="G23" s="47"/>
      <c r="H23" s="47"/>
      <c r="I23" s="47"/>
      <c r="L23" t="s">
        <v>504</v>
      </c>
      <c r="M23" t="e">
        <f ca="1">SUM(I363:I373)</f>
        <v>#REF!</v>
      </c>
      <c r="N23">
        <v>9</v>
      </c>
      <c r="O23" t="e">
        <f ca="1">SUM(J363:J373)/P23</f>
        <v>#REF!</v>
      </c>
      <c r="P23">
        <v>3</v>
      </c>
    </row>
    <row r="24" spans="1:16">
      <c r="A24" s="50"/>
      <c r="B24" s="123"/>
      <c r="C24" s="34" t="s">
        <v>505</v>
      </c>
      <c r="D24" s="47">
        <v>1</v>
      </c>
      <c r="E24" s="47"/>
      <c r="F24" s="47"/>
      <c r="G24" s="47"/>
      <c r="H24" s="47"/>
      <c r="I24" s="47"/>
      <c r="L24" t="s">
        <v>506</v>
      </c>
      <c r="M24" t="e">
        <f ca="1">SUM(I379:I384)</f>
        <v>#REF!</v>
      </c>
      <c r="N24">
        <v>7</v>
      </c>
      <c r="O24" t="e">
        <f ca="1">SUM(J379:J384)/P24</f>
        <v>#REF!</v>
      </c>
      <c r="P24">
        <v>2</v>
      </c>
    </row>
    <row r="25" spans="1:16">
      <c r="A25" s="47"/>
      <c r="B25" s="71"/>
      <c r="C25" s="34" t="s">
        <v>507</v>
      </c>
      <c r="D25" s="47">
        <v>0</v>
      </c>
      <c r="E25" s="47"/>
      <c r="F25" s="47"/>
      <c r="G25" s="47"/>
      <c r="H25" s="47"/>
      <c r="I25" s="47"/>
      <c r="L25" t="s">
        <v>508</v>
      </c>
      <c r="M25" t="e">
        <f ca="1">SUM(I391:I397)</f>
        <v>#REF!</v>
      </c>
      <c r="N25">
        <v>3</v>
      </c>
      <c r="O25" t="e">
        <f ca="1">SUM(J391:J397)/P25</f>
        <v>#REF!</v>
      </c>
      <c r="P25">
        <v>2</v>
      </c>
    </row>
    <row r="26" spans="1:16" ht="30">
      <c r="A26" s="54" t="s">
        <v>509</v>
      </c>
      <c r="B26" s="123" t="s">
        <v>510</v>
      </c>
      <c r="C26" s="49"/>
      <c r="D26" s="47"/>
      <c r="E26" s="47">
        <v>2</v>
      </c>
      <c r="F26" s="47"/>
      <c r="G26" s="47" t="e" cm="1">
        <f t="array" aca="1" ref="G26" ca="1">INDIRECT("'" &amp; SKJEMA_LEV &amp; "'!LEV_" &amp; A26)</f>
        <v>#REF!</v>
      </c>
      <c r="H26" s="73" t="e">
        <f ca="1">VLOOKUP(G26,C27:D29,2,0)</f>
        <v>#REF!</v>
      </c>
      <c r="I26" s="47" t="e">
        <f ca="1">H26</f>
        <v>#REF!</v>
      </c>
      <c r="J26" t="e">
        <f ca="1">I26/E26</f>
        <v>#REF!</v>
      </c>
      <c r="L26" t="s">
        <v>511</v>
      </c>
      <c r="M26" t="e">
        <f ca="1">SUM(I399:I424)</f>
        <v>#REF!</v>
      </c>
      <c r="N26">
        <v>18</v>
      </c>
      <c r="O26" t="e">
        <f ca="1">SUM(J399:J424)/P26</f>
        <v>#REF!</v>
      </c>
      <c r="P26">
        <v>6</v>
      </c>
    </row>
    <row r="27" spans="1:16">
      <c r="A27" s="47"/>
      <c r="B27" s="71"/>
      <c r="C27" s="34" t="s">
        <v>65</v>
      </c>
      <c r="D27" s="47">
        <v>2</v>
      </c>
      <c r="E27" s="47"/>
      <c r="F27" s="47"/>
      <c r="G27" s="47"/>
      <c r="H27" s="47"/>
      <c r="I27" s="47"/>
      <c r="L27" t="s">
        <v>512</v>
      </c>
      <c r="M27" t="e">
        <f ca="1">SUM(I430:I457)</f>
        <v>#REF!</v>
      </c>
      <c r="N27">
        <v>18</v>
      </c>
      <c r="O27" t="e">
        <f ca="1">SUM(J430:J457)/P27</f>
        <v>#REF!</v>
      </c>
      <c r="P27">
        <v>7</v>
      </c>
    </row>
    <row r="28" spans="1:16">
      <c r="A28" s="50"/>
      <c r="B28" s="123"/>
      <c r="C28" s="34" t="s">
        <v>141</v>
      </c>
      <c r="D28" s="47">
        <v>1</v>
      </c>
      <c r="E28" s="47"/>
      <c r="F28" s="47"/>
      <c r="G28" s="47"/>
      <c r="H28" s="47"/>
      <c r="I28" s="47"/>
      <c r="L28" t="s">
        <v>513</v>
      </c>
      <c r="M28" t="e">
        <f ca="1">SUM(I463:I473)</f>
        <v>#REF!</v>
      </c>
      <c r="N28">
        <v>7</v>
      </c>
      <c r="O28" t="e">
        <f ca="1">SUM(J463:J473)/P28</f>
        <v>#REF!</v>
      </c>
      <c r="P28">
        <v>3</v>
      </c>
    </row>
    <row r="29" spans="1:16">
      <c r="A29" s="47"/>
      <c r="B29" s="71"/>
      <c r="C29" s="34" t="s">
        <v>48</v>
      </c>
      <c r="D29" s="47">
        <v>0</v>
      </c>
      <c r="E29" s="47"/>
      <c r="F29" s="47"/>
      <c r="G29" s="47"/>
      <c r="H29" s="47"/>
      <c r="I29" s="47"/>
      <c r="L29" t="s">
        <v>514</v>
      </c>
      <c r="M29" t="e">
        <f ca="1">SUM(I478:I492)</f>
        <v>#REF!</v>
      </c>
      <c r="N29">
        <v>8</v>
      </c>
      <c r="O29" t="e">
        <f ca="1">SUM(J478:J492)/P29</f>
        <v>#REF!</v>
      </c>
      <c r="P29">
        <v>4</v>
      </c>
    </row>
    <row r="30" spans="1:16" ht="30">
      <c r="A30" s="54" t="s">
        <v>515</v>
      </c>
      <c r="B30" s="127" t="s">
        <v>516</v>
      </c>
      <c r="C30" s="34"/>
      <c r="D30" s="47"/>
      <c r="E30" s="47">
        <v>2</v>
      </c>
      <c r="F30" s="47"/>
      <c r="G30" s="47" t="e" cm="1">
        <f t="array" aca="1" ref="G30" ca="1">INDIRECT("'" &amp; SKJEMA_LEV &amp; "'!LEV_" &amp; A30)</f>
        <v>#REF!</v>
      </c>
      <c r="H30" s="73" t="e">
        <f ca="1">VLOOKUP(G30,C31:D34,2,0)</f>
        <v>#REF!</v>
      </c>
      <c r="I30" s="47" t="e">
        <f ca="1">H30</f>
        <v>#REF!</v>
      </c>
      <c r="J30" t="e">
        <f ca="1">I30/E30</f>
        <v>#REF!</v>
      </c>
      <c r="L30" t="s">
        <v>517</v>
      </c>
      <c r="M30" t="e">
        <f ca="1">SUM(I495:I520)</f>
        <v>#REF!</v>
      </c>
      <c r="N30">
        <v>23</v>
      </c>
      <c r="O30" t="e">
        <f ca="1">SUM(J495:J520)/P30</f>
        <v>#REF!</v>
      </c>
      <c r="P30">
        <v>5</v>
      </c>
    </row>
    <row r="31" spans="1:16">
      <c r="A31" s="47"/>
      <c r="B31" s="71"/>
      <c r="C31" s="34" t="s">
        <v>518</v>
      </c>
      <c r="D31" s="47">
        <v>2</v>
      </c>
      <c r="E31" s="47"/>
      <c r="F31" s="47"/>
      <c r="G31" s="47"/>
      <c r="H31" s="47"/>
      <c r="I31" s="47"/>
      <c r="L31" t="s">
        <v>519</v>
      </c>
      <c r="M31" t="e">
        <f ca="1">SUM(I527:I544)</f>
        <v>#REF!</v>
      </c>
      <c r="N31">
        <v>11</v>
      </c>
      <c r="O31" t="e">
        <f ca="1">SUM(J527:J544)/P31</f>
        <v>#REF!</v>
      </c>
      <c r="P31">
        <v>5</v>
      </c>
    </row>
    <row r="32" spans="1:16">
      <c r="A32" s="54"/>
      <c r="B32" s="67"/>
      <c r="C32" s="34" t="s">
        <v>520</v>
      </c>
      <c r="D32" s="47">
        <v>1</v>
      </c>
      <c r="E32" s="47"/>
      <c r="F32" s="47"/>
      <c r="G32" s="47"/>
      <c r="H32" s="47"/>
      <c r="I32" s="47"/>
      <c r="L32" t="s">
        <v>521</v>
      </c>
      <c r="M32">
        <f ca="1">I550</f>
        <v>0</v>
      </c>
      <c r="N32">
        <v>3</v>
      </c>
      <c r="O32">
        <f ca="1">J550/P32</f>
        <v>0</v>
      </c>
      <c r="P32">
        <v>1</v>
      </c>
    </row>
    <row r="33" spans="1:16">
      <c r="A33" s="47"/>
      <c r="B33" s="71"/>
      <c r="C33" s="34" t="s">
        <v>48</v>
      </c>
      <c r="D33" s="47">
        <v>0</v>
      </c>
      <c r="E33" s="47"/>
      <c r="F33" s="47"/>
      <c r="G33" s="47"/>
      <c r="H33" s="47"/>
      <c r="I33" s="47"/>
      <c r="L33" t="s">
        <v>522</v>
      </c>
      <c r="M33" t="e">
        <f ca="1">SUM(I555:I622)</f>
        <v>#REF!</v>
      </c>
      <c r="N33">
        <v>16</v>
      </c>
      <c r="O33" t="e">
        <f ca="1">SUM(J555:J622)/P33</f>
        <v>#REF!</v>
      </c>
      <c r="P33">
        <v>3</v>
      </c>
    </row>
    <row r="34" spans="1:16" ht="30">
      <c r="A34" s="54" t="s">
        <v>523</v>
      </c>
      <c r="B34" s="123" t="s">
        <v>524</v>
      </c>
      <c r="C34" s="34"/>
      <c r="D34" s="47"/>
      <c r="E34" s="47">
        <v>4</v>
      </c>
      <c r="F34" s="47"/>
      <c r="G34" s="47" t="e" cm="1">
        <f t="array" aca="1" ref="G34" ca="1">INDIRECT("'" &amp; SKJEMA_LEV &amp; "'!LEV_" &amp; A34)</f>
        <v>#REF!</v>
      </c>
      <c r="H34" s="73" t="e">
        <f ca="1">VLOOKUP(G34,C35:D39,2,0)</f>
        <v>#REF!</v>
      </c>
      <c r="I34" s="47" t="e">
        <f ca="1">H34</f>
        <v>#REF!</v>
      </c>
      <c r="J34" t="e">
        <f ca="1">I34/E34</f>
        <v>#REF!</v>
      </c>
    </row>
    <row r="35" spans="1:16">
      <c r="A35" s="47"/>
      <c r="B35" s="71"/>
      <c r="C35" s="34" t="s">
        <v>525</v>
      </c>
      <c r="D35" s="47">
        <v>4</v>
      </c>
      <c r="E35" s="47"/>
      <c r="F35" s="47"/>
      <c r="G35" s="47"/>
      <c r="H35" s="47"/>
      <c r="I35" s="47"/>
    </row>
    <row r="36" spans="1:16">
      <c r="A36" s="47"/>
      <c r="B36" s="71"/>
      <c r="C36" s="34" t="s">
        <v>526</v>
      </c>
      <c r="D36" s="47">
        <v>3</v>
      </c>
      <c r="E36" s="47"/>
      <c r="F36" s="47"/>
      <c r="G36" s="47"/>
      <c r="H36" s="47"/>
      <c r="I36" s="47"/>
      <c r="L36" s="7" t="s">
        <v>54</v>
      </c>
      <c r="M36" s="7" t="s">
        <v>40</v>
      </c>
      <c r="N36" s="7" t="s">
        <v>41</v>
      </c>
      <c r="O36" s="7" t="s">
        <v>42</v>
      </c>
    </row>
    <row r="37" spans="1:16">
      <c r="A37" s="47"/>
      <c r="B37" s="71"/>
      <c r="C37" s="34" t="s">
        <v>527</v>
      </c>
      <c r="D37" s="47">
        <v>2</v>
      </c>
      <c r="E37" s="47"/>
      <c r="F37" s="47"/>
      <c r="G37" s="47"/>
      <c r="H37" s="47"/>
      <c r="I37" s="47"/>
      <c r="M37" t="e">
        <f ca="1">SUM(I3:I23)</f>
        <v>#REF!</v>
      </c>
      <c r="O37" s="8" t="e">
        <f ca="1">M37/N37</f>
        <v>#REF!</v>
      </c>
    </row>
    <row r="38" spans="1:16">
      <c r="A38" s="54"/>
      <c r="B38" s="67"/>
      <c r="C38" s="34" t="s">
        <v>212</v>
      </c>
      <c r="D38" s="47">
        <v>1</v>
      </c>
      <c r="E38" s="47"/>
      <c r="F38" s="47"/>
      <c r="G38" s="47"/>
      <c r="H38" s="47"/>
      <c r="I38" s="47"/>
      <c r="M38" t="e">
        <f ca="1">SUM(I30:I63)</f>
        <v>#REF!</v>
      </c>
      <c r="O38" s="8" t="e">
        <f ca="1">M38/N38</f>
        <v>#REF!</v>
      </c>
    </row>
    <row r="39" spans="1:16" ht="16.5" customHeight="1">
      <c r="A39" s="47"/>
      <c r="B39" s="71"/>
      <c r="C39" s="34" t="s">
        <v>136</v>
      </c>
      <c r="D39" s="47">
        <v>0</v>
      </c>
      <c r="E39" s="47"/>
      <c r="F39" s="47"/>
      <c r="G39" s="47"/>
      <c r="H39" s="47"/>
      <c r="I39" s="47"/>
      <c r="M39" t="e">
        <f ca="1">SUM(I68:I89)</f>
        <v>#REF!</v>
      </c>
      <c r="O39" s="8" t="e">
        <f ca="1">M39/N39</f>
        <v>#REF!</v>
      </c>
    </row>
    <row r="40" spans="1:16" ht="16.5" customHeight="1">
      <c r="A40" s="47"/>
      <c r="B40" s="71"/>
      <c r="C40" s="34"/>
      <c r="D40" s="47"/>
      <c r="E40" s="47">
        <v>4</v>
      </c>
      <c r="F40" s="47"/>
      <c r="G40" s="47"/>
      <c r="H40" s="47">
        <f ca="1">COUNTIF(G41:G45,TRUE)</f>
        <v>0</v>
      </c>
      <c r="I40" s="47">
        <f ca="1">H40</f>
        <v>0</v>
      </c>
      <c r="J40">
        <f ca="1">I40/E40</f>
        <v>0</v>
      </c>
      <c r="O40" s="8"/>
    </row>
    <row r="41" spans="1:16" ht="16.5" customHeight="1">
      <c r="A41" s="47" t="s">
        <v>528</v>
      </c>
      <c r="B41" s="71" t="s">
        <v>529</v>
      </c>
      <c r="C41" s="34" t="s">
        <v>530</v>
      </c>
      <c r="D41" s="47">
        <v>1</v>
      </c>
      <c r="E41" s="47"/>
      <c r="F41" s="47"/>
      <c r="G41" s="47" t="e" cm="1">
        <f t="array" aca="1" ref="G41" ca="1">INDIRECT("'" &amp; SKJEMA_LEV &amp; "'!LEV_5.1.9_A")</f>
        <v>#REF!</v>
      </c>
      <c r="H41" s="47"/>
      <c r="I41" s="47"/>
      <c r="O41" s="8"/>
    </row>
    <row r="42" spans="1:16" ht="16.5" customHeight="1">
      <c r="A42" s="47"/>
      <c r="B42" s="71"/>
      <c r="C42" s="34" t="s">
        <v>531</v>
      </c>
      <c r="D42" s="47">
        <v>1</v>
      </c>
      <c r="E42" s="47"/>
      <c r="F42" s="47"/>
      <c r="G42" s="47" t="e" cm="1">
        <f t="array" aca="1" ref="G42" ca="1">INDIRECT("'" &amp; SKJEMA_LEV &amp; "'!LEV_5.1.9_B")</f>
        <v>#REF!</v>
      </c>
      <c r="H42" s="47"/>
      <c r="I42" s="47"/>
      <c r="O42" s="8"/>
    </row>
    <row r="43" spans="1:16" ht="16.5" customHeight="1">
      <c r="A43" s="47"/>
      <c r="B43" s="71"/>
      <c r="C43" s="34" t="s">
        <v>532</v>
      </c>
      <c r="D43" s="47">
        <v>1</v>
      </c>
      <c r="E43" s="47"/>
      <c r="F43" s="47"/>
      <c r="G43" s="47" t="e" cm="1">
        <f t="array" aca="1" ref="G43" ca="1">INDIRECT("'" &amp; SKJEMA_LEV &amp; "'!LEV_5.1.9_C")</f>
        <v>#REF!</v>
      </c>
      <c r="H43" s="47"/>
      <c r="I43" s="47"/>
      <c r="O43" s="8"/>
    </row>
    <row r="44" spans="1:16" ht="16.5" customHeight="1">
      <c r="A44" s="47"/>
      <c r="B44" s="71"/>
      <c r="C44" s="34" t="s">
        <v>533</v>
      </c>
      <c r="D44" s="47">
        <v>1</v>
      </c>
      <c r="E44" s="47"/>
      <c r="F44" s="47"/>
      <c r="G44" s="47" t="e" cm="1">
        <f t="array" aca="1" ref="G44" ca="1">INDIRECT("'" &amp; SKJEMA_LEV &amp; "'!LEV_5.1.9_D")</f>
        <v>#REF!</v>
      </c>
      <c r="H44" s="47"/>
      <c r="I44" s="47"/>
      <c r="O44" s="8"/>
    </row>
    <row r="45" spans="1:16" ht="16.5" customHeight="1">
      <c r="A45" s="47"/>
      <c r="B45" s="71"/>
      <c r="C45" s="34"/>
      <c r="D45" s="47"/>
      <c r="E45" s="47"/>
      <c r="F45" s="47"/>
      <c r="G45" s="47"/>
      <c r="H45" s="47"/>
      <c r="I45" s="47"/>
      <c r="O45" s="8"/>
    </row>
    <row r="46" spans="1:16" ht="16.5" customHeight="1">
      <c r="A46" s="47"/>
      <c r="B46" s="71"/>
      <c r="C46" s="34"/>
      <c r="D46" s="47"/>
      <c r="E46" s="47"/>
      <c r="F46" s="47"/>
      <c r="G46" s="47"/>
      <c r="H46" s="47"/>
      <c r="I46" s="47"/>
      <c r="O46" s="8"/>
    </row>
    <row r="47" spans="1:16">
      <c r="A47" s="47"/>
      <c r="B47" s="71"/>
      <c r="C47" s="34"/>
      <c r="D47" s="47"/>
      <c r="E47" s="47"/>
      <c r="F47" s="47"/>
      <c r="G47" s="47"/>
      <c r="H47" s="47"/>
      <c r="I47" s="47"/>
      <c r="O47" s="8"/>
    </row>
    <row r="48" spans="1:16">
      <c r="A48" s="57" t="s">
        <v>534</v>
      </c>
      <c r="B48" s="72" t="s">
        <v>473</v>
      </c>
      <c r="C48" s="34"/>
      <c r="D48" s="47"/>
      <c r="E48" s="47"/>
      <c r="F48" s="47"/>
      <c r="G48" s="47"/>
      <c r="H48" s="47"/>
      <c r="I48" s="47"/>
    </row>
    <row r="49" spans="1:10" ht="45">
      <c r="A49" s="54" t="s">
        <v>535</v>
      </c>
      <c r="B49" s="123" t="s">
        <v>536</v>
      </c>
      <c r="C49" s="34"/>
      <c r="D49" s="47"/>
      <c r="E49" s="47">
        <v>1</v>
      </c>
      <c r="F49" s="47"/>
      <c r="G49" s="47" t="e" cm="1">
        <f t="array" aca="1" ref="G49" ca="1">INDIRECT("'" &amp; SKJEMA_LEV &amp; "'!LEV_" &amp; A49)</f>
        <v>#REF!</v>
      </c>
      <c r="H49" s="73" t="e">
        <f ca="1">VLOOKUP(G49,C50:D51,2,0)</f>
        <v>#REF!</v>
      </c>
      <c r="I49" s="47" t="e">
        <f ca="1">H49</f>
        <v>#REF!</v>
      </c>
      <c r="J49" t="e">
        <f ca="1">I49/E49</f>
        <v>#REF!</v>
      </c>
    </row>
    <row r="50" spans="1:10">
      <c r="A50" s="50"/>
      <c r="B50" s="123"/>
      <c r="C50" s="34" t="s">
        <v>65</v>
      </c>
      <c r="D50" s="47">
        <v>1</v>
      </c>
      <c r="E50" s="47"/>
      <c r="F50" s="47"/>
      <c r="G50" s="47"/>
      <c r="H50" s="47"/>
      <c r="I50" s="47"/>
    </row>
    <row r="51" spans="1:10">
      <c r="A51" s="54"/>
      <c r="B51" s="74"/>
      <c r="C51" s="34" t="s">
        <v>48</v>
      </c>
      <c r="D51" s="47">
        <v>0</v>
      </c>
      <c r="E51" s="47"/>
      <c r="F51" s="47"/>
      <c r="G51" s="47"/>
      <c r="H51" s="47"/>
      <c r="I51" s="47"/>
    </row>
    <row r="52" spans="1:10" ht="30">
      <c r="A52" s="54" t="s">
        <v>537</v>
      </c>
      <c r="B52" s="123" t="s">
        <v>538</v>
      </c>
      <c r="C52" s="34"/>
      <c r="D52" s="47"/>
      <c r="E52" s="47">
        <v>2</v>
      </c>
      <c r="F52" s="47"/>
      <c r="G52" s="47" t="e" cm="1">
        <f t="array" aca="1" ref="G52" ca="1">INDIRECT("'" &amp; SKJEMA_LEV &amp; "'!LEV_" &amp; A52)</f>
        <v>#REF!</v>
      </c>
      <c r="H52" s="73" t="e">
        <f ca="1">VLOOKUP(G52,C53:D56,2,0)</f>
        <v>#REF!</v>
      </c>
      <c r="I52" s="47" t="e">
        <f ca="1">H52</f>
        <v>#REF!</v>
      </c>
      <c r="J52" t="e">
        <f ca="1">I52/E52</f>
        <v>#REF!</v>
      </c>
    </row>
    <row r="53" spans="1:10">
      <c r="A53" s="47"/>
      <c r="B53" s="71"/>
      <c r="C53" s="34" t="s">
        <v>539</v>
      </c>
      <c r="D53" s="47">
        <v>2</v>
      </c>
      <c r="E53" s="47"/>
      <c r="F53" s="47"/>
      <c r="G53" s="47"/>
      <c r="H53" s="47"/>
      <c r="I53" s="47"/>
    </row>
    <row r="54" spans="1:10">
      <c r="A54" s="50"/>
      <c r="B54" s="123"/>
      <c r="C54" s="34" t="s">
        <v>540</v>
      </c>
      <c r="D54" s="47">
        <v>1</v>
      </c>
      <c r="E54" s="47"/>
      <c r="F54" s="47"/>
      <c r="G54" s="47"/>
      <c r="H54" s="47"/>
      <c r="I54" s="47"/>
    </row>
    <row r="55" spans="1:10">
      <c r="A55" s="47"/>
      <c r="B55" s="71"/>
      <c r="C55" s="34" t="s">
        <v>48</v>
      </c>
      <c r="D55" s="47">
        <v>0</v>
      </c>
      <c r="E55" s="47"/>
      <c r="F55" s="47"/>
      <c r="G55" s="47"/>
      <c r="H55" s="47"/>
      <c r="I55" s="47"/>
    </row>
    <row r="56" spans="1:10" ht="30">
      <c r="A56" s="54" t="s">
        <v>541</v>
      </c>
      <c r="B56" s="123" t="s">
        <v>542</v>
      </c>
      <c r="C56" s="34"/>
      <c r="D56" s="47"/>
      <c r="E56" s="47">
        <v>1</v>
      </c>
      <c r="F56" s="47"/>
      <c r="G56" s="47" t="e" cm="1">
        <f t="array" aca="1" ref="G56" ca="1">INDIRECT("'" &amp; SKJEMA_LEV &amp; "'!LEV_" &amp; A56)</f>
        <v>#REF!</v>
      </c>
      <c r="H56" s="73" t="e">
        <f ca="1">VLOOKUP(G56,C57:D58,2,0)</f>
        <v>#REF!</v>
      </c>
      <c r="I56" s="47" t="e">
        <f ca="1">H56</f>
        <v>#REF!</v>
      </c>
      <c r="J56" t="e">
        <f ca="1">I56/E56</f>
        <v>#REF!</v>
      </c>
    </row>
    <row r="57" spans="1:10">
      <c r="A57" s="54"/>
      <c r="B57" s="67"/>
      <c r="C57" s="34" t="s">
        <v>65</v>
      </c>
      <c r="D57" s="47">
        <v>0</v>
      </c>
      <c r="E57" s="47"/>
      <c r="F57" s="47"/>
      <c r="G57" s="47"/>
      <c r="H57" s="47"/>
      <c r="I57" s="47"/>
    </row>
    <row r="58" spans="1:10">
      <c r="A58" s="52"/>
      <c r="B58" s="123"/>
      <c r="C58" s="34" t="s">
        <v>48</v>
      </c>
      <c r="D58" s="47">
        <v>1</v>
      </c>
      <c r="E58" s="47"/>
      <c r="F58" s="47"/>
      <c r="G58" s="47"/>
      <c r="H58" s="47"/>
      <c r="I58" s="47"/>
    </row>
    <row r="59" spans="1:10">
      <c r="A59" s="54" t="s">
        <v>543</v>
      </c>
      <c r="B59" s="126" t="s">
        <v>544</v>
      </c>
      <c r="C59" s="34"/>
      <c r="D59" s="47"/>
      <c r="E59" s="47">
        <v>5</v>
      </c>
      <c r="F59" s="47"/>
      <c r="G59" s="47"/>
      <c r="H59" s="47">
        <f ca="1">COUNTIF(G60:G64,TRUE)</f>
        <v>0</v>
      </c>
      <c r="I59" s="47">
        <f ca="1">H59</f>
        <v>0</v>
      </c>
      <c r="J59">
        <f ca="1">I59/E59</f>
        <v>0</v>
      </c>
    </row>
    <row r="60" spans="1:10">
      <c r="A60" s="47"/>
      <c r="B60" s="71"/>
      <c r="C60" s="34" t="s">
        <v>545</v>
      </c>
      <c r="D60" s="47">
        <v>1</v>
      </c>
      <c r="E60" s="47"/>
      <c r="F60" s="47"/>
      <c r="G60" s="47" t="e" cm="1">
        <f t="array" aca="1" ref="G60" ca="1">INDIRECT("'" &amp; SKJEMA_LEV &amp; "'!LEV_6.1.4_A")</f>
        <v>#REF!</v>
      </c>
      <c r="H60" s="47"/>
      <c r="I60" s="47"/>
    </row>
    <row r="61" spans="1:10">
      <c r="A61" s="47"/>
      <c r="B61" s="71"/>
      <c r="C61" s="34" t="s">
        <v>546</v>
      </c>
      <c r="D61" s="47">
        <v>1</v>
      </c>
      <c r="E61" s="47"/>
      <c r="F61" s="47"/>
      <c r="G61" s="47" t="e" cm="1">
        <f t="array" aca="1" ref="G61" ca="1">INDIRECT("'" &amp; SKJEMA_LEV &amp; "'!LEV_6.1.4_B")</f>
        <v>#REF!</v>
      </c>
      <c r="H61" s="47"/>
      <c r="I61" s="47"/>
    </row>
    <row r="62" spans="1:10">
      <c r="A62" s="47"/>
      <c r="B62" s="71"/>
      <c r="C62" s="34" t="s">
        <v>547</v>
      </c>
      <c r="D62" s="47">
        <v>1</v>
      </c>
      <c r="E62" s="47"/>
      <c r="F62" s="47"/>
      <c r="G62" s="47" t="e" cm="1">
        <f t="array" aca="1" ref="G62" ca="1">INDIRECT("'" &amp; SKJEMA_LEV &amp; "'!LEV_6.1.4_C")</f>
        <v>#REF!</v>
      </c>
      <c r="H62" s="47"/>
      <c r="I62" s="47"/>
    </row>
    <row r="63" spans="1:10">
      <c r="A63" s="47"/>
      <c r="B63" s="71"/>
      <c r="C63" s="34" t="s">
        <v>548</v>
      </c>
      <c r="D63" s="47">
        <v>1</v>
      </c>
      <c r="E63" s="47"/>
      <c r="F63" s="47"/>
      <c r="G63" s="47" t="e" cm="1">
        <f t="array" aca="1" ref="G63" ca="1">INDIRECT("'" &amp; SKJEMA_LEV &amp; "'!LEV_6.1.4_D")</f>
        <v>#REF!</v>
      </c>
      <c r="H63" s="47"/>
      <c r="I63" s="47"/>
    </row>
    <row r="64" spans="1:10">
      <c r="A64" s="47"/>
      <c r="B64" s="71"/>
      <c r="C64" s="34" t="s">
        <v>549</v>
      </c>
      <c r="D64" s="47">
        <v>1</v>
      </c>
      <c r="E64" s="47"/>
      <c r="F64" s="47"/>
      <c r="G64" s="47" t="e" cm="1">
        <f t="array" aca="1" ref="G64" ca="1">INDIRECT("'" &amp; SKJEMA_LEV &amp; "'!LEV_6.1.4_E")</f>
        <v>#REF!</v>
      </c>
      <c r="H64" s="47"/>
      <c r="I64" s="47"/>
    </row>
    <row r="65" spans="1:10" ht="30">
      <c r="A65" s="54" t="s">
        <v>550</v>
      </c>
      <c r="B65" s="127" t="s">
        <v>551</v>
      </c>
      <c r="C65" s="34"/>
      <c r="D65" s="47"/>
      <c r="E65" s="47">
        <v>2</v>
      </c>
      <c r="F65" s="47"/>
      <c r="G65" s="47" t="e" cm="1">
        <f t="array" aca="1" ref="G65" ca="1">INDIRECT("'" &amp; SKJEMA_LEV &amp; "'!LEV_" &amp; A65)</f>
        <v>#REF!</v>
      </c>
      <c r="H65" s="73" t="e">
        <f ca="1">VLOOKUP(G65,C66:D69,2,0)</f>
        <v>#REF!</v>
      </c>
      <c r="I65" s="47" t="e">
        <f ca="1">H65</f>
        <v>#REF!</v>
      </c>
      <c r="J65" t="e">
        <f ca="1">I65/E65</f>
        <v>#REF!</v>
      </c>
    </row>
    <row r="66" spans="1:10">
      <c r="A66" s="47"/>
      <c r="B66" s="71"/>
      <c r="C66" s="34" t="s">
        <v>65</v>
      </c>
      <c r="D66" s="47">
        <v>2</v>
      </c>
      <c r="E66" s="47"/>
      <c r="F66" s="47"/>
      <c r="G66" s="47"/>
      <c r="H66" s="47"/>
      <c r="I66" s="47"/>
    </row>
    <row r="67" spans="1:10">
      <c r="A67" s="49"/>
      <c r="B67" s="126"/>
      <c r="C67" s="34" t="s">
        <v>48</v>
      </c>
      <c r="D67" s="47">
        <v>1</v>
      </c>
      <c r="E67" s="47"/>
      <c r="F67" s="47"/>
      <c r="G67" s="47"/>
      <c r="H67" s="47"/>
      <c r="I67" s="47"/>
    </row>
    <row r="68" spans="1:10">
      <c r="A68" s="54"/>
      <c r="B68" s="68"/>
      <c r="C68" s="34" t="s">
        <v>125</v>
      </c>
      <c r="D68" s="47">
        <v>0</v>
      </c>
      <c r="E68" s="47"/>
      <c r="F68" s="47"/>
      <c r="G68" s="47"/>
      <c r="H68" s="47"/>
      <c r="I68" s="47"/>
    </row>
    <row r="69" spans="1:10" ht="30">
      <c r="A69" s="54" t="s">
        <v>552</v>
      </c>
      <c r="B69" s="123" t="s">
        <v>553</v>
      </c>
      <c r="C69" s="34"/>
      <c r="D69" s="47"/>
      <c r="E69" s="47">
        <v>2</v>
      </c>
      <c r="F69" s="47"/>
      <c r="G69" s="47" t="e" cm="1">
        <f t="array" aca="1" ref="G69" ca="1">INDIRECT("'" &amp; SKJEMA_LEV &amp; "'!LEV_" &amp; A69)</f>
        <v>#REF!</v>
      </c>
      <c r="H69" s="73" t="e">
        <f ca="1">VLOOKUP(G69,C70:D73,2,0)</f>
        <v>#REF!</v>
      </c>
      <c r="I69" s="47" t="e">
        <f ca="1">H69</f>
        <v>#REF!</v>
      </c>
      <c r="J69" t="e">
        <f ca="1">I69/E69</f>
        <v>#REF!</v>
      </c>
    </row>
    <row r="70" spans="1:10">
      <c r="A70" s="47"/>
      <c r="B70" s="71"/>
      <c r="C70" s="34" t="s">
        <v>209</v>
      </c>
      <c r="D70" s="47">
        <v>2</v>
      </c>
      <c r="E70" s="47"/>
      <c r="F70" s="47"/>
      <c r="G70" s="47"/>
      <c r="H70" s="47"/>
      <c r="I70" s="47"/>
    </row>
    <row r="71" spans="1:10">
      <c r="A71" s="47"/>
      <c r="B71" s="71"/>
      <c r="C71" s="34" t="s">
        <v>210</v>
      </c>
      <c r="D71" s="47">
        <v>1</v>
      </c>
      <c r="E71" s="47"/>
      <c r="F71" s="47"/>
      <c r="G71" s="47"/>
      <c r="H71" s="47"/>
      <c r="I71" s="47"/>
    </row>
    <row r="72" spans="1:10">
      <c r="A72" s="47"/>
      <c r="B72" s="71"/>
      <c r="C72" s="34" t="s">
        <v>211</v>
      </c>
      <c r="D72" s="47">
        <v>0</v>
      </c>
      <c r="E72" s="47"/>
      <c r="F72" s="47"/>
      <c r="G72" s="47"/>
      <c r="H72" s="47"/>
      <c r="I72" s="47"/>
    </row>
    <row r="73" spans="1:10">
      <c r="A73" s="54"/>
      <c r="B73" s="68"/>
      <c r="C73" s="34" t="s">
        <v>136</v>
      </c>
      <c r="D73" s="47">
        <v>0</v>
      </c>
      <c r="E73" s="47"/>
      <c r="F73" s="47"/>
      <c r="G73" s="47"/>
      <c r="H73" s="47"/>
      <c r="I73" s="47"/>
    </row>
    <row r="74" spans="1:10">
      <c r="A74" s="57" t="s">
        <v>554</v>
      </c>
      <c r="B74" s="62" t="s">
        <v>476</v>
      </c>
      <c r="C74" s="34"/>
      <c r="D74" s="47"/>
      <c r="E74" s="47"/>
      <c r="F74" s="47"/>
      <c r="G74" s="47"/>
      <c r="H74" s="47"/>
      <c r="I74" s="47"/>
    </row>
    <row r="75" spans="1:10">
      <c r="A75" s="54" t="s">
        <v>555</v>
      </c>
      <c r="B75" s="123" t="s">
        <v>556</v>
      </c>
      <c r="C75" s="34"/>
      <c r="D75" s="47"/>
      <c r="E75" s="47">
        <v>2</v>
      </c>
      <c r="F75" s="47"/>
      <c r="G75" s="47" t="e" cm="1">
        <f t="array" aca="1" ref="G75" ca="1">INDIRECT("'" &amp; SKJEMA_LEV &amp; "'!LEV_" &amp; A75)</f>
        <v>#REF!</v>
      </c>
      <c r="H75" s="73" t="e">
        <f ca="1">VLOOKUP(G75,C76:D77,2,0)</f>
        <v>#REF!</v>
      </c>
      <c r="I75" s="47" t="e">
        <f ca="1">H75</f>
        <v>#REF!</v>
      </c>
      <c r="J75" t="e">
        <f ca="1">I75/E75</f>
        <v>#REF!</v>
      </c>
    </row>
    <row r="76" spans="1:10">
      <c r="A76" s="47"/>
      <c r="B76" s="71"/>
      <c r="C76" s="34" t="s">
        <v>557</v>
      </c>
      <c r="D76" s="47">
        <v>2</v>
      </c>
      <c r="E76" s="47"/>
      <c r="F76" s="47"/>
      <c r="G76" s="47"/>
      <c r="H76" s="47"/>
      <c r="I76" s="47"/>
    </row>
    <row r="77" spans="1:10">
      <c r="A77" s="47"/>
      <c r="B77" s="71"/>
      <c r="C77" s="34" t="s">
        <v>558</v>
      </c>
      <c r="D77" s="47">
        <v>1</v>
      </c>
      <c r="E77" s="47"/>
      <c r="F77" s="47"/>
      <c r="G77" s="47"/>
      <c r="H77" s="47"/>
      <c r="I77" s="47"/>
    </row>
    <row r="78" spans="1:10" ht="30">
      <c r="A78" s="54" t="s">
        <v>559</v>
      </c>
      <c r="B78" s="123" t="s">
        <v>560</v>
      </c>
      <c r="C78" s="34"/>
      <c r="E78">
        <v>3</v>
      </c>
      <c r="G78" s="47" t="e" cm="1">
        <f t="array" aca="1" ref="G78" ca="1">INDIRECT("'" &amp; SKJEMA_LEV &amp; "'!LEV_" &amp; A78)</f>
        <v>#REF!</v>
      </c>
      <c r="H78" s="73" t="e">
        <f ca="1">VLOOKUP(G78,C79:D82,2,0)</f>
        <v>#REF!</v>
      </c>
      <c r="I78" s="47" t="e">
        <f ca="1">H78</f>
        <v>#REF!</v>
      </c>
      <c r="J78" t="e">
        <f ca="1">I78/E78</f>
        <v>#REF!</v>
      </c>
    </row>
    <row r="79" spans="1:10">
      <c r="A79" s="54"/>
      <c r="B79" s="68"/>
      <c r="C79" s="34" t="s">
        <v>65</v>
      </c>
      <c r="D79">
        <v>3</v>
      </c>
    </row>
    <row r="80" spans="1:10">
      <c r="C80" s="34" t="s">
        <v>48</v>
      </c>
      <c r="D80">
        <v>2</v>
      </c>
    </row>
    <row r="81" spans="1:10">
      <c r="C81" s="34" t="s">
        <v>561</v>
      </c>
      <c r="D81">
        <v>1</v>
      </c>
    </row>
    <row r="82" spans="1:10">
      <c r="C82" s="34" t="s">
        <v>136</v>
      </c>
      <c r="D82">
        <v>0</v>
      </c>
    </row>
    <row r="83" spans="1:10">
      <c r="A83" s="54" t="s">
        <v>562</v>
      </c>
      <c r="B83" s="123" t="s">
        <v>563</v>
      </c>
      <c r="C83" s="34"/>
      <c r="E83">
        <v>2</v>
      </c>
      <c r="G83" s="47" t="e" cm="1">
        <f t="array" aca="1" ref="G83" ca="1">INDIRECT("'" &amp; SKJEMA_LEV &amp; "'!LEV_" &amp; A83)</f>
        <v>#REF!</v>
      </c>
      <c r="H83" s="73" t="e">
        <f ca="1">VLOOKUP(G83,C84:D87,2,0)</f>
        <v>#REF!</v>
      </c>
      <c r="I83" s="47" t="e">
        <f ca="1">H83</f>
        <v>#REF!</v>
      </c>
      <c r="J83" t="e">
        <f ca="1">I83/E83</f>
        <v>#REF!</v>
      </c>
    </row>
    <row r="84" spans="1:10">
      <c r="A84" s="54"/>
      <c r="B84" s="68"/>
      <c r="C84" s="34" t="s">
        <v>564</v>
      </c>
      <c r="D84" s="47">
        <v>2</v>
      </c>
    </row>
    <row r="85" spans="1:10">
      <c r="C85" s="34" t="s">
        <v>565</v>
      </c>
      <c r="D85" s="47">
        <v>1</v>
      </c>
    </row>
    <row r="86" spans="1:10">
      <c r="C86" s="34" t="s">
        <v>566</v>
      </c>
      <c r="D86" s="47">
        <v>0</v>
      </c>
    </row>
    <row r="87" spans="1:10" ht="30">
      <c r="A87" s="54" t="s">
        <v>567</v>
      </c>
      <c r="B87" s="123" t="s">
        <v>568</v>
      </c>
      <c r="C87" s="34"/>
      <c r="E87">
        <v>4</v>
      </c>
      <c r="G87" s="47" t="e" cm="1">
        <f t="array" aca="1" ref="G87" ca="1">INDIRECT("'" &amp; SKJEMA_LEV &amp; "'!LEV_" &amp; A87)</f>
        <v>#REF!</v>
      </c>
      <c r="H87" s="73" t="e">
        <f ca="1">VLOOKUP(G87,C88:D92,2,0)</f>
        <v>#REF!</v>
      </c>
      <c r="I87" t="e">
        <f ca="1">H87</f>
        <v>#REF!</v>
      </c>
      <c r="J87" t="e">
        <f ca="1">I87/E87</f>
        <v>#REF!</v>
      </c>
    </row>
    <row r="88" spans="1:10">
      <c r="C88" s="34" t="s">
        <v>77</v>
      </c>
      <c r="D88">
        <v>0</v>
      </c>
    </row>
    <row r="89" spans="1:10">
      <c r="C89" s="34" t="s">
        <v>569</v>
      </c>
      <c r="D89" s="47">
        <v>2</v>
      </c>
    </row>
    <row r="90" spans="1:10">
      <c r="A90" s="54"/>
      <c r="B90" s="64"/>
      <c r="C90" s="34" t="s">
        <v>570</v>
      </c>
      <c r="D90" s="47">
        <v>2</v>
      </c>
    </row>
    <row r="91" spans="1:10">
      <c r="A91" s="54"/>
      <c r="B91" s="123"/>
      <c r="C91" s="34" t="s">
        <v>571</v>
      </c>
      <c r="D91" s="47">
        <v>3</v>
      </c>
    </row>
    <row r="92" spans="1:10">
      <c r="A92" s="54"/>
      <c r="B92" s="123"/>
      <c r="C92" s="34" t="s">
        <v>572</v>
      </c>
      <c r="D92" s="47">
        <v>4</v>
      </c>
    </row>
    <row r="93" spans="1:10" ht="45">
      <c r="A93" s="54" t="s">
        <v>573</v>
      </c>
      <c r="B93" s="127" t="s">
        <v>574</v>
      </c>
      <c r="C93" s="34"/>
      <c r="E93">
        <v>4</v>
      </c>
      <c r="G93" s="47" t="e" cm="1">
        <f t="array" aca="1" ref="G93" ca="1">INDIRECT("'" &amp; SKJEMA_LEV &amp; "'!LEV_" &amp; A93)</f>
        <v>#REF!</v>
      </c>
      <c r="H93" s="73" t="e">
        <f ca="1">VLOOKUP(G93,C94:D98,2,0)</f>
        <v>#REF!</v>
      </c>
      <c r="I93" t="e">
        <f ca="1">H93</f>
        <v>#REF!</v>
      </c>
      <c r="J93" t="e">
        <f ca="1">I93/E93</f>
        <v>#REF!</v>
      </c>
    </row>
    <row r="94" spans="1:10">
      <c r="C94" s="34" t="s">
        <v>575</v>
      </c>
      <c r="D94">
        <v>4</v>
      </c>
    </row>
    <row r="95" spans="1:10">
      <c r="C95" s="34" t="s">
        <v>576</v>
      </c>
      <c r="D95">
        <v>3</v>
      </c>
    </row>
    <row r="96" spans="1:10">
      <c r="A96" s="54"/>
      <c r="B96" s="74"/>
      <c r="C96" s="34" t="s">
        <v>577</v>
      </c>
      <c r="D96">
        <v>2</v>
      </c>
    </row>
    <row r="97" spans="1:12">
      <c r="A97" s="54"/>
      <c r="B97" s="127"/>
      <c r="C97" s="34" t="s">
        <v>578</v>
      </c>
      <c r="D97">
        <v>0</v>
      </c>
    </row>
    <row r="98" spans="1:12">
      <c r="C98" s="34" t="s">
        <v>136</v>
      </c>
      <c r="D98">
        <v>0</v>
      </c>
      <c r="L98" t="s">
        <v>579</v>
      </c>
    </row>
    <row r="99" spans="1:12" ht="30">
      <c r="A99" s="54" t="s">
        <v>580</v>
      </c>
      <c r="B99" s="123" t="s">
        <v>581</v>
      </c>
      <c r="C99" s="34"/>
      <c r="E99">
        <v>4</v>
      </c>
      <c r="G99" s="47" t="e" cm="1">
        <f t="array" aca="1" ref="G99" ca="1">INDIRECT("'" &amp; SKJEMA_LEV &amp; "'!LEV_" &amp; A99)</f>
        <v>#REF!</v>
      </c>
      <c r="H99">
        <f ca="1">COUNTIF(G101:G104,TRUE)</f>
        <v>0</v>
      </c>
      <c r="I99">
        <f ca="1">H99</f>
        <v>0</v>
      </c>
      <c r="J99">
        <f ca="1">I99/E99</f>
        <v>0</v>
      </c>
      <c r="L99" t="b" cm="1">
        <f t="array" aca="1" ref="L99" ca="1">AND(ISERROR(INDIRECT(G100:G104)))</f>
        <v>1</v>
      </c>
    </row>
    <row r="100" spans="1:12">
      <c r="C100" s="34" t="s">
        <v>582</v>
      </c>
      <c r="D100">
        <v>0</v>
      </c>
      <c r="G100" s="47" t="e" cm="1">
        <f t="array" aca="1" ref="G100" ca="1">INDIRECT("'" &amp; SKJEMA_LEV &amp; "'!LEV_6.2.6_A")</f>
        <v>#REF!</v>
      </c>
    </row>
    <row r="101" spans="1:12">
      <c r="C101" s="34" t="s">
        <v>583</v>
      </c>
      <c r="D101">
        <v>1</v>
      </c>
      <c r="G101" s="47" t="e" cm="1">
        <f t="array" aca="1" ref="G101" ca="1">INDIRECT("'" &amp; SKJEMA_LEV &amp; "'!LEV_6.2.6_B")</f>
        <v>#REF!</v>
      </c>
    </row>
    <row r="102" spans="1:12">
      <c r="A102" s="54"/>
      <c r="B102" s="127"/>
      <c r="C102" s="34" t="s">
        <v>584</v>
      </c>
      <c r="D102">
        <v>1</v>
      </c>
      <c r="G102" s="47" t="e" cm="1">
        <f t="array" aca="1" ref="G102" ca="1">INDIRECT("'" &amp; SKJEMA_LEV &amp; "'!LEV_6.2.6_C")</f>
        <v>#REF!</v>
      </c>
    </row>
    <row r="103" spans="1:12">
      <c r="C103" s="34" t="s">
        <v>585</v>
      </c>
      <c r="D103">
        <v>1</v>
      </c>
      <c r="G103" s="47" t="e" cm="1">
        <f t="array" aca="1" ref="G103" ca="1">INDIRECT("'" &amp; SKJEMA_LEV &amp; "'!LEV_6.2.6_D")</f>
        <v>#REF!</v>
      </c>
    </row>
    <row r="104" spans="1:12">
      <c r="C104" s="34" t="s">
        <v>586</v>
      </c>
      <c r="D104">
        <v>1</v>
      </c>
      <c r="G104" s="47" t="e" cm="1">
        <f t="array" aca="1" ref="G104" ca="1">INDIRECT("'" &amp; SKJEMA_LEV &amp; "'!LEV_6.2.6_E")</f>
        <v>#REF!</v>
      </c>
    </row>
    <row r="105" spans="1:12">
      <c r="A105" s="57" t="s">
        <v>587</v>
      </c>
      <c r="B105" s="62" t="s">
        <v>478</v>
      </c>
      <c r="C105" s="34"/>
    </row>
    <row r="106" spans="1:12" ht="45">
      <c r="A106" s="54" t="s">
        <v>588</v>
      </c>
      <c r="B106" s="123" t="s">
        <v>589</v>
      </c>
      <c r="C106" s="34"/>
      <c r="E106">
        <v>2</v>
      </c>
      <c r="G106" s="47" t="e" cm="1">
        <f t="array" aca="1" ref="G106" ca="1">INDIRECT("'" &amp; SKJEMA_LEV &amp; "'!LEV_" &amp; A106)</f>
        <v>#REF!</v>
      </c>
      <c r="H106" s="73" t="e">
        <f ca="1">VLOOKUP(G106,C107:D110,2,0)</f>
        <v>#REF!</v>
      </c>
      <c r="I106" t="e">
        <f ca="1">H106</f>
        <v>#REF!</v>
      </c>
      <c r="J106" t="e">
        <f ca="1">I106/E106</f>
        <v>#REF!</v>
      </c>
    </row>
    <row r="107" spans="1:12">
      <c r="A107" s="54"/>
      <c r="B107" s="123"/>
      <c r="C107" s="34" t="s">
        <v>65</v>
      </c>
      <c r="D107" s="47">
        <v>2</v>
      </c>
    </row>
    <row r="108" spans="1:12">
      <c r="C108" s="34" t="s">
        <v>141</v>
      </c>
      <c r="D108" s="47">
        <v>1</v>
      </c>
    </row>
    <row r="109" spans="1:12">
      <c r="C109" s="34" t="s">
        <v>48</v>
      </c>
      <c r="D109" s="47">
        <v>0</v>
      </c>
    </row>
    <row r="110" spans="1:12" ht="30">
      <c r="A110" s="54" t="s">
        <v>590</v>
      </c>
      <c r="B110" s="123" t="s">
        <v>591</v>
      </c>
      <c r="C110" s="34"/>
      <c r="E110">
        <v>5</v>
      </c>
      <c r="G110" s="47" t="e" cm="1">
        <f t="array" aca="1" ref="G110" ca="1">INDIRECT("'" &amp; SKJEMA_LEV &amp; "'!LEV_" &amp; A110)</f>
        <v>#REF!</v>
      </c>
      <c r="H110" s="73" t="e">
        <f ca="1">VLOOKUP(G110,C111:D116,2,0)</f>
        <v>#REF!</v>
      </c>
      <c r="I110" t="e">
        <f ca="1">H110</f>
        <v>#REF!</v>
      </c>
      <c r="J110" t="e">
        <f ca="1">I110/E110</f>
        <v>#REF!</v>
      </c>
    </row>
    <row r="111" spans="1:12">
      <c r="A111" s="54"/>
      <c r="B111" s="74"/>
      <c r="C111" s="34" t="s">
        <v>592</v>
      </c>
      <c r="D111">
        <v>5</v>
      </c>
    </row>
    <row r="112" spans="1:12">
      <c r="A112" s="54"/>
      <c r="B112" s="123"/>
      <c r="C112" s="34" t="s">
        <v>593</v>
      </c>
      <c r="D112">
        <v>4</v>
      </c>
    </row>
    <row r="113" spans="1:10">
      <c r="C113" s="34" t="s">
        <v>594</v>
      </c>
      <c r="D113">
        <v>3</v>
      </c>
    </row>
    <row r="114" spans="1:10">
      <c r="C114" s="34" t="s">
        <v>595</v>
      </c>
      <c r="D114">
        <v>2</v>
      </c>
    </row>
    <row r="115" spans="1:10">
      <c r="C115" s="34" t="s">
        <v>596</v>
      </c>
      <c r="D115">
        <v>1</v>
      </c>
    </row>
    <row r="116" spans="1:10">
      <c r="C116" s="34" t="s">
        <v>597</v>
      </c>
      <c r="D116">
        <v>0</v>
      </c>
    </row>
    <row r="117" spans="1:10">
      <c r="A117" s="54" t="s">
        <v>598</v>
      </c>
      <c r="B117" s="126" t="s">
        <v>599</v>
      </c>
      <c r="E117">
        <v>3</v>
      </c>
      <c r="G117" s="47" t="e" cm="1">
        <f t="array" aca="1" ref="G117" ca="1">INDIRECT("'" &amp; SKJEMA_LEV &amp; "'!LEV_" &amp; A117)</f>
        <v>#REF!</v>
      </c>
      <c r="H117">
        <f ca="1">COUNTIF(G118:G122,TRUE)</f>
        <v>0</v>
      </c>
      <c r="I117">
        <f ca="1">H117</f>
        <v>0</v>
      </c>
      <c r="J117">
        <f ca="1">I117/E117</f>
        <v>0</v>
      </c>
    </row>
    <row r="118" spans="1:10">
      <c r="A118" s="54"/>
      <c r="B118" s="127"/>
      <c r="C118" s="34" t="s">
        <v>600</v>
      </c>
      <c r="D118">
        <v>1</v>
      </c>
      <c r="G118" s="47" t="e" cm="1">
        <f t="array" aca="1" ref="G118" ca="1">INDIRECT("'" &amp; SKJEMA_LEV &amp; "'!LEV_7.1.3_A")</f>
        <v>#REF!</v>
      </c>
    </row>
    <row r="119" spans="1:10">
      <c r="C119" s="34" t="s">
        <v>601</v>
      </c>
      <c r="D119" s="47">
        <v>1</v>
      </c>
      <c r="G119" s="47" t="e" cm="1">
        <f t="array" aca="1" ref="G119" ca="1">INDIRECT("'" &amp; SKJEMA_LEV &amp; "'!LEV_7.1.3_B")</f>
        <v>#REF!</v>
      </c>
    </row>
    <row r="120" spans="1:10">
      <c r="C120" s="34" t="s">
        <v>602</v>
      </c>
      <c r="D120" s="47">
        <v>2</v>
      </c>
      <c r="G120" s="47" t="e" cm="1">
        <f t="array" aca="1" ref="G120" ca="1">INDIRECT("'" &amp; SKJEMA_LEV &amp; "'!LEV_7.1.3_C")</f>
        <v>#REF!</v>
      </c>
    </row>
    <row r="121" spans="1:10">
      <c r="C121" s="34" t="s">
        <v>603</v>
      </c>
      <c r="D121" s="47">
        <v>0</v>
      </c>
      <c r="G121" s="47" t="e" cm="1">
        <f t="array" aca="1" ref="G121" ca="1">INDIRECT("'" &amp; SKJEMA_LEV &amp; "'!LEV_7.1.3_D")</f>
        <v>#REF!</v>
      </c>
    </row>
    <row r="122" spans="1:10">
      <c r="C122" s="34" t="s">
        <v>604</v>
      </c>
      <c r="D122" s="47">
        <v>2</v>
      </c>
      <c r="G122" s="47" t="e" cm="1">
        <f t="array" aca="1" ref="G122" ca="1">INDIRECT("'" &amp; SKJEMA_LEV &amp; "'!LEV_7.1.3_E")</f>
        <v>#REF!</v>
      </c>
    </row>
    <row r="123" spans="1:10" ht="30">
      <c r="A123" s="54" t="s">
        <v>605</v>
      </c>
      <c r="B123" s="123" t="s">
        <v>606</v>
      </c>
      <c r="E123">
        <v>2</v>
      </c>
      <c r="G123" s="47" t="e" cm="1">
        <f t="array" aca="1" ref="G123" ca="1">INDIRECT("'" &amp; SKJEMA_LEV &amp; "'!LEV_" &amp; A123)</f>
        <v>#REF!</v>
      </c>
      <c r="H123" s="73" t="e">
        <f ca="1">VLOOKUP(G123,C124:D127,2,0)</f>
        <v>#REF!</v>
      </c>
      <c r="I123" t="e">
        <f ca="1">H123</f>
        <v>#REF!</v>
      </c>
      <c r="J123" t="e">
        <f ca="1">I123/E123</f>
        <v>#REF!</v>
      </c>
    </row>
    <row r="124" spans="1:10">
      <c r="C124" s="34" t="s">
        <v>48</v>
      </c>
      <c r="D124" s="47">
        <v>0</v>
      </c>
    </row>
    <row r="125" spans="1:10">
      <c r="A125" s="54"/>
      <c r="B125" s="123"/>
      <c r="C125" s="34" t="s">
        <v>607</v>
      </c>
      <c r="D125" s="47">
        <v>1</v>
      </c>
    </row>
    <row r="126" spans="1:10">
      <c r="C126" s="34" t="s">
        <v>608</v>
      </c>
      <c r="D126" s="47">
        <v>2</v>
      </c>
    </row>
    <row r="127" spans="1:10" ht="30">
      <c r="A127" s="54" t="s">
        <v>609</v>
      </c>
      <c r="B127" s="123" t="s">
        <v>610</v>
      </c>
      <c r="C127" s="34"/>
      <c r="E127">
        <v>2</v>
      </c>
      <c r="G127" s="47" t="e" cm="1">
        <f t="array" aca="1" ref="G127" ca="1">INDIRECT("'" &amp; SKJEMA_LEV &amp; "'!LEV_" &amp; A127)</f>
        <v>#REF!</v>
      </c>
      <c r="H127" s="73" t="e">
        <f ca="1">VLOOKUP(G127,C128:D131,2,0)</f>
        <v>#REF!</v>
      </c>
      <c r="I127" t="e">
        <f ca="1">H127</f>
        <v>#REF!</v>
      </c>
      <c r="J127" t="e">
        <f ca="1">I127/E127</f>
        <v>#REF!</v>
      </c>
    </row>
    <row r="128" spans="1:10">
      <c r="C128" s="34" t="s">
        <v>65</v>
      </c>
      <c r="D128" s="47">
        <v>2</v>
      </c>
    </row>
    <row r="129" spans="1:10">
      <c r="C129" s="34" t="s">
        <v>611</v>
      </c>
      <c r="D129" s="47">
        <v>1</v>
      </c>
    </row>
    <row r="130" spans="1:10">
      <c r="A130" s="54"/>
      <c r="B130" s="123"/>
      <c r="C130" s="34" t="s">
        <v>48</v>
      </c>
      <c r="D130" s="47">
        <v>0</v>
      </c>
    </row>
    <row r="131" spans="1:10" ht="30">
      <c r="A131" s="54" t="s">
        <v>612</v>
      </c>
      <c r="B131" s="123" t="s">
        <v>613</v>
      </c>
      <c r="C131" s="34"/>
      <c r="E131">
        <v>2</v>
      </c>
      <c r="G131" s="47" t="e" cm="1">
        <f t="array" aca="1" ref="G131" ca="1">INDIRECT("'" &amp; SKJEMA_LEV &amp; "'!LEV_" &amp; A131)</f>
        <v>#REF!</v>
      </c>
      <c r="H131" s="73" t="e">
        <f ca="1">VLOOKUP(G131,C132:D135,2,0)</f>
        <v>#REF!</v>
      </c>
      <c r="I131" t="e">
        <f ca="1">H131</f>
        <v>#REF!</v>
      </c>
      <c r="J131" t="e">
        <f ca="1">I131/E131</f>
        <v>#REF!</v>
      </c>
    </row>
    <row r="132" spans="1:10">
      <c r="C132" s="34" t="s">
        <v>65</v>
      </c>
      <c r="D132" s="47">
        <v>2</v>
      </c>
    </row>
    <row r="133" spans="1:10">
      <c r="C133" s="34" t="s">
        <v>611</v>
      </c>
      <c r="D133" s="47">
        <v>1</v>
      </c>
    </row>
    <row r="134" spans="1:10">
      <c r="C134" s="34" t="s">
        <v>48</v>
      </c>
      <c r="D134" s="47">
        <v>0</v>
      </c>
    </row>
    <row r="135" spans="1:10" ht="45">
      <c r="A135" s="54" t="s">
        <v>614</v>
      </c>
      <c r="B135" s="123" t="s">
        <v>615</v>
      </c>
      <c r="E135">
        <v>3</v>
      </c>
      <c r="G135" s="47" t="e" cm="1">
        <f t="array" aca="1" ref="G135" ca="1">INDIRECT("'" &amp; SKJEMA_LEV &amp; "'!LEV_" &amp; A135)</f>
        <v>#REF!</v>
      </c>
      <c r="H135" s="73" t="e">
        <f ca="1">VLOOKUP(G135,C136:D139,2,0)</f>
        <v>#REF!</v>
      </c>
      <c r="I135" t="e">
        <f ca="1">H135</f>
        <v>#REF!</v>
      </c>
      <c r="J135" t="e">
        <f ca="1">I135/E135</f>
        <v>#REF!</v>
      </c>
    </row>
    <row r="136" spans="1:10">
      <c r="C136" s="34" t="s">
        <v>65</v>
      </c>
      <c r="D136">
        <v>3</v>
      </c>
    </row>
    <row r="137" spans="1:10">
      <c r="C137" s="34" t="s">
        <v>141</v>
      </c>
      <c r="D137" s="47">
        <v>2</v>
      </c>
    </row>
    <row r="138" spans="1:10">
      <c r="C138" s="34" t="s">
        <v>48</v>
      </c>
      <c r="D138" s="47">
        <v>0</v>
      </c>
    </row>
    <row r="139" spans="1:10">
      <c r="C139" s="34" t="s">
        <v>136</v>
      </c>
      <c r="D139" s="47">
        <v>0</v>
      </c>
    </row>
    <row r="140" spans="1:10" ht="60">
      <c r="A140" s="54" t="s">
        <v>616</v>
      </c>
      <c r="B140" s="123" t="s">
        <v>617</v>
      </c>
      <c r="C140" s="34"/>
      <c r="E140">
        <v>2</v>
      </c>
      <c r="G140" s="47" t="e" cm="1">
        <f t="array" aca="1" ref="G140" ca="1">INDIRECT("'" &amp; SKJEMA_LEV &amp; "'!LEV_" &amp; A140)</f>
        <v>#REF!</v>
      </c>
      <c r="H140" s="73" t="e">
        <f ca="1">VLOOKUP(G140,C141:D144,2,0)</f>
        <v>#REF!</v>
      </c>
      <c r="I140" t="e">
        <f ca="1">H140</f>
        <v>#REF!</v>
      </c>
      <c r="J140" t="e">
        <f ca="1">I140/E140</f>
        <v>#REF!</v>
      </c>
    </row>
    <row r="141" spans="1:10">
      <c r="A141" s="54"/>
      <c r="B141" s="123"/>
      <c r="C141" s="34" t="s">
        <v>65</v>
      </c>
      <c r="D141" s="47">
        <v>2</v>
      </c>
    </row>
    <row r="142" spans="1:10">
      <c r="C142" s="34" t="s">
        <v>618</v>
      </c>
      <c r="D142" s="47">
        <v>1</v>
      </c>
    </row>
    <row r="143" spans="1:10">
      <c r="C143" s="34" t="s">
        <v>48</v>
      </c>
      <c r="D143" s="47">
        <v>0</v>
      </c>
    </row>
    <row r="144" spans="1:10">
      <c r="A144" s="57" t="s">
        <v>619</v>
      </c>
      <c r="B144" s="62" t="s">
        <v>480</v>
      </c>
      <c r="C144" s="34"/>
    </row>
    <row r="145" spans="1:10">
      <c r="A145" s="54" t="s">
        <v>620</v>
      </c>
      <c r="B145" s="123" t="s">
        <v>621</v>
      </c>
      <c r="C145" s="34"/>
      <c r="E145">
        <v>2</v>
      </c>
      <c r="G145" s="47" t="e" cm="1">
        <f t="array" aca="1" ref="G145" ca="1">INDIRECT("'" &amp; SKJEMA_LEV &amp; "'!LEV_" &amp; A145)</f>
        <v>#REF!</v>
      </c>
      <c r="H145" s="73" t="e">
        <f ca="1">VLOOKUP(G145,C146:D149,2,0)</f>
        <v>#REF!</v>
      </c>
      <c r="I145" t="e">
        <f ca="1">H145</f>
        <v>#REF!</v>
      </c>
      <c r="J145" t="e">
        <f ca="1">I145/E145</f>
        <v>#REF!</v>
      </c>
    </row>
    <row r="146" spans="1:10">
      <c r="A146" s="54"/>
      <c r="B146" s="127"/>
      <c r="C146" s="34" t="s">
        <v>65</v>
      </c>
      <c r="D146" s="47">
        <v>2</v>
      </c>
    </row>
    <row r="147" spans="1:10">
      <c r="C147" s="34" t="s">
        <v>622</v>
      </c>
      <c r="D147" s="47">
        <v>1</v>
      </c>
    </row>
    <row r="148" spans="1:10">
      <c r="C148" s="34" t="s">
        <v>48</v>
      </c>
      <c r="D148" s="47">
        <v>0</v>
      </c>
    </row>
    <row r="149" spans="1:10" ht="30">
      <c r="A149" s="54" t="s">
        <v>623</v>
      </c>
      <c r="B149" s="123" t="s">
        <v>624</v>
      </c>
      <c r="C149" s="34"/>
      <c r="E149">
        <v>3</v>
      </c>
      <c r="G149" s="47" t="e" cm="1">
        <f t="array" aca="1" ref="G149" ca="1">INDIRECT("'" &amp; SKJEMA_LEV &amp; "'!LEV_" &amp; A149)</f>
        <v>#REF!</v>
      </c>
      <c r="H149" s="73" t="e">
        <f ca="1">VLOOKUP(G149,C150:D153,2,0)</f>
        <v>#REF!</v>
      </c>
      <c r="I149" t="e">
        <f ca="1">H149</f>
        <v>#REF!</v>
      </c>
      <c r="J149" t="e">
        <f ca="1">I149/E149</f>
        <v>#REF!</v>
      </c>
    </row>
    <row r="150" spans="1:10">
      <c r="C150" s="34" t="s">
        <v>65</v>
      </c>
      <c r="D150">
        <v>3</v>
      </c>
    </row>
    <row r="151" spans="1:10">
      <c r="A151" s="54"/>
      <c r="B151" s="127"/>
      <c r="C151" s="34" t="s">
        <v>625</v>
      </c>
      <c r="D151" s="47">
        <v>2</v>
      </c>
    </row>
    <row r="152" spans="1:10">
      <c r="C152" s="34" t="s">
        <v>626</v>
      </c>
      <c r="D152" s="47">
        <v>1</v>
      </c>
    </row>
    <row r="153" spans="1:10">
      <c r="C153" s="34" t="s">
        <v>48</v>
      </c>
      <c r="D153" s="47">
        <v>0</v>
      </c>
    </row>
    <row r="154" spans="1:10">
      <c r="A154" s="54" t="s">
        <v>627</v>
      </c>
      <c r="B154" s="123" t="s">
        <v>628</v>
      </c>
      <c r="C154" s="34"/>
      <c r="E154">
        <v>3</v>
      </c>
      <c r="G154" s="47" t="e" cm="1">
        <f t="array" aca="1" ref="G154" ca="1">INDIRECT("'" &amp; SKJEMA_LEV &amp; "'!LEV_" &amp; A154)</f>
        <v>#REF!</v>
      </c>
      <c r="H154" s="73" t="e">
        <f ca="1">VLOOKUP(G154,C155:D158,2,0)</f>
        <v>#REF!</v>
      </c>
      <c r="I154" t="e">
        <f ca="1">H154</f>
        <v>#REF!</v>
      </c>
      <c r="J154" t="e">
        <f ca="1">I154/E154</f>
        <v>#REF!</v>
      </c>
    </row>
    <row r="155" spans="1:10">
      <c r="C155" s="34" t="s">
        <v>629</v>
      </c>
      <c r="D155">
        <v>3</v>
      </c>
    </row>
    <row r="156" spans="1:10">
      <c r="C156" s="34" t="s">
        <v>630</v>
      </c>
      <c r="D156" s="47">
        <v>2</v>
      </c>
    </row>
    <row r="157" spans="1:10">
      <c r="C157" s="34" t="s">
        <v>631</v>
      </c>
      <c r="D157" s="47">
        <v>1</v>
      </c>
    </row>
    <row r="158" spans="1:10">
      <c r="C158" s="34" t="s">
        <v>48</v>
      </c>
      <c r="D158" s="47">
        <v>0</v>
      </c>
    </row>
    <row r="159" spans="1:10" ht="30">
      <c r="A159" s="54" t="s">
        <v>632</v>
      </c>
      <c r="B159" s="123" t="s">
        <v>633</v>
      </c>
      <c r="E159">
        <v>4</v>
      </c>
      <c r="G159" s="47" t="e" cm="1">
        <f t="array" aca="1" ref="G159" ca="1">INDIRECT("'" &amp; SKJEMA_LEV &amp; "'!LEV_" &amp; A159)</f>
        <v>#REF!</v>
      </c>
      <c r="H159" s="73" t="e">
        <f ca="1">VLOOKUP(G159,C160:D164,2,0)</f>
        <v>#REF!</v>
      </c>
      <c r="I159" t="e">
        <f ca="1">H159</f>
        <v>#REF!</v>
      </c>
      <c r="J159" t="e">
        <f ca="1">I159/E159</f>
        <v>#REF!</v>
      </c>
    </row>
    <row r="160" spans="1:10">
      <c r="C160" s="34" t="s">
        <v>65</v>
      </c>
      <c r="D160">
        <v>4</v>
      </c>
    </row>
    <row r="161" spans="1:10">
      <c r="C161" s="34" t="s">
        <v>634</v>
      </c>
      <c r="D161">
        <v>3</v>
      </c>
    </row>
    <row r="162" spans="1:10">
      <c r="C162" s="34" t="s">
        <v>141</v>
      </c>
      <c r="D162" s="47">
        <v>2</v>
      </c>
    </row>
    <row r="163" spans="1:10">
      <c r="C163" s="34" t="s">
        <v>635</v>
      </c>
      <c r="D163" s="47">
        <v>1</v>
      </c>
    </row>
    <row r="164" spans="1:10">
      <c r="C164" s="34" t="s">
        <v>77</v>
      </c>
      <c r="D164" s="47">
        <v>0</v>
      </c>
    </row>
    <row r="165" spans="1:10" ht="30">
      <c r="A165" s="54" t="s">
        <v>636</v>
      </c>
      <c r="B165" s="123" t="s">
        <v>637</v>
      </c>
      <c r="E165">
        <v>4</v>
      </c>
      <c r="G165" s="47" t="e" cm="1">
        <f t="array" aca="1" ref="G165" ca="1">INDIRECT("'" &amp; SKJEMA_LEV &amp; "'!LEV_" &amp; A165)</f>
        <v>#REF!</v>
      </c>
      <c r="H165" s="73" t="e">
        <f ca="1">VLOOKUP(G165,C166:D171,2,0)</f>
        <v>#REF!</v>
      </c>
      <c r="I165" t="e">
        <f ca="1">H165</f>
        <v>#REF!</v>
      </c>
      <c r="J165" t="e">
        <f ca="1">I165/E165</f>
        <v>#REF!</v>
      </c>
    </row>
    <row r="166" spans="1:10">
      <c r="C166" s="34" t="s">
        <v>638</v>
      </c>
      <c r="D166">
        <v>0</v>
      </c>
    </row>
    <row r="167" spans="1:10">
      <c r="C167" s="34" t="s">
        <v>639</v>
      </c>
      <c r="D167">
        <v>1</v>
      </c>
    </row>
    <row r="168" spans="1:10">
      <c r="C168" s="34" t="s">
        <v>640</v>
      </c>
      <c r="D168" s="47">
        <v>2</v>
      </c>
    </row>
    <row r="169" spans="1:10">
      <c r="C169" s="34" t="s">
        <v>641</v>
      </c>
      <c r="D169" s="47">
        <v>3</v>
      </c>
    </row>
    <row r="170" spans="1:10">
      <c r="C170" s="34" t="s">
        <v>642</v>
      </c>
      <c r="D170" s="47">
        <v>4</v>
      </c>
    </row>
    <row r="171" spans="1:10">
      <c r="C171" s="34" t="s">
        <v>643</v>
      </c>
      <c r="D171" s="47">
        <v>3</v>
      </c>
    </row>
    <row r="172" spans="1:10" ht="30">
      <c r="A172" s="54" t="s">
        <v>644</v>
      </c>
      <c r="B172" s="123" t="s">
        <v>645</v>
      </c>
      <c r="E172">
        <v>1</v>
      </c>
      <c r="G172" s="47" t="e" cm="1">
        <f t="array" aca="1" ref="G172" ca="1">INDIRECT("'" &amp; SKJEMA_LEV &amp; "'!LEV_" &amp; A172)</f>
        <v>#REF!</v>
      </c>
      <c r="H172" s="73" t="e">
        <f ca="1">VLOOKUP(G172,C173:D174,2,0)</f>
        <v>#REF!</v>
      </c>
      <c r="I172" t="e">
        <f ca="1">H172</f>
        <v>#REF!</v>
      </c>
      <c r="J172" t="e">
        <f ca="1">I172/E172</f>
        <v>#REF!</v>
      </c>
    </row>
    <row r="173" spans="1:10">
      <c r="C173" s="34" t="s">
        <v>65</v>
      </c>
      <c r="D173">
        <v>1</v>
      </c>
    </row>
    <row r="174" spans="1:10">
      <c r="C174" s="34" t="s">
        <v>48</v>
      </c>
      <c r="D174">
        <v>0</v>
      </c>
    </row>
    <row r="175" spans="1:10" ht="45">
      <c r="A175" s="54" t="s">
        <v>646</v>
      </c>
      <c r="B175" s="123" t="s">
        <v>647</v>
      </c>
      <c r="C175" s="34"/>
      <c r="E175">
        <v>3</v>
      </c>
      <c r="G175" s="47" t="e" cm="1">
        <f t="array" aca="1" ref="G175" ca="1">INDIRECT("'" &amp; SKJEMA_LEV &amp; "'!LEV_" &amp; A175)</f>
        <v>#REF!</v>
      </c>
      <c r="H175" s="73" t="e">
        <f ca="1">VLOOKUP(G175,C176:D179,2,0)</f>
        <v>#REF!</v>
      </c>
      <c r="I175" t="e">
        <f ca="1">H175</f>
        <v>#REF!</v>
      </c>
      <c r="J175" t="e">
        <f ca="1">I175/E175</f>
        <v>#REF!</v>
      </c>
    </row>
    <row r="176" spans="1:10">
      <c r="C176" s="34" t="s">
        <v>65</v>
      </c>
      <c r="D176">
        <v>3</v>
      </c>
    </row>
    <row r="177" spans="1:10">
      <c r="C177" s="34" t="s">
        <v>648</v>
      </c>
      <c r="D177" s="47">
        <v>2</v>
      </c>
    </row>
    <row r="178" spans="1:10">
      <c r="C178" s="34" t="s">
        <v>649</v>
      </c>
      <c r="D178" s="47">
        <v>1</v>
      </c>
    </row>
    <row r="179" spans="1:10">
      <c r="C179" s="34" t="s">
        <v>48</v>
      </c>
      <c r="D179" s="47">
        <v>0</v>
      </c>
    </row>
    <row r="180" spans="1:10">
      <c r="A180" s="54" t="s">
        <v>650</v>
      </c>
      <c r="B180" s="126" t="s">
        <v>651</v>
      </c>
      <c r="E180">
        <v>3</v>
      </c>
      <c r="G180" s="47" t="e" cm="1">
        <f t="array" aca="1" ref="G180" ca="1">INDIRECT("'" &amp; SKJEMA_LEV &amp; "'!LEV_" &amp; A180)</f>
        <v>#REF!</v>
      </c>
      <c r="H180" s="73" t="e">
        <f ca="1">VLOOKUP(G180,C181:D184,2,0)</f>
        <v>#REF!</v>
      </c>
      <c r="I180" t="e">
        <f ca="1">H180</f>
        <v>#REF!</v>
      </c>
      <c r="J180" t="e">
        <f ca="1">I180/E180</f>
        <v>#REF!</v>
      </c>
    </row>
    <row r="181" spans="1:10">
      <c r="C181" s="34" t="s">
        <v>652</v>
      </c>
      <c r="D181">
        <v>3</v>
      </c>
    </row>
    <row r="182" spans="1:10">
      <c r="C182" s="34" t="s">
        <v>653</v>
      </c>
      <c r="D182" s="47">
        <v>2</v>
      </c>
    </row>
    <row r="183" spans="1:10">
      <c r="C183" s="34" t="s">
        <v>211</v>
      </c>
      <c r="D183" s="47">
        <v>1</v>
      </c>
    </row>
    <row r="184" spans="1:10">
      <c r="C184" s="34" t="s">
        <v>136</v>
      </c>
      <c r="D184" s="47">
        <v>0</v>
      </c>
    </row>
    <row r="185" spans="1:10">
      <c r="A185" t="s">
        <v>654</v>
      </c>
      <c r="B185" s="71" t="s">
        <v>655</v>
      </c>
      <c r="E185">
        <v>3</v>
      </c>
      <c r="G185" s="47" t="e" cm="1">
        <f t="array" aca="1" ref="G185" ca="1">INDIRECT("'" &amp; SKJEMA_LEV &amp; "'!LEV_" &amp; A185)</f>
        <v>#REF!</v>
      </c>
      <c r="H185" s="73" t="e">
        <f ca="1">VLOOKUP(G185,C186:D189,2,0)</f>
        <v>#REF!</v>
      </c>
      <c r="I185" t="e">
        <f ca="1">H185</f>
        <v>#REF!</v>
      </c>
      <c r="J185" t="e">
        <f ca="1">I185/E185</f>
        <v>#REF!</v>
      </c>
    </row>
    <row r="186" spans="1:10">
      <c r="C186" s="34" t="s">
        <v>652</v>
      </c>
      <c r="D186">
        <v>3</v>
      </c>
    </row>
    <row r="187" spans="1:10">
      <c r="C187" s="34" t="s">
        <v>653</v>
      </c>
      <c r="D187" s="47">
        <v>2</v>
      </c>
    </row>
    <row r="188" spans="1:10">
      <c r="C188" s="34" t="s">
        <v>211</v>
      </c>
      <c r="D188" s="47">
        <v>1</v>
      </c>
    </row>
    <row r="189" spans="1:10">
      <c r="C189" s="34" t="s">
        <v>136</v>
      </c>
      <c r="D189" s="47">
        <v>0</v>
      </c>
    </row>
    <row r="190" spans="1:10" ht="30">
      <c r="A190" s="120" t="s">
        <v>656</v>
      </c>
      <c r="B190" s="121" t="s">
        <v>657</v>
      </c>
      <c r="C190" s="34"/>
      <c r="D190" s="47"/>
      <c r="E190">
        <v>2</v>
      </c>
      <c r="G190" s="47" t="e" cm="1">
        <f t="array" aca="1" ref="G190" ca="1">INDIRECT("'" &amp; SKJEMA_LEV &amp; "'!LEV_" &amp; A190)</f>
        <v>#REF!</v>
      </c>
      <c r="H190" s="73" t="e">
        <f ca="1">VLOOKUP(G190,C191:D194,2,0)</f>
        <v>#REF!</v>
      </c>
      <c r="I190" t="e">
        <f ca="1">H190</f>
        <v>#REF!</v>
      </c>
      <c r="J190" t="e">
        <f ca="1">I190/E190</f>
        <v>#REF!</v>
      </c>
    </row>
    <row r="191" spans="1:10">
      <c r="C191" s="34" t="s">
        <v>65</v>
      </c>
      <c r="D191" s="47">
        <v>2</v>
      </c>
    </row>
    <row r="192" spans="1:10">
      <c r="C192" s="34" t="s">
        <v>48</v>
      </c>
      <c r="D192" s="47">
        <v>0</v>
      </c>
    </row>
    <row r="193" spans="1:10">
      <c r="C193" s="34" t="s">
        <v>141</v>
      </c>
      <c r="D193" s="47">
        <v>1</v>
      </c>
    </row>
    <row r="194" spans="1:10">
      <c r="C194" s="34"/>
      <c r="D194" s="47"/>
    </row>
    <row r="195" spans="1:10">
      <c r="C195" s="34"/>
      <c r="D195" s="47"/>
    </row>
    <row r="196" spans="1:10">
      <c r="A196" s="57" t="s">
        <v>658</v>
      </c>
      <c r="B196" s="62" t="s">
        <v>659</v>
      </c>
    </row>
    <row r="197" spans="1:10" ht="45">
      <c r="A197" s="54" t="s">
        <v>660</v>
      </c>
      <c r="B197" s="123" t="s">
        <v>661</v>
      </c>
      <c r="E197">
        <v>3</v>
      </c>
      <c r="G197" s="47" t="e" cm="1">
        <f t="array" aca="1" ref="G197" ca="1">INDIRECT("'" &amp; SKJEMA_LEV &amp; "'!LEV_" &amp; A197)</f>
        <v>#REF!</v>
      </c>
      <c r="H197" s="73" t="e">
        <f ca="1">VLOOKUP(G197,C198:D201,2,0)</f>
        <v>#REF!</v>
      </c>
      <c r="I197" t="e">
        <f ca="1">H197</f>
        <v>#REF!</v>
      </c>
      <c r="J197" t="e">
        <f ca="1">I197/E197</f>
        <v>#REF!</v>
      </c>
    </row>
    <row r="198" spans="1:10">
      <c r="C198" s="34" t="s">
        <v>65</v>
      </c>
      <c r="D198">
        <v>3</v>
      </c>
    </row>
    <row r="199" spans="1:10">
      <c r="C199" s="34" t="s">
        <v>662</v>
      </c>
      <c r="D199" s="47">
        <v>2</v>
      </c>
    </row>
    <row r="200" spans="1:10">
      <c r="C200" s="34" t="s">
        <v>663</v>
      </c>
      <c r="D200" s="47">
        <v>1</v>
      </c>
    </row>
    <row r="201" spans="1:10">
      <c r="C201" s="34" t="s">
        <v>48</v>
      </c>
      <c r="D201" s="47">
        <v>0</v>
      </c>
    </row>
    <row r="202" spans="1:10">
      <c r="A202" s="54" t="s">
        <v>664</v>
      </c>
      <c r="B202" s="123" t="s">
        <v>665</v>
      </c>
      <c r="E202">
        <v>3</v>
      </c>
      <c r="G202" s="47" t="e" cm="1">
        <f t="array" aca="1" ref="G202" ca="1">INDIRECT("'" &amp; SKJEMA_LEV &amp; "'!LEV_" &amp; A202)</f>
        <v>#REF!</v>
      </c>
      <c r="H202" s="73" t="e">
        <f ca="1">VLOOKUP(G202,C203:D206,2,0)</f>
        <v>#REF!</v>
      </c>
      <c r="I202" t="e">
        <f ca="1">H202</f>
        <v>#REF!</v>
      </c>
      <c r="J202" t="e">
        <f ca="1">I202/E202</f>
        <v>#REF!</v>
      </c>
    </row>
    <row r="203" spans="1:10">
      <c r="C203" s="34" t="s">
        <v>65</v>
      </c>
      <c r="D203">
        <v>3</v>
      </c>
    </row>
    <row r="204" spans="1:10">
      <c r="C204" s="34" t="s">
        <v>666</v>
      </c>
      <c r="D204" s="47">
        <v>2</v>
      </c>
    </row>
    <row r="205" spans="1:10">
      <c r="C205" s="34" t="s">
        <v>667</v>
      </c>
      <c r="D205" s="47">
        <v>1</v>
      </c>
    </row>
    <row r="206" spans="1:10">
      <c r="C206" s="34" t="s">
        <v>48</v>
      </c>
      <c r="D206" s="47">
        <v>0</v>
      </c>
    </row>
    <row r="207" spans="1:10" ht="30">
      <c r="A207" s="54" t="s">
        <v>668</v>
      </c>
      <c r="B207" s="127" t="s">
        <v>669</v>
      </c>
      <c r="E207">
        <v>3</v>
      </c>
      <c r="G207" s="47" t="e" cm="1">
        <f t="array" aca="1" ref="G207" ca="1">INDIRECT("'" &amp; SKJEMA_LEV &amp; "'!LEV_" &amp; A207)</f>
        <v>#REF!</v>
      </c>
      <c r="H207" s="73" t="e">
        <f ca="1">VLOOKUP(G207,C208:D212,2,0)</f>
        <v>#REF!</v>
      </c>
      <c r="I207" t="e">
        <f ca="1">H207</f>
        <v>#REF!</v>
      </c>
      <c r="J207" t="e">
        <f ca="1">I207/E207</f>
        <v>#REF!</v>
      </c>
    </row>
    <row r="208" spans="1:10">
      <c r="C208" s="34" t="s">
        <v>670</v>
      </c>
      <c r="D208">
        <v>3</v>
      </c>
    </row>
    <row r="209" spans="1:10">
      <c r="C209" s="34" t="s">
        <v>671</v>
      </c>
      <c r="D209" s="47">
        <v>2</v>
      </c>
    </row>
    <row r="210" spans="1:10">
      <c r="C210" s="34" t="s">
        <v>141</v>
      </c>
      <c r="D210" s="47">
        <v>1</v>
      </c>
    </row>
    <row r="211" spans="1:10">
      <c r="C211" s="34" t="s">
        <v>48</v>
      </c>
      <c r="D211" s="47">
        <v>0</v>
      </c>
    </row>
    <row r="212" spans="1:10">
      <c r="C212" s="34" t="s">
        <v>136</v>
      </c>
      <c r="D212">
        <v>0</v>
      </c>
    </row>
    <row r="213" spans="1:10">
      <c r="A213" s="57" t="s">
        <v>672</v>
      </c>
      <c r="B213" s="62" t="s">
        <v>484</v>
      </c>
    </row>
    <row r="214" spans="1:10" ht="30">
      <c r="A214" s="54" t="s">
        <v>673</v>
      </c>
      <c r="B214" s="123" t="s">
        <v>674</v>
      </c>
      <c r="E214">
        <v>2</v>
      </c>
      <c r="G214" s="47" t="e" cm="1">
        <f t="array" aca="1" ref="G214" ca="1">INDIRECT("'" &amp; SKJEMA_LEV &amp; "'!LEV_" &amp; A214)</f>
        <v>#REF!</v>
      </c>
      <c r="H214" s="73" t="e">
        <f ca="1">VLOOKUP(G214,C215:D218,2,0)</f>
        <v>#REF!</v>
      </c>
      <c r="I214" t="e">
        <f ca="1">H214</f>
        <v>#REF!</v>
      </c>
      <c r="J214" t="e">
        <f ca="1">I214/E214</f>
        <v>#REF!</v>
      </c>
    </row>
    <row r="215" spans="1:10">
      <c r="C215" s="34" t="s">
        <v>65</v>
      </c>
      <c r="D215" s="47">
        <v>2</v>
      </c>
    </row>
    <row r="216" spans="1:10">
      <c r="C216" s="34" t="s">
        <v>141</v>
      </c>
      <c r="D216" s="47">
        <v>1</v>
      </c>
    </row>
    <row r="217" spans="1:10">
      <c r="C217" s="34" t="s">
        <v>48</v>
      </c>
      <c r="D217" s="47">
        <v>0</v>
      </c>
    </row>
    <row r="218" spans="1:10">
      <c r="A218" s="57" t="s">
        <v>675</v>
      </c>
      <c r="B218" s="62" t="s">
        <v>676</v>
      </c>
    </row>
    <row r="219" spans="1:10" ht="45">
      <c r="A219" s="54" t="s">
        <v>677</v>
      </c>
      <c r="B219" s="123" t="s">
        <v>678</v>
      </c>
      <c r="C219" s="34"/>
      <c r="E219">
        <v>2</v>
      </c>
      <c r="G219" s="47" t="e" cm="1">
        <f t="array" aca="1" ref="G219" ca="1">INDIRECT("'" &amp; SKJEMA_LEV &amp; "'!LEV_" &amp; A219)</f>
        <v>#REF!</v>
      </c>
      <c r="H219" s="73" t="e">
        <f ca="1">VLOOKUP(G219,C220:D223,2,0)</f>
        <v>#REF!</v>
      </c>
      <c r="I219" t="e">
        <f ca="1">H219</f>
        <v>#REF!</v>
      </c>
      <c r="J219" t="e">
        <f ca="1">I219/E219</f>
        <v>#REF!</v>
      </c>
    </row>
    <row r="220" spans="1:10">
      <c r="C220" s="34" t="s">
        <v>65</v>
      </c>
      <c r="D220" s="47">
        <v>2</v>
      </c>
    </row>
    <row r="221" spans="1:10">
      <c r="C221" s="34" t="s">
        <v>141</v>
      </c>
      <c r="D221" s="47">
        <v>1</v>
      </c>
    </row>
    <row r="222" spans="1:10">
      <c r="C222" s="34" t="s">
        <v>48</v>
      </c>
      <c r="D222" s="47">
        <v>0</v>
      </c>
    </row>
    <row r="223" spans="1:10" ht="30">
      <c r="A223" s="54" t="s">
        <v>679</v>
      </c>
      <c r="B223" s="123" t="s">
        <v>680</v>
      </c>
      <c r="E223">
        <v>3</v>
      </c>
      <c r="G223" s="47" t="e" cm="1">
        <f t="array" aca="1" ref="G223" ca="1">INDIRECT("'" &amp; SKJEMA_LEV &amp; "'!LEV_" &amp; A223)</f>
        <v>#REF!</v>
      </c>
      <c r="H223" s="73" t="e">
        <f ca="1">VLOOKUP(G223,C224:D227,2,0)</f>
        <v>#REF!</v>
      </c>
      <c r="I223" t="e">
        <f ca="1">H223</f>
        <v>#REF!</v>
      </c>
      <c r="J223" t="e">
        <f ca="1">I223/E223</f>
        <v>#REF!</v>
      </c>
    </row>
    <row r="224" spans="1:10">
      <c r="C224" s="34" t="s">
        <v>681</v>
      </c>
      <c r="D224">
        <v>3</v>
      </c>
    </row>
    <row r="225" spans="1:10">
      <c r="C225" s="34" t="s">
        <v>682</v>
      </c>
      <c r="D225" s="47">
        <v>2</v>
      </c>
    </row>
    <row r="226" spans="1:10">
      <c r="C226" s="34" t="s">
        <v>500</v>
      </c>
      <c r="D226" s="47">
        <v>1</v>
      </c>
    </row>
    <row r="227" spans="1:10">
      <c r="C227" s="34" t="s">
        <v>683</v>
      </c>
      <c r="D227" s="47">
        <v>0</v>
      </c>
    </row>
    <row r="228" spans="1:10">
      <c r="A228" s="57" t="s">
        <v>684</v>
      </c>
      <c r="B228" s="62" t="s">
        <v>685</v>
      </c>
    </row>
    <row r="229" spans="1:10" ht="45">
      <c r="A229" s="54" t="s">
        <v>686</v>
      </c>
      <c r="B229" s="123" t="s">
        <v>687</v>
      </c>
      <c r="E229">
        <v>3</v>
      </c>
      <c r="G229" s="47" t="e" cm="1">
        <f t="array" aca="1" ref="G229" ca="1">INDIRECT("'" &amp; SKJEMA_LEV &amp; "'!LEV_" &amp; A229)</f>
        <v>#REF!</v>
      </c>
      <c r="H229" s="73" t="e">
        <f ca="1">VLOOKUP(G229,C230:D233,2,0)</f>
        <v>#REF!</v>
      </c>
      <c r="I229" t="e">
        <f ca="1">H229</f>
        <v>#REF!</v>
      </c>
      <c r="J229" t="e">
        <f ca="1">I229/E229</f>
        <v>#REF!</v>
      </c>
    </row>
    <row r="230" spans="1:10">
      <c r="C230" s="34" t="s">
        <v>65</v>
      </c>
      <c r="D230">
        <v>3</v>
      </c>
    </row>
    <row r="231" spans="1:10">
      <c r="C231" s="34" t="s">
        <v>688</v>
      </c>
      <c r="D231" s="47">
        <v>2</v>
      </c>
    </row>
    <row r="232" spans="1:10">
      <c r="C232" s="34" t="s">
        <v>141</v>
      </c>
      <c r="D232" s="47">
        <v>1</v>
      </c>
    </row>
    <row r="233" spans="1:10">
      <c r="C233" s="34" t="s">
        <v>48</v>
      </c>
      <c r="D233" s="47">
        <v>0</v>
      </c>
    </row>
    <row r="234" spans="1:10">
      <c r="A234" s="57" t="s">
        <v>689</v>
      </c>
      <c r="B234" s="62" t="s">
        <v>690</v>
      </c>
    </row>
    <row r="235" spans="1:10" ht="30">
      <c r="A235" s="54" t="s">
        <v>691</v>
      </c>
      <c r="B235" s="123" t="s">
        <v>692</v>
      </c>
      <c r="E235">
        <v>2</v>
      </c>
      <c r="G235" s="47" t="e" cm="1">
        <f t="array" aca="1" ref="G235" ca="1">INDIRECT("'" &amp; SKJEMA_LEV &amp; "'!LEV_" &amp; A235)</f>
        <v>#REF!</v>
      </c>
      <c r="H235" s="73" t="e">
        <f ca="1">VLOOKUP(G235,C236:D239,2,0)</f>
        <v>#REF!</v>
      </c>
      <c r="I235" t="e">
        <f ca="1">H235</f>
        <v>#REF!</v>
      </c>
      <c r="J235" t="e">
        <f ca="1">I235/E235</f>
        <v>#REF!</v>
      </c>
    </row>
    <row r="236" spans="1:10">
      <c r="C236" s="34" t="s">
        <v>65</v>
      </c>
      <c r="D236" s="47">
        <v>2</v>
      </c>
    </row>
    <row r="237" spans="1:10">
      <c r="C237" s="34" t="s">
        <v>141</v>
      </c>
      <c r="D237" s="47">
        <v>1</v>
      </c>
    </row>
    <row r="238" spans="1:10">
      <c r="C238" s="34" t="s">
        <v>48</v>
      </c>
      <c r="D238" s="47">
        <v>0</v>
      </c>
    </row>
    <row r="239" spans="1:10">
      <c r="A239" s="54" t="s">
        <v>693</v>
      </c>
      <c r="B239" s="123" t="s">
        <v>694</v>
      </c>
      <c r="E239">
        <v>3</v>
      </c>
      <c r="G239" s="47" t="e" cm="1">
        <f t="array" aca="1" ref="G239" ca="1">INDIRECT("'" &amp; SKJEMA_LEV &amp; "'!LEV_" &amp; A239)</f>
        <v>#REF!</v>
      </c>
      <c r="H239" s="73" t="e">
        <f ca="1">VLOOKUP(G239,C240:D243,2,0)</f>
        <v>#REF!</v>
      </c>
      <c r="I239" t="e">
        <f ca="1">H239</f>
        <v>#REF!</v>
      </c>
      <c r="J239" t="e">
        <f ca="1">I239/E239</f>
        <v>#REF!</v>
      </c>
    </row>
    <row r="240" spans="1:10">
      <c r="C240" s="34" t="s">
        <v>695</v>
      </c>
      <c r="D240">
        <v>3</v>
      </c>
    </row>
    <row r="241" spans="1:10">
      <c r="C241" s="34" t="s">
        <v>65</v>
      </c>
      <c r="D241" s="47">
        <v>2</v>
      </c>
    </row>
    <row r="242" spans="1:10">
      <c r="C242" s="34" t="s">
        <v>141</v>
      </c>
      <c r="D242" s="47">
        <v>1</v>
      </c>
    </row>
    <row r="243" spans="1:10">
      <c r="C243" s="34" t="s">
        <v>48</v>
      </c>
      <c r="D243" s="47">
        <v>0</v>
      </c>
    </row>
    <row r="244" spans="1:10" ht="30">
      <c r="A244" s="54" t="s">
        <v>696</v>
      </c>
      <c r="B244" s="123" t="s">
        <v>697</v>
      </c>
      <c r="E244">
        <v>3</v>
      </c>
      <c r="G244" s="47" t="e" cm="1">
        <f t="array" aca="1" ref="G244" ca="1">INDIRECT("'" &amp; SKJEMA_LEV &amp; "'!LEV_" &amp; A244)</f>
        <v>#REF!</v>
      </c>
      <c r="H244" s="73" t="e">
        <f ca="1">VLOOKUP(G244,C245:D248,2,0)</f>
        <v>#REF!</v>
      </c>
      <c r="I244" t="e">
        <f ca="1">H244</f>
        <v>#REF!</v>
      </c>
      <c r="J244" t="e">
        <f ca="1">I244/E244</f>
        <v>#REF!</v>
      </c>
    </row>
    <row r="245" spans="1:10">
      <c r="C245" s="34" t="s">
        <v>65</v>
      </c>
      <c r="D245">
        <v>3</v>
      </c>
    </row>
    <row r="246" spans="1:10">
      <c r="C246" s="34" t="s">
        <v>698</v>
      </c>
      <c r="D246" s="47">
        <v>2</v>
      </c>
    </row>
    <row r="247" spans="1:10">
      <c r="C247" s="34" t="s">
        <v>141</v>
      </c>
      <c r="D247" s="47">
        <v>1</v>
      </c>
    </row>
    <row r="248" spans="1:10">
      <c r="C248" s="34" t="s">
        <v>48</v>
      </c>
      <c r="D248" s="47">
        <v>0</v>
      </c>
    </row>
    <row r="249" spans="1:10" ht="30">
      <c r="A249" s="54" t="s">
        <v>699</v>
      </c>
      <c r="B249" s="127" t="s">
        <v>700</v>
      </c>
      <c r="E249">
        <v>2</v>
      </c>
      <c r="G249" s="47" t="e" cm="1">
        <f t="array" aca="1" ref="G249" ca="1">INDIRECT("'" &amp; SKJEMA_LEV &amp; "'!LEV_" &amp; A249)</f>
        <v>#REF!</v>
      </c>
      <c r="H249" s="73" t="e">
        <f ca="1">VLOOKUP(G249,C250:D253,2,0)</f>
        <v>#REF!</v>
      </c>
      <c r="I249" t="e">
        <f ca="1">H249</f>
        <v>#REF!</v>
      </c>
      <c r="J249" t="e">
        <f ca="1">I249/E249</f>
        <v>#REF!</v>
      </c>
    </row>
    <row r="250" spans="1:10">
      <c r="C250" s="34" t="s">
        <v>65</v>
      </c>
      <c r="D250" s="47">
        <v>2</v>
      </c>
    </row>
    <row r="251" spans="1:10">
      <c r="C251" s="34" t="s">
        <v>701</v>
      </c>
      <c r="D251" s="47">
        <v>1</v>
      </c>
    </row>
    <row r="252" spans="1:10">
      <c r="C252" s="34" t="s">
        <v>48</v>
      </c>
      <c r="D252" s="47">
        <v>0</v>
      </c>
    </row>
    <row r="253" spans="1:10" ht="45">
      <c r="A253" s="54" t="s">
        <v>702</v>
      </c>
      <c r="B253" s="127" t="s">
        <v>703</v>
      </c>
      <c r="E253">
        <v>3</v>
      </c>
      <c r="G253" s="47" t="e" cm="1">
        <f t="array" aca="1" ref="G253" ca="1">INDIRECT("'" &amp; SKJEMA_LEV &amp; "'!LEV_" &amp; A253)</f>
        <v>#REF!</v>
      </c>
      <c r="H253" s="73" t="e">
        <f ca="1">VLOOKUP(G253,C254:D257,2,0)</f>
        <v>#REF!</v>
      </c>
      <c r="I253" t="e">
        <f ca="1">H253</f>
        <v>#REF!</v>
      </c>
      <c r="J253" t="e">
        <f ca="1">I253/E253</f>
        <v>#REF!</v>
      </c>
    </row>
    <row r="254" spans="1:10">
      <c r="C254" s="34" t="s">
        <v>704</v>
      </c>
      <c r="D254">
        <v>3</v>
      </c>
    </row>
    <row r="255" spans="1:10">
      <c r="C255" s="34" t="s">
        <v>65</v>
      </c>
      <c r="D255" s="47">
        <v>2</v>
      </c>
    </row>
    <row r="256" spans="1:10">
      <c r="C256" s="34" t="s">
        <v>705</v>
      </c>
      <c r="D256" s="47">
        <v>1</v>
      </c>
    </row>
    <row r="257" spans="1:10">
      <c r="C257" s="34" t="s">
        <v>48</v>
      </c>
      <c r="D257" s="47">
        <v>0</v>
      </c>
    </row>
    <row r="258" spans="1:10">
      <c r="A258" s="57" t="s">
        <v>706</v>
      </c>
      <c r="B258" s="62" t="s">
        <v>707</v>
      </c>
    </row>
    <row r="259" spans="1:10" ht="30">
      <c r="A259" s="54" t="s">
        <v>708</v>
      </c>
      <c r="B259" s="123" t="s">
        <v>709</v>
      </c>
      <c r="E259">
        <v>3</v>
      </c>
      <c r="G259" s="47" t="e" cm="1">
        <f t="array" aca="1" ref="G259" ca="1">INDIRECT("'" &amp; SKJEMA_LEV &amp; "'!LEV_" &amp; A259)</f>
        <v>#REF!</v>
      </c>
      <c r="H259" s="73" t="e">
        <f ca="1">VLOOKUP(G259,C260:D263,2,0)</f>
        <v>#REF!</v>
      </c>
      <c r="I259" t="e">
        <f ca="1">H259</f>
        <v>#REF!</v>
      </c>
      <c r="J259" t="e">
        <f ca="1">I259/E259</f>
        <v>#REF!</v>
      </c>
    </row>
    <row r="260" spans="1:10">
      <c r="C260" s="34" t="s">
        <v>710</v>
      </c>
      <c r="D260">
        <v>3</v>
      </c>
    </row>
    <row r="261" spans="1:10">
      <c r="C261" s="34" t="s">
        <v>711</v>
      </c>
      <c r="D261" s="47">
        <v>2</v>
      </c>
    </row>
    <row r="262" spans="1:10">
      <c r="C262" s="34" t="s">
        <v>712</v>
      </c>
      <c r="D262" s="47">
        <v>1</v>
      </c>
    </row>
    <row r="263" spans="1:10">
      <c r="C263" s="34" t="s">
        <v>48</v>
      </c>
      <c r="D263" s="47">
        <v>0</v>
      </c>
    </row>
    <row r="264" spans="1:10">
      <c r="A264" s="54" t="s">
        <v>713</v>
      </c>
      <c r="B264" s="127" t="s">
        <v>714</v>
      </c>
      <c r="E264">
        <v>3</v>
      </c>
      <c r="G264" s="47" t="e" cm="1">
        <f t="array" aca="1" ref="G264" ca="1">INDIRECT("'" &amp; SKJEMA_LEV &amp; "'!LEV_" &amp; A264)</f>
        <v>#REF!</v>
      </c>
      <c r="H264" s="73" t="e">
        <f ca="1">VLOOKUP(G264,C265:D268,2,0)</f>
        <v>#REF!</v>
      </c>
      <c r="I264" t="e">
        <f ca="1">H264</f>
        <v>#REF!</v>
      </c>
      <c r="J264" t="e">
        <f ca="1">I264/E264</f>
        <v>#REF!</v>
      </c>
    </row>
    <row r="265" spans="1:10">
      <c r="C265" s="34" t="s">
        <v>715</v>
      </c>
      <c r="D265">
        <v>3</v>
      </c>
    </row>
    <row r="266" spans="1:10">
      <c r="C266" s="34" t="s">
        <v>716</v>
      </c>
      <c r="D266" s="47">
        <v>2</v>
      </c>
    </row>
    <row r="267" spans="1:10">
      <c r="C267" s="34" t="s">
        <v>141</v>
      </c>
      <c r="D267" s="47">
        <v>1</v>
      </c>
    </row>
    <row r="268" spans="1:10">
      <c r="C268" s="34" t="s">
        <v>77</v>
      </c>
      <c r="D268" s="47">
        <v>0</v>
      </c>
    </row>
    <row r="269" spans="1:10" ht="30">
      <c r="A269" s="54" t="s">
        <v>717</v>
      </c>
      <c r="B269" s="127" t="s">
        <v>718</v>
      </c>
      <c r="E269">
        <v>5</v>
      </c>
      <c r="G269" s="47" t="e" cm="1">
        <f t="array" aca="1" ref="G269" ca="1">INDIRECT("'" &amp; SKJEMA_LEV &amp; "'!LEV_" &amp; A269)</f>
        <v>#REF!</v>
      </c>
      <c r="H269" s="73" t="e">
        <f ca="1">VLOOKUP(G269,C270:D275,2,0)</f>
        <v>#REF!</v>
      </c>
      <c r="I269" t="e">
        <f ca="1">H269</f>
        <v>#REF!</v>
      </c>
      <c r="J269" t="e">
        <f ca="1">I269/E269</f>
        <v>#REF!</v>
      </c>
    </row>
    <row r="270" spans="1:10">
      <c r="C270" s="34" t="s">
        <v>719</v>
      </c>
      <c r="D270">
        <v>5</v>
      </c>
    </row>
    <row r="271" spans="1:10">
      <c r="C271" s="34" t="s">
        <v>720</v>
      </c>
      <c r="D271">
        <v>4</v>
      </c>
    </row>
    <row r="272" spans="1:10">
      <c r="C272" s="34" t="s">
        <v>721</v>
      </c>
      <c r="D272">
        <v>3</v>
      </c>
    </row>
    <row r="273" spans="1:10">
      <c r="C273" s="34" t="s">
        <v>141</v>
      </c>
      <c r="D273" s="47">
        <v>2</v>
      </c>
    </row>
    <row r="274" spans="1:10">
      <c r="C274" s="34" t="s">
        <v>48</v>
      </c>
      <c r="D274" s="47">
        <v>1</v>
      </c>
    </row>
    <row r="275" spans="1:10">
      <c r="C275" s="34" t="s">
        <v>136</v>
      </c>
      <c r="D275" s="47">
        <v>0</v>
      </c>
    </row>
    <row r="276" spans="1:10" ht="45">
      <c r="A276" s="54" t="s">
        <v>722</v>
      </c>
      <c r="B276" s="123" t="s">
        <v>723</v>
      </c>
      <c r="E276">
        <v>4</v>
      </c>
      <c r="G276" s="47" t="e" cm="1">
        <f t="array" aca="1" ref="G276" ca="1">INDIRECT("'" &amp; SKJEMA_LEV &amp; "'!LEV_" &amp; A276)</f>
        <v>#REF!</v>
      </c>
      <c r="H276" s="73" t="e">
        <f ca="1">VLOOKUP(G276,C277:D281,2,0)</f>
        <v>#REF!</v>
      </c>
      <c r="I276" t="e">
        <f ca="1">H276</f>
        <v>#REF!</v>
      </c>
      <c r="J276" t="e">
        <f ca="1">I276/E276</f>
        <v>#REF!</v>
      </c>
    </row>
    <row r="277" spans="1:10">
      <c r="C277" s="34" t="s">
        <v>724</v>
      </c>
      <c r="D277">
        <v>4</v>
      </c>
    </row>
    <row r="278" spans="1:10">
      <c r="C278" s="34" t="s">
        <v>725</v>
      </c>
      <c r="D278">
        <v>3</v>
      </c>
    </row>
    <row r="279" spans="1:10">
      <c r="C279" s="34" t="s">
        <v>726</v>
      </c>
      <c r="D279" s="47">
        <v>2</v>
      </c>
    </row>
    <row r="280" spans="1:10">
      <c r="C280" s="34" t="s">
        <v>727</v>
      </c>
      <c r="D280" s="47">
        <v>1</v>
      </c>
    </row>
    <row r="281" spans="1:10">
      <c r="C281" s="34" t="s">
        <v>728</v>
      </c>
      <c r="D281" s="47">
        <v>0</v>
      </c>
    </row>
    <row r="282" spans="1:10" ht="30">
      <c r="A282" s="54" t="s">
        <v>729</v>
      </c>
      <c r="B282" s="123" t="s">
        <v>730</v>
      </c>
      <c r="E282">
        <v>3</v>
      </c>
      <c r="G282" s="47" t="e" cm="1">
        <f t="array" aca="1" ref="G282" ca="1">INDIRECT("'" &amp; SKJEMA_LEV &amp; "'!LEV_" &amp; A282)</f>
        <v>#REF!</v>
      </c>
      <c r="H282" s="73" t="e">
        <f ca="1">VLOOKUP(G282,C283:D286,2,0)</f>
        <v>#REF!</v>
      </c>
      <c r="I282" t="e">
        <f ca="1">H282</f>
        <v>#REF!</v>
      </c>
      <c r="J282" t="e">
        <f ca="1">I282/E282</f>
        <v>#REF!</v>
      </c>
    </row>
    <row r="283" spans="1:10">
      <c r="C283" s="34" t="s">
        <v>731</v>
      </c>
      <c r="D283">
        <v>3</v>
      </c>
    </row>
    <row r="284" spans="1:10">
      <c r="C284" s="34" t="s">
        <v>732</v>
      </c>
      <c r="D284" s="47">
        <v>2</v>
      </c>
    </row>
    <row r="285" spans="1:10">
      <c r="C285" s="34" t="s">
        <v>733</v>
      </c>
      <c r="D285" s="47">
        <v>1</v>
      </c>
    </row>
    <row r="286" spans="1:10">
      <c r="C286" s="34" t="s">
        <v>734</v>
      </c>
      <c r="D286" s="47">
        <v>0</v>
      </c>
    </row>
    <row r="287" spans="1:10">
      <c r="A287" s="57" t="s">
        <v>735</v>
      </c>
      <c r="B287" s="62" t="s">
        <v>493</v>
      </c>
    </row>
    <row r="288" spans="1:10" ht="45">
      <c r="A288" s="54" t="s">
        <v>736</v>
      </c>
      <c r="B288" s="123" t="s">
        <v>737</v>
      </c>
      <c r="E288">
        <v>3</v>
      </c>
      <c r="G288" s="47" t="e" cm="1">
        <f t="array" aca="1" ref="G288" ca="1">INDIRECT("'" &amp; SKJEMA_LEV &amp; "'!LEV_" &amp; A288)</f>
        <v>#REF!</v>
      </c>
      <c r="H288" s="73" t="e">
        <f ca="1">VLOOKUP(G288,C289:D292,2,0)</f>
        <v>#REF!</v>
      </c>
      <c r="I288" t="e">
        <f ca="1">H288</f>
        <v>#REF!</v>
      </c>
      <c r="J288" t="e">
        <f ca="1">I288/E288</f>
        <v>#REF!</v>
      </c>
    </row>
    <row r="289" spans="1:10">
      <c r="C289" s="34" t="s">
        <v>65</v>
      </c>
      <c r="D289">
        <v>3</v>
      </c>
    </row>
    <row r="290" spans="1:10">
      <c r="C290" s="34" t="s">
        <v>738</v>
      </c>
      <c r="D290" s="47">
        <v>2</v>
      </c>
    </row>
    <row r="291" spans="1:10">
      <c r="C291" s="34" t="s">
        <v>141</v>
      </c>
      <c r="D291" s="47">
        <v>1</v>
      </c>
    </row>
    <row r="292" spans="1:10">
      <c r="C292" s="34" t="s">
        <v>739</v>
      </c>
      <c r="D292" s="47">
        <v>0</v>
      </c>
    </row>
    <row r="293" spans="1:10">
      <c r="A293" s="57" t="s">
        <v>740</v>
      </c>
      <c r="B293" s="62" t="s">
        <v>495</v>
      </c>
      <c r="C293" s="34"/>
    </row>
    <row r="294" spans="1:10" ht="30">
      <c r="A294" s="54" t="s">
        <v>741</v>
      </c>
      <c r="B294" s="127" t="s">
        <v>742</v>
      </c>
      <c r="E294">
        <v>2</v>
      </c>
      <c r="G294" s="47" t="e" cm="1">
        <f t="array" aca="1" ref="G294" ca="1">INDIRECT("'" &amp; SKJEMA_LEV &amp; "'!LEV_" &amp; A294)</f>
        <v>#REF!</v>
      </c>
      <c r="H294" s="73" t="e">
        <f ca="1">VLOOKUP(G294,C295:D298,2,0)</f>
        <v>#REF!</v>
      </c>
      <c r="I294" t="e">
        <f ca="1">H294</f>
        <v>#REF!</v>
      </c>
      <c r="J294" t="e">
        <f ca="1">I294/E294</f>
        <v>#REF!</v>
      </c>
    </row>
    <row r="295" spans="1:10">
      <c r="C295" s="34" t="s">
        <v>65</v>
      </c>
      <c r="D295" s="47">
        <v>2</v>
      </c>
    </row>
    <row r="296" spans="1:10">
      <c r="C296" s="34" t="s">
        <v>141</v>
      </c>
      <c r="D296" s="47">
        <v>1</v>
      </c>
    </row>
    <row r="297" spans="1:10">
      <c r="C297" s="34" t="s">
        <v>739</v>
      </c>
      <c r="D297" s="47">
        <v>0</v>
      </c>
    </row>
    <row r="299" spans="1:10" ht="30">
      <c r="A299" s="54" t="s">
        <v>743</v>
      </c>
      <c r="B299" s="127" t="s">
        <v>744</v>
      </c>
      <c r="E299">
        <v>3</v>
      </c>
      <c r="G299" s="47" t="e" cm="1">
        <f t="array" aca="1" ref="G299" ca="1">INDIRECT("'" &amp; SKJEMA_LEV &amp; "'!LEV_" &amp; A299)</f>
        <v>#REF!</v>
      </c>
      <c r="H299" s="73" t="e">
        <f ca="1">VLOOKUP(G299,C300:D303,2,0)</f>
        <v>#REF!</v>
      </c>
      <c r="I299" t="e">
        <f ca="1">H299</f>
        <v>#REF!</v>
      </c>
      <c r="J299" t="e">
        <f ca="1">I299/E299</f>
        <v>#REF!</v>
      </c>
    </row>
    <row r="300" spans="1:10">
      <c r="C300" s="34" t="s">
        <v>65</v>
      </c>
      <c r="D300">
        <v>3</v>
      </c>
    </row>
    <row r="301" spans="1:10">
      <c r="C301" s="34" t="s">
        <v>141</v>
      </c>
      <c r="D301" s="47">
        <v>2</v>
      </c>
    </row>
    <row r="302" spans="1:10">
      <c r="C302" s="34" t="s">
        <v>745</v>
      </c>
      <c r="D302" s="47">
        <v>1</v>
      </c>
    </row>
    <row r="303" spans="1:10">
      <c r="C303" s="34" t="s">
        <v>48</v>
      </c>
      <c r="D303" s="47">
        <v>0</v>
      </c>
    </row>
    <row r="304" spans="1:10">
      <c r="A304" s="55" t="s">
        <v>746</v>
      </c>
      <c r="B304" s="68" t="s">
        <v>747</v>
      </c>
      <c r="C304" s="34"/>
      <c r="E304">
        <v>3</v>
      </c>
      <c r="G304" s="47" t="e" cm="1">
        <f t="array" aca="1" ref="G304" ca="1">INDIRECT("'" &amp; SKJEMA_LEV &amp; "'!LEV_" &amp; A304)</f>
        <v>#REF!</v>
      </c>
      <c r="H304" s="73" t="e">
        <f ca="1">VLOOKUP(G304,C305:D308,2,0)</f>
        <v>#REF!</v>
      </c>
      <c r="I304" t="e">
        <f ca="1">H304</f>
        <v>#REF!</v>
      </c>
      <c r="J304" t="e">
        <f ca="1">I304/E304</f>
        <v>#REF!</v>
      </c>
    </row>
    <row r="305" spans="1:10">
      <c r="C305" s="34" t="s">
        <v>748</v>
      </c>
      <c r="D305">
        <v>3</v>
      </c>
    </row>
    <row r="306" spans="1:10">
      <c r="C306" s="34" t="s">
        <v>749</v>
      </c>
      <c r="D306" s="47">
        <v>2</v>
      </c>
    </row>
    <row r="307" spans="1:10">
      <c r="C307" s="34" t="s">
        <v>750</v>
      </c>
      <c r="D307" s="47">
        <v>1</v>
      </c>
    </row>
    <row r="308" spans="1:10">
      <c r="C308" s="34" t="s">
        <v>77</v>
      </c>
      <c r="D308" s="47">
        <v>0</v>
      </c>
    </row>
    <row r="309" spans="1:10">
      <c r="A309" s="57" t="s">
        <v>751</v>
      </c>
      <c r="B309" s="62" t="s">
        <v>752</v>
      </c>
    </row>
    <row r="310" spans="1:10" ht="45">
      <c r="A310" s="54" t="s">
        <v>753</v>
      </c>
      <c r="B310" s="123" t="s">
        <v>754</v>
      </c>
      <c r="E310">
        <v>4</v>
      </c>
      <c r="G310" s="47" t="e" cm="1">
        <f t="array" aca="1" ref="G310" ca="1">INDIRECT("'" &amp; SKJEMA_LEV &amp; "'!LEV_" &amp; A310)</f>
        <v>#REF!</v>
      </c>
      <c r="H310" s="73" t="e">
        <f ca="1">VLOOKUP(G310,C311:D315,2,0)</f>
        <v>#REF!</v>
      </c>
      <c r="I310" t="e">
        <f ca="1">H310</f>
        <v>#REF!</v>
      </c>
      <c r="J310" t="e">
        <f ca="1">I310/E310</f>
        <v>#REF!</v>
      </c>
    </row>
    <row r="311" spans="1:10">
      <c r="C311" s="34" t="s">
        <v>755</v>
      </c>
      <c r="D311">
        <v>4</v>
      </c>
    </row>
    <row r="312" spans="1:10">
      <c r="C312" s="34" t="s">
        <v>756</v>
      </c>
      <c r="D312">
        <v>3</v>
      </c>
    </row>
    <row r="313" spans="1:10">
      <c r="C313" s="34" t="s">
        <v>757</v>
      </c>
      <c r="D313" s="47">
        <v>2</v>
      </c>
    </row>
    <row r="314" spans="1:10">
      <c r="C314" s="34" t="s">
        <v>77</v>
      </c>
      <c r="D314" s="47">
        <v>1</v>
      </c>
    </row>
    <row r="315" spans="1:10">
      <c r="C315" s="34" t="s">
        <v>136</v>
      </c>
      <c r="D315" s="47">
        <v>0</v>
      </c>
    </row>
    <row r="316" spans="1:10" ht="45">
      <c r="A316" s="54" t="s">
        <v>758</v>
      </c>
      <c r="B316" s="123" t="s">
        <v>759</v>
      </c>
      <c r="E316">
        <v>3</v>
      </c>
      <c r="G316" s="47" t="e" cm="1">
        <f t="array" aca="1" ref="G316" ca="1">INDIRECT("'" &amp; SKJEMA_LEV &amp; "'!LEV_" &amp; A316)</f>
        <v>#REF!</v>
      </c>
      <c r="H316" s="73" t="e">
        <f ca="1">VLOOKUP(G316,C317:D320,2,0)</f>
        <v>#REF!</v>
      </c>
      <c r="I316" t="e">
        <f ca="1">H316</f>
        <v>#REF!</v>
      </c>
      <c r="J316" t="e">
        <f ca="1">I316/E316</f>
        <v>#REF!</v>
      </c>
    </row>
    <row r="317" spans="1:10">
      <c r="C317" s="34" t="s">
        <v>760</v>
      </c>
      <c r="D317">
        <v>3</v>
      </c>
    </row>
    <row r="318" spans="1:10">
      <c r="C318" s="34" t="s">
        <v>565</v>
      </c>
      <c r="D318" s="47">
        <v>2</v>
      </c>
    </row>
    <row r="319" spans="1:10">
      <c r="C319" s="34" t="s">
        <v>761</v>
      </c>
      <c r="D319" s="47">
        <v>1</v>
      </c>
    </row>
    <row r="320" spans="1:10">
      <c r="C320" s="34" t="s">
        <v>136</v>
      </c>
      <c r="D320" s="47">
        <v>0</v>
      </c>
    </row>
    <row r="321" spans="1:10" ht="30">
      <c r="A321" s="54" t="s">
        <v>762</v>
      </c>
      <c r="B321" s="127" t="s">
        <v>763</v>
      </c>
      <c r="E321">
        <v>4</v>
      </c>
      <c r="G321" s="47" t="e" cm="1">
        <f t="array" aca="1" ref="G321" ca="1">INDIRECT("'" &amp; SKJEMA_LEV &amp; "'!LEV_" &amp; A321)</f>
        <v>#REF!</v>
      </c>
      <c r="H321" s="73" t="e">
        <f ca="1">VLOOKUP(G321,C322:D326,2,0)</f>
        <v>#REF!</v>
      </c>
      <c r="I321" t="e">
        <f ca="1">H321</f>
        <v>#REF!</v>
      </c>
      <c r="J321" t="e">
        <f ca="1">I321/E321</f>
        <v>#REF!</v>
      </c>
    </row>
    <row r="322" spans="1:10">
      <c r="C322" s="34" t="s">
        <v>764</v>
      </c>
      <c r="D322">
        <v>4</v>
      </c>
    </row>
    <row r="323" spans="1:10">
      <c r="C323" s="34" t="s">
        <v>765</v>
      </c>
      <c r="D323">
        <v>3</v>
      </c>
    </row>
    <row r="324" spans="1:10">
      <c r="C324" s="34" t="s">
        <v>766</v>
      </c>
      <c r="D324" s="47">
        <v>2</v>
      </c>
    </row>
    <row r="325" spans="1:10">
      <c r="C325" s="34" t="s">
        <v>739</v>
      </c>
      <c r="D325" s="47">
        <v>1</v>
      </c>
    </row>
    <row r="326" spans="1:10">
      <c r="C326" s="34" t="s">
        <v>136</v>
      </c>
      <c r="D326" s="47">
        <v>0</v>
      </c>
    </row>
    <row r="327" spans="1:10">
      <c r="A327" s="54" t="s">
        <v>767</v>
      </c>
      <c r="B327" s="127" t="s">
        <v>768</v>
      </c>
      <c r="E327">
        <v>3</v>
      </c>
      <c r="G327" s="47" t="e" cm="1">
        <f t="array" aca="1" ref="G327" ca="1">INDIRECT("'" &amp; SKJEMA_LEV &amp; "'!LEV_" &amp; A327)</f>
        <v>#REF!</v>
      </c>
      <c r="H327" s="73" t="e">
        <f ca="1">VLOOKUP(G327,C328:D331,2,0)</f>
        <v>#REF!</v>
      </c>
      <c r="I327" t="e">
        <f ca="1">H327</f>
        <v>#REF!</v>
      </c>
      <c r="J327" t="e">
        <f ca="1">I327/E327</f>
        <v>#REF!</v>
      </c>
    </row>
    <row r="328" spans="1:10">
      <c r="C328" s="34" t="s">
        <v>769</v>
      </c>
      <c r="D328">
        <v>3</v>
      </c>
    </row>
    <row r="329" spans="1:10">
      <c r="C329" s="34" t="s">
        <v>770</v>
      </c>
      <c r="D329" s="47">
        <v>2</v>
      </c>
    </row>
    <row r="330" spans="1:10">
      <c r="C330" s="34" t="s">
        <v>77</v>
      </c>
      <c r="D330" s="47">
        <v>1</v>
      </c>
    </row>
    <row r="331" spans="1:10">
      <c r="C331" s="34" t="s">
        <v>136</v>
      </c>
      <c r="D331" s="47">
        <v>0</v>
      </c>
    </row>
    <row r="332" spans="1:10">
      <c r="A332" s="54" t="s">
        <v>771</v>
      </c>
      <c r="B332" s="127" t="s">
        <v>772</v>
      </c>
      <c r="E332">
        <v>3</v>
      </c>
      <c r="G332" s="47" t="e" cm="1">
        <f t="array" aca="1" ref="G332" ca="1">INDIRECT("'" &amp; SKJEMA_LEV &amp; "'!LEV_" &amp; A332)</f>
        <v>#REF!</v>
      </c>
      <c r="H332" s="73" t="e">
        <f ca="1">VLOOKUP(G332,C333:D336,2,0)</f>
        <v>#REF!</v>
      </c>
      <c r="I332" t="e">
        <f ca="1">H332</f>
        <v>#REF!</v>
      </c>
      <c r="J332" t="e">
        <f ca="1">I332/E332</f>
        <v>#REF!</v>
      </c>
    </row>
    <row r="333" spans="1:10">
      <c r="C333" s="34" t="s">
        <v>65</v>
      </c>
      <c r="D333">
        <v>3</v>
      </c>
    </row>
    <row r="334" spans="1:10">
      <c r="C334" s="34" t="s">
        <v>369</v>
      </c>
      <c r="D334" s="47">
        <v>2</v>
      </c>
    </row>
    <row r="335" spans="1:10">
      <c r="A335" s="60"/>
      <c r="C335" s="34" t="s">
        <v>48</v>
      </c>
      <c r="D335" s="47">
        <v>1</v>
      </c>
    </row>
    <row r="336" spans="1:10">
      <c r="C336" s="34" t="s">
        <v>136</v>
      </c>
      <c r="D336" s="47">
        <v>0</v>
      </c>
    </row>
    <row r="337" spans="1:10">
      <c r="A337" s="59" t="s">
        <v>773</v>
      </c>
      <c r="B337" s="72" t="s">
        <v>774</v>
      </c>
      <c r="G337" s="47"/>
    </row>
    <row r="338" spans="1:10" ht="30">
      <c r="A338" s="54" t="s">
        <v>775</v>
      </c>
      <c r="B338" s="123" t="s">
        <v>776</v>
      </c>
      <c r="E338">
        <v>4</v>
      </c>
      <c r="G338" s="47" t="e" cm="1">
        <f t="array" aca="1" ref="G338" ca="1">INDIRECT("'" &amp; SKJEMA_LEV &amp; "'!LEV_" &amp; A338)</f>
        <v>#REF!</v>
      </c>
      <c r="H338" s="73" t="e">
        <f ca="1">VLOOKUP(G338,C339:D343,2,0)</f>
        <v>#REF!</v>
      </c>
      <c r="I338" t="e">
        <f ca="1">H338</f>
        <v>#REF!</v>
      </c>
      <c r="J338" t="e">
        <f ca="1">I338/E338</f>
        <v>#REF!</v>
      </c>
    </row>
    <row r="339" spans="1:10">
      <c r="C339" s="34" t="s">
        <v>48</v>
      </c>
      <c r="D339">
        <v>0</v>
      </c>
    </row>
    <row r="340" spans="1:10">
      <c r="C340" s="34" t="s">
        <v>777</v>
      </c>
      <c r="D340">
        <v>1</v>
      </c>
    </row>
    <row r="341" spans="1:10">
      <c r="C341" s="34" t="s">
        <v>778</v>
      </c>
      <c r="D341" s="47">
        <v>2</v>
      </c>
    </row>
    <row r="342" spans="1:10">
      <c r="C342" s="34" t="s">
        <v>779</v>
      </c>
      <c r="D342" s="47">
        <v>3</v>
      </c>
    </row>
    <row r="343" spans="1:10">
      <c r="C343" s="34" t="s">
        <v>65</v>
      </c>
      <c r="D343" s="47">
        <v>4</v>
      </c>
    </row>
    <row r="344" spans="1:10">
      <c r="A344" s="61" t="s">
        <v>780</v>
      </c>
      <c r="B344" s="62" t="s">
        <v>781</v>
      </c>
      <c r="C344" s="34"/>
      <c r="D344" s="47"/>
    </row>
    <row r="345" spans="1:10" ht="45">
      <c r="A345" s="63" t="s">
        <v>782</v>
      </c>
      <c r="B345" s="64" t="s">
        <v>783</v>
      </c>
      <c r="C345" s="34"/>
      <c r="D345" s="47"/>
      <c r="E345">
        <v>2</v>
      </c>
      <c r="G345" s="47" t="e" cm="1">
        <f t="array" aca="1" ref="G345" ca="1">INDIRECT("'" &amp; SKJEMA_LEV &amp; "'!LEV_" &amp; A345)</f>
        <v>#REF!</v>
      </c>
      <c r="H345" s="73" t="e">
        <f ca="1">VLOOKUP(G345,C346:D349,2,0)</f>
        <v>#REF!</v>
      </c>
      <c r="I345" t="e">
        <f ca="1">H345</f>
        <v>#REF!</v>
      </c>
      <c r="J345" t="e">
        <f ca="1">I345/E345</f>
        <v>#REF!</v>
      </c>
    </row>
    <row r="346" spans="1:10">
      <c r="C346" s="34" t="s">
        <v>65</v>
      </c>
      <c r="D346" s="47">
        <v>2</v>
      </c>
    </row>
    <row r="347" spans="1:10">
      <c r="C347" s="34" t="s">
        <v>141</v>
      </c>
      <c r="D347" s="47">
        <v>1</v>
      </c>
    </row>
    <row r="348" spans="1:10">
      <c r="C348" s="34" t="s">
        <v>48</v>
      </c>
      <c r="D348" s="47">
        <v>0</v>
      </c>
    </row>
    <row r="349" spans="1:10">
      <c r="C349" s="34"/>
      <c r="D349" s="47"/>
    </row>
    <row r="350" spans="1:10">
      <c r="C350" s="34"/>
      <c r="D350" s="47"/>
    </row>
    <row r="351" spans="1:10">
      <c r="A351" s="57" t="s">
        <v>784</v>
      </c>
      <c r="B351" s="72" t="s">
        <v>502</v>
      </c>
    </row>
    <row r="352" spans="1:10" ht="60">
      <c r="A352" s="54" t="s">
        <v>785</v>
      </c>
      <c r="B352" s="127" t="s">
        <v>786</v>
      </c>
      <c r="E352">
        <v>3</v>
      </c>
      <c r="G352" s="47" t="e" cm="1">
        <f t="array" aca="1" ref="G352" ca="1">INDIRECT("'" &amp; SKJEMA_LEV &amp; "'!LEV_" &amp; A352)</f>
        <v>#REF!</v>
      </c>
      <c r="H352" s="73" t="e">
        <f ca="1">VLOOKUP(G352,C353:D356,2,0)</f>
        <v>#REF!</v>
      </c>
      <c r="I352" t="e">
        <f ca="1">H352</f>
        <v>#REF!</v>
      </c>
      <c r="J352" t="e">
        <f ca="1">I352/E352</f>
        <v>#REF!</v>
      </c>
    </row>
    <row r="353" spans="1:10">
      <c r="C353" s="34" t="s">
        <v>787</v>
      </c>
      <c r="D353">
        <v>3</v>
      </c>
    </row>
    <row r="354" spans="1:10">
      <c r="C354" s="34" t="s">
        <v>788</v>
      </c>
      <c r="D354" s="47">
        <v>2</v>
      </c>
    </row>
    <row r="355" spans="1:10">
      <c r="C355" s="34" t="s">
        <v>77</v>
      </c>
      <c r="D355" s="47">
        <v>1</v>
      </c>
    </row>
    <row r="356" spans="1:10">
      <c r="C356" s="34" t="s">
        <v>136</v>
      </c>
      <c r="D356" s="47">
        <v>0</v>
      </c>
    </row>
    <row r="357" spans="1:10" ht="16.350000000000001" customHeight="1">
      <c r="A357" s="54" t="s">
        <v>789</v>
      </c>
      <c r="B357" s="123" t="s">
        <v>790</v>
      </c>
      <c r="E357">
        <v>3</v>
      </c>
      <c r="G357" s="47" t="e" cm="1">
        <f t="array" aca="1" ref="G357" ca="1">INDIRECT("'" &amp; SKJEMA_LEV &amp; "'!LEV_" &amp; A357)</f>
        <v>#REF!</v>
      </c>
      <c r="H357" s="73" t="e">
        <f ca="1">VLOOKUP(G357,C358:D361,2,0)</f>
        <v>#REF!</v>
      </c>
      <c r="I357" t="e">
        <f ca="1">H357</f>
        <v>#REF!</v>
      </c>
      <c r="J357" t="e">
        <f ca="1">I357/E357</f>
        <v>#REF!</v>
      </c>
    </row>
    <row r="358" spans="1:10">
      <c r="C358" s="34" t="s">
        <v>65</v>
      </c>
      <c r="D358">
        <v>3</v>
      </c>
    </row>
    <row r="359" spans="1:10">
      <c r="C359" s="34" t="s">
        <v>141</v>
      </c>
      <c r="D359" s="47">
        <v>2</v>
      </c>
    </row>
    <row r="360" spans="1:10">
      <c r="C360" s="34" t="s">
        <v>48</v>
      </c>
      <c r="D360" s="47">
        <v>1</v>
      </c>
    </row>
    <row r="361" spans="1:10">
      <c r="C361" s="34" t="s">
        <v>136</v>
      </c>
      <c r="D361" s="47">
        <v>0</v>
      </c>
    </row>
    <row r="362" spans="1:10">
      <c r="A362" s="57" t="s">
        <v>791</v>
      </c>
      <c r="B362" s="62" t="s">
        <v>504</v>
      </c>
    </row>
    <row r="363" spans="1:10" ht="45">
      <c r="A363" s="54" t="s">
        <v>792</v>
      </c>
      <c r="B363" s="127" t="s">
        <v>793</v>
      </c>
      <c r="E363">
        <v>3</v>
      </c>
      <c r="G363" s="47" t="e" cm="1">
        <f t="array" aca="1" ref="G363" ca="1">INDIRECT("'" &amp; SKJEMA_LEV &amp; "'!LEV_" &amp; A363)</f>
        <v>#REF!</v>
      </c>
      <c r="H363" s="73" t="e">
        <f ca="1">VLOOKUP(G363,C364:D367,2,0)</f>
        <v>#REF!</v>
      </c>
      <c r="I363" t="e">
        <f ca="1">H363</f>
        <v>#REF!</v>
      </c>
      <c r="J363" t="e">
        <f ca="1">I363/E363</f>
        <v>#REF!</v>
      </c>
    </row>
    <row r="364" spans="1:10">
      <c r="C364" s="34" t="s">
        <v>65</v>
      </c>
      <c r="D364">
        <v>3</v>
      </c>
    </row>
    <row r="365" spans="1:10">
      <c r="C365" s="34" t="s">
        <v>141</v>
      </c>
      <c r="D365" s="47">
        <v>2</v>
      </c>
    </row>
    <row r="366" spans="1:10">
      <c r="C366" s="34" t="s">
        <v>48</v>
      </c>
      <c r="D366" s="47">
        <v>1</v>
      </c>
    </row>
    <row r="367" spans="1:10">
      <c r="C367" s="34" t="s">
        <v>136</v>
      </c>
      <c r="D367" s="47">
        <v>0</v>
      </c>
    </row>
    <row r="368" spans="1:10" ht="30">
      <c r="A368" s="54" t="s">
        <v>794</v>
      </c>
      <c r="B368" s="123" t="s">
        <v>795</v>
      </c>
      <c r="E368">
        <v>3</v>
      </c>
      <c r="G368" s="47" t="e" cm="1">
        <f t="array" aca="1" ref="G368" ca="1">INDIRECT("'" &amp; SKJEMA_LEV &amp; "'!LEV_" &amp; A368)</f>
        <v>#REF!</v>
      </c>
      <c r="H368" s="73" t="e">
        <f ca="1">VLOOKUP(G368,C369:D372,2,0)</f>
        <v>#REF!</v>
      </c>
      <c r="I368" t="e">
        <f ca="1">H368</f>
        <v>#REF!</v>
      </c>
      <c r="J368" t="e">
        <f ca="1">I368/E368</f>
        <v>#REF!</v>
      </c>
    </row>
    <row r="369" spans="1:10">
      <c r="C369" s="34" t="s">
        <v>65</v>
      </c>
      <c r="D369">
        <v>3</v>
      </c>
    </row>
    <row r="370" spans="1:10">
      <c r="C370" s="34" t="s">
        <v>796</v>
      </c>
      <c r="D370" s="47">
        <v>2</v>
      </c>
    </row>
    <row r="371" spans="1:10">
      <c r="C371" s="34" t="s">
        <v>48</v>
      </c>
      <c r="D371" s="47">
        <v>1</v>
      </c>
    </row>
    <row r="372" spans="1:10">
      <c r="C372" s="34" t="s">
        <v>400</v>
      </c>
      <c r="D372" s="47">
        <v>0</v>
      </c>
    </row>
    <row r="373" spans="1:10">
      <c r="A373" s="54" t="s">
        <v>797</v>
      </c>
      <c r="B373" s="127" t="s">
        <v>798</v>
      </c>
      <c r="E373">
        <v>3</v>
      </c>
      <c r="G373" s="47" t="e" cm="1">
        <f t="array" aca="1" ref="G373" ca="1">INDIRECT("'" &amp; SKJEMA_LEV &amp; "'!LEV_" &amp; A373)</f>
        <v>#REF!</v>
      </c>
      <c r="H373" s="73" t="e">
        <f ca="1">VLOOKUP(G373,C374:D377,2,0)</f>
        <v>#REF!</v>
      </c>
      <c r="I373" t="e">
        <f ca="1">H373</f>
        <v>#REF!</v>
      </c>
      <c r="J373" t="e">
        <f ca="1">I373/E373</f>
        <v>#REF!</v>
      </c>
    </row>
    <row r="374" spans="1:10">
      <c r="C374" s="34" t="s">
        <v>384</v>
      </c>
      <c r="D374">
        <v>3</v>
      </c>
    </row>
    <row r="375" spans="1:10">
      <c r="C375" s="34" t="s">
        <v>799</v>
      </c>
      <c r="D375" s="47">
        <v>2</v>
      </c>
    </row>
    <row r="376" spans="1:10">
      <c r="C376" s="34" t="s">
        <v>65</v>
      </c>
      <c r="D376" s="47">
        <v>1</v>
      </c>
    </row>
    <row r="377" spans="1:10">
      <c r="C377" s="34" t="s">
        <v>400</v>
      </c>
      <c r="D377" s="47">
        <v>0</v>
      </c>
    </row>
    <row r="378" spans="1:10">
      <c r="A378" s="57" t="s">
        <v>800</v>
      </c>
      <c r="B378" s="62" t="s">
        <v>506</v>
      </c>
    </row>
    <row r="379" spans="1:10" ht="30">
      <c r="A379" s="54" t="s">
        <v>801</v>
      </c>
      <c r="B379" s="123" t="s">
        <v>802</v>
      </c>
      <c r="E379">
        <v>3</v>
      </c>
      <c r="G379" s="47" t="e" cm="1">
        <f t="array" aca="1" ref="G379" ca="1">INDIRECT("'" &amp; SKJEMA_LEV &amp; "'!LEV_" &amp; A379)</f>
        <v>#REF!</v>
      </c>
      <c r="H379" s="73" t="e">
        <f ca="1">VLOOKUP(G379,C380:D383,2,0)</f>
        <v>#REF!</v>
      </c>
      <c r="I379" t="e">
        <f ca="1">H379</f>
        <v>#REF!</v>
      </c>
      <c r="J379" t="e">
        <f ca="1">I379/E379</f>
        <v>#REF!</v>
      </c>
    </row>
    <row r="380" spans="1:10">
      <c r="C380" s="34" t="s">
        <v>803</v>
      </c>
      <c r="D380">
        <v>3</v>
      </c>
    </row>
    <row r="381" spans="1:10">
      <c r="C381" s="34" t="s">
        <v>804</v>
      </c>
      <c r="D381" s="47">
        <v>2</v>
      </c>
    </row>
    <row r="382" spans="1:10">
      <c r="C382" s="34" t="s">
        <v>805</v>
      </c>
      <c r="D382" s="47">
        <v>1</v>
      </c>
    </row>
    <row r="383" spans="1:10">
      <c r="C383" s="34" t="s">
        <v>806</v>
      </c>
      <c r="D383" s="47">
        <v>0</v>
      </c>
    </row>
    <row r="384" spans="1:10" ht="30">
      <c r="A384" s="54" t="s">
        <v>807</v>
      </c>
      <c r="B384" s="127" t="s">
        <v>808</v>
      </c>
      <c r="E384">
        <v>4</v>
      </c>
      <c r="G384" s="47" t="e" cm="1">
        <f t="array" aca="1" ref="G384" ca="1">INDIRECT("'" &amp; SKJEMA_LEV &amp; "'!LEV_" &amp; A384)</f>
        <v>#REF!</v>
      </c>
      <c r="H384" s="73" t="e">
        <f ca="1">VLOOKUP(G384,C385:D389,2,0)</f>
        <v>#REF!</v>
      </c>
      <c r="I384" t="e">
        <f ca="1">H384</f>
        <v>#REF!</v>
      </c>
      <c r="J384" t="e">
        <f ca="1">I384/E384</f>
        <v>#REF!</v>
      </c>
    </row>
    <row r="385" spans="1:10">
      <c r="C385" s="34" t="s">
        <v>809</v>
      </c>
      <c r="D385">
        <v>4</v>
      </c>
    </row>
    <row r="386" spans="1:10">
      <c r="C386" s="34" t="s">
        <v>810</v>
      </c>
      <c r="D386">
        <v>3</v>
      </c>
    </row>
    <row r="387" spans="1:10">
      <c r="C387" s="34" t="s">
        <v>811</v>
      </c>
      <c r="D387" s="47">
        <v>2</v>
      </c>
    </row>
    <row r="388" spans="1:10">
      <c r="C388" s="34" t="s">
        <v>277</v>
      </c>
      <c r="D388" s="47">
        <v>1</v>
      </c>
    </row>
    <row r="389" spans="1:10">
      <c r="C389" s="34" t="s">
        <v>136</v>
      </c>
      <c r="D389" s="47">
        <v>0</v>
      </c>
    </row>
    <row r="390" spans="1:10">
      <c r="A390" s="57" t="s">
        <v>812</v>
      </c>
      <c r="B390" s="62" t="s">
        <v>508</v>
      </c>
    </row>
    <row r="391" spans="1:10" ht="30">
      <c r="A391" s="54" t="s">
        <v>813</v>
      </c>
      <c r="B391" s="127" t="s">
        <v>814</v>
      </c>
      <c r="E391">
        <v>1</v>
      </c>
      <c r="G391" s="47" t="e" cm="1">
        <f t="array" aca="1" ref="G391" ca="1">INDIRECT("'" &amp; SKJEMA_LEV &amp; "'!LEV_" &amp; A391)</f>
        <v>#REF!</v>
      </c>
      <c r="H391" s="73" t="e">
        <f ca="1">VLOOKUP(G391,C392:D393,2,0)</f>
        <v>#REF!</v>
      </c>
      <c r="I391" t="e">
        <f ca="1">H391</f>
        <v>#REF!</v>
      </c>
      <c r="J391" t="e">
        <f ca="1">I391/E391</f>
        <v>#REF!</v>
      </c>
    </row>
    <row r="392" spans="1:10">
      <c r="C392" s="34" t="s">
        <v>65</v>
      </c>
      <c r="D392">
        <v>1</v>
      </c>
    </row>
    <row r="393" spans="1:10">
      <c r="C393" s="34" t="s">
        <v>48</v>
      </c>
      <c r="D393">
        <v>0</v>
      </c>
    </row>
    <row r="394" spans="1:10" ht="30">
      <c r="A394" s="54" t="s">
        <v>815</v>
      </c>
      <c r="B394" s="123" t="s">
        <v>816</v>
      </c>
      <c r="E394">
        <v>2</v>
      </c>
      <c r="G394" s="47" t="e" cm="1">
        <f t="array" aca="1" ref="G394" ca="1">INDIRECT("'" &amp; SKJEMA_LEV &amp; "'!LEV_" &amp; A394)</f>
        <v>#REF!</v>
      </c>
      <c r="H394" s="73" t="e">
        <f ca="1">VLOOKUP(G394,C395:D398,2,0)</f>
        <v>#REF!</v>
      </c>
      <c r="I394" t="e">
        <f ca="1">H394</f>
        <v>#REF!</v>
      </c>
      <c r="J394" t="e">
        <f ca="1">I394/E394</f>
        <v>#REF!</v>
      </c>
    </row>
    <row r="395" spans="1:10">
      <c r="C395" s="34" t="s">
        <v>817</v>
      </c>
      <c r="D395" s="47">
        <v>2</v>
      </c>
    </row>
    <row r="396" spans="1:10">
      <c r="C396" s="34" t="s">
        <v>818</v>
      </c>
      <c r="D396" s="47">
        <v>1</v>
      </c>
    </row>
    <row r="397" spans="1:10">
      <c r="C397" s="34" t="s">
        <v>48</v>
      </c>
      <c r="D397" s="47">
        <v>0</v>
      </c>
    </row>
    <row r="398" spans="1:10">
      <c r="A398" s="57" t="s">
        <v>819</v>
      </c>
      <c r="B398" s="62" t="s">
        <v>511</v>
      </c>
    </row>
    <row r="399" spans="1:10" ht="30">
      <c r="A399" s="54" t="s">
        <v>820</v>
      </c>
      <c r="B399" s="123" t="s">
        <v>821</v>
      </c>
      <c r="E399">
        <v>2</v>
      </c>
      <c r="G399" s="47" t="e" cm="1">
        <f t="array" aca="1" ref="G399" ca="1">INDIRECT("'" &amp; SKJEMA_LEV &amp; "'!LEV_" &amp; A399)</f>
        <v>#REF!</v>
      </c>
      <c r="H399" s="73" t="e">
        <f ca="1">VLOOKUP(G399,C400:D403,2,0)</f>
        <v>#REF!</v>
      </c>
      <c r="I399" t="e">
        <f ca="1">H399</f>
        <v>#REF!</v>
      </c>
      <c r="J399" t="e">
        <f ca="1">I399/E399</f>
        <v>#REF!</v>
      </c>
    </row>
    <row r="400" spans="1:10">
      <c r="C400" s="34" t="s">
        <v>65</v>
      </c>
      <c r="D400" s="47">
        <v>2</v>
      </c>
    </row>
    <row r="401" spans="1:10">
      <c r="C401" s="34" t="s">
        <v>48</v>
      </c>
      <c r="D401" s="47">
        <v>1</v>
      </c>
    </row>
    <row r="402" spans="1:10">
      <c r="C402" s="34" t="s">
        <v>822</v>
      </c>
      <c r="D402" s="47">
        <v>0</v>
      </c>
    </row>
    <row r="403" spans="1:10" ht="30">
      <c r="A403" t="s">
        <v>823</v>
      </c>
      <c r="B403" s="68" t="s">
        <v>824</v>
      </c>
      <c r="E403">
        <v>4</v>
      </c>
      <c r="G403" s="47" t="e" cm="1">
        <f t="array" aca="1" ref="G403" ca="1">INDIRECT("'" &amp; SKJEMA_LEV &amp; "'!LEV_" &amp; A403)</f>
        <v>#REF!</v>
      </c>
      <c r="H403" s="73" t="e">
        <f ca="1">VLOOKUP(G403,C404:D408,2,0)</f>
        <v>#REF!</v>
      </c>
      <c r="I403" t="e">
        <f ca="1">H403</f>
        <v>#REF!</v>
      </c>
      <c r="J403" t="e">
        <f ca="1">I403/E403</f>
        <v>#REF!</v>
      </c>
    </row>
    <row r="404" spans="1:10">
      <c r="C404" s="34" t="s">
        <v>825</v>
      </c>
      <c r="D404">
        <v>4</v>
      </c>
    </row>
    <row r="405" spans="1:10">
      <c r="C405" s="34" t="s">
        <v>826</v>
      </c>
      <c r="D405">
        <v>3</v>
      </c>
    </row>
    <row r="406" spans="1:10">
      <c r="C406" s="34" t="s">
        <v>827</v>
      </c>
      <c r="D406" s="47">
        <v>2</v>
      </c>
    </row>
    <row r="407" spans="1:10">
      <c r="C407" s="34" t="s">
        <v>828</v>
      </c>
      <c r="D407" s="47">
        <v>1</v>
      </c>
    </row>
    <row r="408" spans="1:10">
      <c r="C408" s="34" t="s">
        <v>829</v>
      </c>
      <c r="D408" s="47">
        <v>0</v>
      </c>
    </row>
    <row r="409" spans="1:10">
      <c r="A409" s="54" t="s">
        <v>830</v>
      </c>
      <c r="B409" s="123" t="s">
        <v>831</v>
      </c>
      <c r="E409">
        <v>3</v>
      </c>
      <c r="G409" s="47" t="e" cm="1">
        <f t="array" aca="1" ref="G409" ca="1">INDIRECT("'" &amp; SKJEMA_LEV &amp; "'!LEV_" &amp; A409)</f>
        <v>#REF!</v>
      </c>
      <c r="H409" s="73" t="e">
        <f ca="1">VLOOKUP(G409,C410:D413,2,0)</f>
        <v>#REF!</v>
      </c>
      <c r="I409" t="e">
        <f ca="1">H409</f>
        <v>#REF!</v>
      </c>
      <c r="J409" t="e">
        <f ca="1">I409/E409</f>
        <v>#REF!</v>
      </c>
    </row>
    <row r="410" spans="1:10">
      <c r="C410" s="34" t="s">
        <v>832</v>
      </c>
      <c r="D410">
        <v>3</v>
      </c>
    </row>
    <row r="411" spans="1:10">
      <c r="C411" s="34" t="s">
        <v>701</v>
      </c>
      <c r="D411" s="47">
        <v>2</v>
      </c>
    </row>
    <row r="412" spans="1:10">
      <c r="C412" s="34" t="s">
        <v>48</v>
      </c>
      <c r="D412" s="47">
        <v>1</v>
      </c>
    </row>
    <row r="413" spans="1:10">
      <c r="C413" s="34" t="s">
        <v>136</v>
      </c>
      <c r="D413" s="47">
        <v>0</v>
      </c>
    </row>
    <row r="414" spans="1:10" ht="30">
      <c r="A414" s="54" t="s">
        <v>833</v>
      </c>
      <c r="B414" s="123" t="s">
        <v>834</v>
      </c>
      <c r="E414">
        <v>3</v>
      </c>
      <c r="G414" s="47" t="e" cm="1">
        <f t="array" aca="1" ref="G414" ca="1">INDIRECT("'" &amp; SKJEMA_LEV &amp; "'!LEV_" &amp; A414)</f>
        <v>#REF!</v>
      </c>
      <c r="H414" s="73" t="e">
        <f ca="1">VLOOKUP(G414,C415:D418,2,0)</f>
        <v>#REF!</v>
      </c>
      <c r="I414" t="e">
        <f ca="1">H414</f>
        <v>#REF!</v>
      </c>
      <c r="J414" t="e">
        <f ca="1">I414/E414</f>
        <v>#REF!</v>
      </c>
    </row>
    <row r="415" spans="1:10">
      <c r="C415" s="34" t="s">
        <v>835</v>
      </c>
      <c r="D415">
        <v>3</v>
      </c>
    </row>
    <row r="416" spans="1:10">
      <c r="C416" s="34" t="s">
        <v>836</v>
      </c>
      <c r="D416" s="47">
        <v>2</v>
      </c>
    </row>
    <row r="417" spans="1:10">
      <c r="C417" s="34" t="s">
        <v>837</v>
      </c>
      <c r="D417" s="47">
        <v>1</v>
      </c>
    </row>
    <row r="418" spans="1:10">
      <c r="C418" s="34" t="s">
        <v>739</v>
      </c>
      <c r="D418" s="47">
        <v>0</v>
      </c>
    </row>
    <row r="419" spans="1:10" ht="30">
      <c r="A419" s="54" t="s">
        <v>838</v>
      </c>
      <c r="B419" s="123" t="s">
        <v>839</v>
      </c>
      <c r="E419">
        <v>3</v>
      </c>
      <c r="G419" s="47" t="e" cm="1">
        <f t="array" aca="1" ref="G419" ca="1">INDIRECT("'" &amp; SKJEMA_LEV &amp; "'!LEV_" &amp; A419)</f>
        <v>#REF!</v>
      </c>
      <c r="H419" s="73" t="e">
        <f ca="1">VLOOKUP(G419,C420:D423,2,0)</f>
        <v>#REF!</v>
      </c>
      <c r="I419" t="e">
        <f ca="1">H419</f>
        <v>#REF!</v>
      </c>
      <c r="J419" t="e">
        <f ca="1">I419/E419</f>
        <v>#REF!</v>
      </c>
    </row>
    <row r="420" spans="1:10">
      <c r="C420" s="34" t="s">
        <v>840</v>
      </c>
      <c r="D420">
        <v>3</v>
      </c>
    </row>
    <row r="421" spans="1:10">
      <c r="C421" s="34" t="s">
        <v>841</v>
      </c>
      <c r="D421" s="47">
        <v>2</v>
      </c>
    </row>
    <row r="422" spans="1:10">
      <c r="C422" s="34" t="s">
        <v>842</v>
      </c>
      <c r="D422" s="47">
        <v>1</v>
      </c>
    </row>
    <row r="423" spans="1:10">
      <c r="C423" s="34" t="s">
        <v>843</v>
      </c>
      <c r="D423" s="47">
        <v>0</v>
      </c>
    </row>
    <row r="424" spans="1:10" ht="30">
      <c r="A424" s="54" t="s">
        <v>844</v>
      </c>
      <c r="B424" s="123" t="s">
        <v>845</v>
      </c>
      <c r="E424">
        <v>3</v>
      </c>
      <c r="G424" s="47" t="e" cm="1">
        <f t="array" aca="1" ref="G424" ca="1">INDIRECT("'" &amp; SKJEMA_LEV &amp; "'!LEV_" &amp; A424)</f>
        <v>#REF!</v>
      </c>
      <c r="H424" s="73" t="e">
        <f ca="1">VLOOKUP(G424,C425:D428,2,0)</f>
        <v>#REF!</v>
      </c>
      <c r="I424" t="e">
        <f ca="1">H424</f>
        <v>#REF!</v>
      </c>
      <c r="J424" t="e">
        <f ca="1">I424/E424</f>
        <v>#REF!</v>
      </c>
    </row>
    <row r="425" spans="1:10">
      <c r="C425" s="34" t="s">
        <v>846</v>
      </c>
      <c r="D425">
        <v>3</v>
      </c>
    </row>
    <row r="426" spans="1:10">
      <c r="C426" s="34" t="s">
        <v>847</v>
      </c>
      <c r="D426" s="47">
        <v>2</v>
      </c>
    </row>
    <row r="427" spans="1:10">
      <c r="C427" s="34" t="s">
        <v>848</v>
      </c>
      <c r="D427" s="47">
        <v>1</v>
      </c>
    </row>
    <row r="428" spans="1:10">
      <c r="C428" s="34" t="s">
        <v>65</v>
      </c>
      <c r="D428" s="47">
        <v>0</v>
      </c>
    </row>
    <row r="429" spans="1:10">
      <c r="A429" s="57" t="s">
        <v>849</v>
      </c>
      <c r="B429" s="62" t="s">
        <v>850</v>
      </c>
    </row>
    <row r="430" spans="1:10" ht="30">
      <c r="A430" s="54" t="s">
        <v>851</v>
      </c>
      <c r="B430" s="123" t="s">
        <v>852</v>
      </c>
      <c r="E430">
        <v>2</v>
      </c>
      <c r="G430" s="47" t="e" cm="1">
        <f t="array" aca="1" ref="G430" ca="1">INDIRECT("'" &amp; SKJEMA_LEV &amp; "'!LEV_" &amp; A430)</f>
        <v>#REF!</v>
      </c>
      <c r="H430" s="73" t="e">
        <f ca="1">VLOOKUP(G430,C431:D434,2,0)</f>
        <v>#REF!</v>
      </c>
      <c r="I430" t="e">
        <f ca="1">H430</f>
        <v>#REF!</v>
      </c>
      <c r="J430" t="e">
        <f ca="1">I430/E430</f>
        <v>#REF!</v>
      </c>
    </row>
    <row r="431" spans="1:10">
      <c r="C431" s="34" t="s">
        <v>65</v>
      </c>
      <c r="D431" s="47">
        <v>2</v>
      </c>
    </row>
    <row r="432" spans="1:10">
      <c r="C432" s="34" t="s">
        <v>141</v>
      </c>
      <c r="D432" s="47">
        <v>1</v>
      </c>
    </row>
    <row r="433" spans="1:10">
      <c r="C433" s="34" t="s">
        <v>48</v>
      </c>
      <c r="D433" s="47">
        <v>0</v>
      </c>
    </row>
    <row r="434" spans="1:10" ht="30">
      <c r="A434" s="54" t="s">
        <v>853</v>
      </c>
      <c r="B434" s="127" t="s">
        <v>854</v>
      </c>
      <c r="E434">
        <v>3</v>
      </c>
      <c r="G434" s="47" t="e" cm="1">
        <f t="array" aca="1" ref="G434" ca="1">INDIRECT("'" &amp; SKJEMA_LEV &amp; "'!LEV_" &amp; A434)</f>
        <v>#REF!</v>
      </c>
      <c r="H434" s="73" t="e">
        <f ca="1">VLOOKUP(G434,C435:D438,2,0)</f>
        <v>#REF!</v>
      </c>
      <c r="I434" t="e">
        <f ca="1">H434</f>
        <v>#REF!</v>
      </c>
      <c r="J434" t="e">
        <f ca="1">I434/E434</f>
        <v>#REF!</v>
      </c>
    </row>
    <row r="435" spans="1:10">
      <c r="C435" s="34" t="s">
        <v>855</v>
      </c>
      <c r="D435">
        <v>3</v>
      </c>
    </row>
    <row r="436" spans="1:10">
      <c r="C436" s="34" t="s">
        <v>856</v>
      </c>
      <c r="D436" s="47">
        <v>2</v>
      </c>
    </row>
    <row r="437" spans="1:10">
      <c r="C437" s="34" t="s">
        <v>857</v>
      </c>
      <c r="D437" s="47">
        <v>1</v>
      </c>
    </row>
    <row r="438" spans="1:10">
      <c r="C438" s="34" t="s">
        <v>48</v>
      </c>
      <c r="D438" s="47">
        <v>0</v>
      </c>
    </row>
    <row r="439" spans="1:10" ht="30">
      <c r="A439" s="54" t="s">
        <v>858</v>
      </c>
      <c r="B439" s="127" t="s">
        <v>859</v>
      </c>
      <c r="E439">
        <v>3</v>
      </c>
      <c r="G439" s="47" t="e" cm="1">
        <f t="array" aca="1" ref="G439" ca="1">INDIRECT("'" &amp; SKJEMA_LEV &amp; "'!LEV_" &amp; A439)</f>
        <v>#REF!</v>
      </c>
      <c r="H439" s="73" t="e">
        <f ca="1">VLOOKUP(G439,C440:D443,2,0)</f>
        <v>#REF!</v>
      </c>
      <c r="I439" t="e">
        <f ca="1">H439</f>
        <v>#REF!</v>
      </c>
      <c r="J439" t="e">
        <f ca="1">I439/E439</f>
        <v>#REF!</v>
      </c>
    </row>
    <row r="440" spans="1:10">
      <c r="C440" s="34" t="s">
        <v>860</v>
      </c>
      <c r="D440">
        <v>3</v>
      </c>
    </row>
    <row r="441" spans="1:10">
      <c r="C441" s="34" t="s">
        <v>861</v>
      </c>
      <c r="D441" s="47">
        <v>2</v>
      </c>
    </row>
    <row r="442" spans="1:10">
      <c r="C442" s="34" t="s">
        <v>862</v>
      </c>
      <c r="D442" s="47">
        <v>1</v>
      </c>
    </row>
    <row r="443" spans="1:10">
      <c r="C443" s="34" t="s">
        <v>48</v>
      </c>
      <c r="D443" s="47">
        <v>0</v>
      </c>
    </row>
    <row r="444" spans="1:10" ht="30">
      <c r="A444" s="54" t="s">
        <v>863</v>
      </c>
      <c r="B444" s="123" t="s">
        <v>864</v>
      </c>
      <c r="E444">
        <v>2</v>
      </c>
      <c r="G444" s="47" t="e" cm="1">
        <f t="array" aca="1" ref="G444" ca="1">INDIRECT("'" &amp; SKJEMA_LEV &amp; "'!LEV_" &amp; A444)</f>
        <v>#REF!</v>
      </c>
      <c r="H444" s="73" t="e">
        <f ca="1">VLOOKUP(G444,C445:D448,2,0)</f>
        <v>#REF!</v>
      </c>
      <c r="I444" t="e">
        <f ca="1">H444</f>
        <v>#REF!</v>
      </c>
      <c r="J444" t="e">
        <f ca="1">I444/E444</f>
        <v>#REF!</v>
      </c>
    </row>
    <row r="445" spans="1:10">
      <c r="C445" s="34" t="s">
        <v>65</v>
      </c>
      <c r="D445" s="47">
        <v>2</v>
      </c>
    </row>
    <row r="446" spans="1:10">
      <c r="C446" s="34" t="s">
        <v>141</v>
      </c>
      <c r="D446" s="47">
        <v>1</v>
      </c>
    </row>
    <row r="447" spans="1:10">
      <c r="C447" s="34" t="s">
        <v>48</v>
      </c>
      <c r="D447" s="47">
        <v>0</v>
      </c>
    </row>
    <row r="448" spans="1:10" ht="45">
      <c r="A448" s="54" t="s">
        <v>865</v>
      </c>
      <c r="B448" s="123" t="s">
        <v>866</v>
      </c>
      <c r="E448">
        <v>4</v>
      </c>
      <c r="G448" s="47" t="e" cm="1">
        <f t="array" aca="1" ref="G448" ca="1">INDIRECT("'" &amp; SKJEMA_LEV &amp; "'!LEV_" &amp; A448)</f>
        <v>#REF!</v>
      </c>
      <c r="H448" s="73" t="e">
        <f ca="1">VLOOKUP(G448,C449:D453,2,0)</f>
        <v>#REF!</v>
      </c>
      <c r="I448" t="e">
        <f ca="1">H448</f>
        <v>#REF!</v>
      </c>
      <c r="J448" t="e">
        <f ca="1">I448/E448</f>
        <v>#REF!</v>
      </c>
    </row>
    <row r="449" spans="1:10">
      <c r="C449" s="34" t="s">
        <v>832</v>
      </c>
      <c r="D449">
        <v>4</v>
      </c>
    </row>
    <row r="450" spans="1:10">
      <c r="C450" s="34" t="s">
        <v>141</v>
      </c>
      <c r="D450">
        <v>3</v>
      </c>
    </row>
    <row r="451" spans="1:10">
      <c r="C451" s="34" t="s">
        <v>867</v>
      </c>
      <c r="D451" s="47">
        <v>2</v>
      </c>
    </row>
    <row r="452" spans="1:10">
      <c r="C452" s="34" t="s">
        <v>48</v>
      </c>
      <c r="D452" s="47">
        <v>1</v>
      </c>
    </row>
    <row r="453" spans="1:10">
      <c r="C453" s="34" t="s">
        <v>868</v>
      </c>
      <c r="D453" s="47">
        <v>0</v>
      </c>
    </row>
    <row r="454" spans="1:10" ht="30">
      <c r="A454" s="54" t="s">
        <v>869</v>
      </c>
      <c r="B454" s="127" t="s">
        <v>870</v>
      </c>
      <c r="E454">
        <v>1</v>
      </c>
      <c r="G454" s="47" t="e" cm="1">
        <f t="array" aca="1" ref="G454" ca="1">INDIRECT("'" &amp; SKJEMA_LEV &amp; "'!LEV_" &amp; A454)</f>
        <v>#REF!</v>
      </c>
      <c r="H454" s="73" t="e">
        <f ca="1">VLOOKUP(G454,C455:D456,2,0)</f>
        <v>#REF!</v>
      </c>
      <c r="I454" t="e">
        <f ca="1">H454</f>
        <v>#REF!</v>
      </c>
      <c r="J454" t="e">
        <f ca="1">I454/E454</f>
        <v>#REF!</v>
      </c>
    </row>
    <row r="455" spans="1:10">
      <c r="C455" s="34" t="s">
        <v>65</v>
      </c>
      <c r="D455">
        <v>1</v>
      </c>
    </row>
    <row r="456" spans="1:10">
      <c r="C456" s="34" t="s">
        <v>48</v>
      </c>
      <c r="D456">
        <v>0</v>
      </c>
    </row>
    <row r="457" spans="1:10" ht="30">
      <c r="A457" s="54" t="s">
        <v>871</v>
      </c>
      <c r="B457" s="127" t="s">
        <v>872</v>
      </c>
      <c r="E457">
        <v>3</v>
      </c>
      <c r="G457" s="47" t="e" cm="1">
        <f t="array" aca="1" ref="G457" ca="1">INDIRECT("'" &amp; SKJEMA_LEV &amp; "'!LEV_" &amp; A457)</f>
        <v>#REF!</v>
      </c>
      <c r="H457" s="73" t="e">
        <f ca="1">VLOOKUP(G457,C458:D461,2,0)</f>
        <v>#REF!</v>
      </c>
      <c r="I457" t="e">
        <f ca="1">H457</f>
        <v>#REF!</v>
      </c>
      <c r="J457" t="e">
        <f ca="1">I457/E457</f>
        <v>#REF!</v>
      </c>
    </row>
    <row r="458" spans="1:10">
      <c r="C458" s="34" t="s">
        <v>65</v>
      </c>
      <c r="D458">
        <v>3</v>
      </c>
    </row>
    <row r="459" spans="1:10">
      <c r="C459" s="34" t="s">
        <v>141</v>
      </c>
      <c r="D459" s="47">
        <v>2</v>
      </c>
    </row>
    <row r="460" spans="1:10">
      <c r="C460" s="34" t="s">
        <v>48</v>
      </c>
      <c r="D460" s="47">
        <v>1</v>
      </c>
    </row>
    <row r="461" spans="1:10">
      <c r="C461" s="34" t="s">
        <v>136</v>
      </c>
      <c r="D461" s="47">
        <v>0</v>
      </c>
    </row>
    <row r="462" spans="1:10">
      <c r="A462" s="57" t="s">
        <v>873</v>
      </c>
      <c r="B462" s="62" t="s">
        <v>513</v>
      </c>
    </row>
    <row r="463" spans="1:10" ht="30">
      <c r="A463" s="54" t="s">
        <v>874</v>
      </c>
      <c r="B463" s="127" t="s">
        <v>875</v>
      </c>
      <c r="E463">
        <v>3</v>
      </c>
      <c r="G463" s="47" t="e" cm="1">
        <f t="array" aca="1" ref="G463" ca="1">INDIRECT("'" &amp; SKJEMA_LEV &amp; "'!LEV_" &amp; A463)</f>
        <v>#REF!</v>
      </c>
      <c r="H463" s="73" t="e">
        <f ca="1">VLOOKUP(G463,C464:D467,2,0)</f>
        <v>#REF!</v>
      </c>
      <c r="I463" t="e">
        <f ca="1">H463</f>
        <v>#REF!</v>
      </c>
      <c r="J463" t="e">
        <f ca="1">I463/E463</f>
        <v>#REF!</v>
      </c>
    </row>
    <row r="464" spans="1:10">
      <c r="C464" s="34" t="s">
        <v>876</v>
      </c>
      <c r="D464">
        <v>3</v>
      </c>
    </row>
    <row r="465" spans="1:10">
      <c r="C465" s="34" t="s">
        <v>877</v>
      </c>
      <c r="D465" s="47">
        <v>2</v>
      </c>
    </row>
    <row r="466" spans="1:10">
      <c r="C466" s="34" t="s">
        <v>878</v>
      </c>
      <c r="D466" s="47">
        <v>1</v>
      </c>
    </row>
    <row r="467" spans="1:10">
      <c r="C467" s="34" t="s">
        <v>879</v>
      </c>
      <c r="D467" s="47">
        <v>0</v>
      </c>
    </row>
    <row r="468" spans="1:10" ht="45">
      <c r="A468" s="54" t="s">
        <v>880</v>
      </c>
      <c r="B468" s="127" t="s">
        <v>881</v>
      </c>
      <c r="E468">
        <v>2</v>
      </c>
      <c r="G468" s="47" t="e" cm="1">
        <f t="array" aca="1" ref="G468" ca="1">INDIRECT("'" &amp; SKJEMA_LEV &amp; "'!LEV_" &amp; A468)</f>
        <v>#REF!</v>
      </c>
      <c r="H468" s="73" t="e">
        <f ca="1">VLOOKUP(G468,C469:D472,2,0)</f>
        <v>#REF!</v>
      </c>
      <c r="I468" t="e">
        <f ca="1">H468</f>
        <v>#REF!</v>
      </c>
      <c r="J468" t="e">
        <f ca="1">I468/E468</f>
        <v>#REF!</v>
      </c>
    </row>
    <row r="469" spans="1:10">
      <c r="C469" s="34" t="s">
        <v>65</v>
      </c>
      <c r="D469" s="47">
        <v>2</v>
      </c>
    </row>
    <row r="470" spans="1:10">
      <c r="C470" s="34" t="s">
        <v>141</v>
      </c>
      <c r="D470" s="47">
        <v>1</v>
      </c>
    </row>
    <row r="471" spans="1:10">
      <c r="C471" s="34" t="s">
        <v>48</v>
      </c>
      <c r="D471" s="47">
        <v>0</v>
      </c>
    </row>
    <row r="473" spans="1:10">
      <c r="A473" s="54" t="s">
        <v>882</v>
      </c>
      <c r="B473" s="127" t="s">
        <v>883</v>
      </c>
      <c r="E473">
        <v>2</v>
      </c>
      <c r="G473" s="47" t="e" cm="1">
        <f t="array" aca="1" ref="G473" ca="1">INDIRECT("'" &amp; SKJEMA_LEV &amp; "'!LEV_" &amp; A473)</f>
        <v>#REF!</v>
      </c>
      <c r="H473" s="73" t="e">
        <f ca="1">VLOOKUP(G473,C474:D477,2,0)</f>
        <v>#REF!</v>
      </c>
      <c r="I473" t="e">
        <f ca="1">H473</f>
        <v>#REF!</v>
      </c>
      <c r="J473" t="e">
        <f ca="1">I473/E473</f>
        <v>#REF!</v>
      </c>
    </row>
    <row r="474" spans="1:10">
      <c r="C474" s="34" t="s">
        <v>884</v>
      </c>
      <c r="D474" s="47">
        <v>2</v>
      </c>
    </row>
    <row r="475" spans="1:10">
      <c r="C475" s="34" t="s">
        <v>141</v>
      </c>
      <c r="D475" s="47">
        <v>1</v>
      </c>
    </row>
    <row r="476" spans="1:10">
      <c r="C476" s="34" t="s">
        <v>48</v>
      </c>
      <c r="D476" s="47">
        <v>0</v>
      </c>
    </row>
    <row r="477" spans="1:10">
      <c r="A477" s="57" t="s">
        <v>885</v>
      </c>
      <c r="B477" s="62" t="s">
        <v>514</v>
      </c>
    </row>
    <row r="478" spans="1:10" ht="45">
      <c r="A478" s="54" t="s">
        <v>886</v>
      </c>
      <c r="B478" s="127" t="s">
        <v>887</v>
      </c>
      <c r="E478">
        <v>2</v>
      </c>
      <c r="G478" s="47" t="e" cm="1">
        <f t="array" aca="1" ref="G478" ca="1">INDIRECT("'" &amp; SKJEMA_LEV &amp; "'!LEV_" &amp; A478)</f>
        <v>#REF!</v>
      </c>
      <c r="H478" s="73" t="e">
        <f ca="1">VLOOKUP(G478,C479:D482,2,0)</f>
        <v>#REF!</v>
      </c>
      <c r="I478" t="e">
        <f ca="1">H478</f>
        <v>#REF!</v>
      </c>
      <c r="J478" t="e">
        <f ca="1">I478/E478</f>
        <v>#REF!</v>
      </c>
    </row>
    <row r="479" spans="1:10">
      <c r="C479" s="34" t="s">
        <v>494</v>
      </c>
      <c r="D479" s="47">
        <v>2</v>
      </c>
    </row>
    <row r="480" spans="1:10">
      <c r="C480" s="34" t="s">
        <v>141</v>
      </c>
      <c r="D480" s="47">
        <v>1</v>
      </c>
    </row>
    <row r="481" spans="1:10">
      <c r="C481" s="34" t="s">
        <v>48</v>
      </c>
      <c r="D481" s="47">
        <v>0</v>
      </c>
    </row>
    <row r="482" spans="1:10">
      <c r="A482" s="54" t="s">
        <v>888</v>
      </c>
      <c r="B482" s="127" t="s">
        <v>889</v>
      </c>
      <c r="E482">
        <v>2</v>
      </c>
      <c r="G482" s="47" t="e" cm="1">
        <f t="array" aca="1" ref="G482" ca="1">INDIRECT("'" &amp; SKJEMA_LEV &amp; "'!LEV_" &amp; A482)</f>
        <v>#REF!</v>
      </c>
      <c r="H482" s="73" t="e">
        <f ca="1">VLOOKUP(G482,C483:D486,2,0)</f>
        <v>#REF!</v>
      </c>
      <c r="I482" t="e">
        <f ca="1">H482</f>
        <v>#REF!</v>
      </c>
      <c r="J482" t="e">
        <f ca="1">I482/E482</f>
        <v>#REF!</v>
      </c>
    </row>
    <row r="483" spans="1:10">
      <c r="C483" s="34" t="s">
        <v>890</v>
      </c>
      <c r="D483" s="47">
        <v>2</v>
      </c>
    </row>
    <row r="484" spans="1:10">
      <c r="C484" s="34" t="s">
        <v>891</v>
      </c>
      <c r="D484" s="47">
        <v>1</v>
      </c>
    </row>
    <row r="485" spans="1:10">
      <c r="C485" s="34" t="s">
        <v>77</v>
      </c>
      <c r="D485" s="47">
        <v>0</v>
      </c>
    </row>
    <row r="486" spans="1:10" ht="30">
      <c r="A486" s="54" t="s">
        <v>892</v>
      </c>
      <c r="B486" s="127" t="s">
        <v>893</v>
      </c>
      <c r="E486">
        <v>2</v>
      </c>
      <c r="G486" s="47" t="e" cm="1">
        <f t="array" aca="1" ref="G486" ca="1">INDIRECT("'" &amp; SKJEMA_LEV &amp; "'!LEV_" &amp; A486)</f>
        <v>#REF!</v>
      </c>
      <c r="H486" s="73" t="e">
        <f ca="1">VLOOKUP(G486,C487:D490,2,0)</f>
        <v>#REF!</v>
      </c>
      <c r="I486" t="e">
        <f ca="1">H486</f>
        <v>#REF!</v>
      </c>
      <c r="J486" t="e">
        <f ca="1">I486/E486</f>
        <v>#REF!</v>
      </c>
    </row>
    <row r="487" spans="1:10">
      <c r="C487" s="34" t="s">
        <v>65</v>
      </c>
      <c r="D487" s="47">
        <v>2</v>
      </c>
    </row>
    <row r="488" spans="1:10">
      <c r="C488" s="34" t="s">
        <v>141</v>
      </c>
      <c r="D488" s="47">
        <v>1</v>
      </c>
    </row>
    <row r="489" spans="1:10">
      <c r="C489" s="34" t="s">
        <v>48</v>
      </c>
      <c r="D489" s="47">
        <v>0</v>
      </c>
    </row>
    <row r="490" spans="1:10" ht="30">
      <c r="A490" s="54" t="s">
        <v>894</v>
      </c>
      <c r="B490" s="127" t="s">
        <v>895</v>
      </c>
      <c r="E490">
        <v>2</v>
      </c>
      <c r="G490" s="47" t="e" cm="1">
        <f t="array" aca="1" ref="G490" ca="1">INDIRECT("'" &amp; SKJEMA_LEV &amp; "'!LEV_" &amp; A490)</f>
        <v>#REF!</v>
      </c>
      <c r="H490" s="73" t="e">
        <f ca="1">VLOOKUP(G490,C491:D494,2,0)</f>
        <v>#REF!</v>
      </c>
      <c r="I490" t="e">
        <f ca="1">H490</f>
        <v>#REF!</v>
      </c>
      <c r="J490" t="e">
        <f ca="1">I490/E490</f>
        <v>#REF!</v>
      </c>
    </row>
    <row r="491" spans="1:10">
      <c r="C491" s="34" t="s">
        <v>896</v>
      </c>
      <c r="D491" s="47">
        <v>2</v>
      </c>
    </row>
    <row r="492" spans="1:10">
      <c r="C492" s="34" t="s">
        <v>897</v>
      </c>
      <c r="D492" s="47">
        <v>1</v>
      </c>
    </row>
    <row r="493" spans="1:10">
      <c r="C493" s="34" t="s">
        <v>898</v>
      </c>
      <c r="D493" s="47">
        <v>0</v>
      </c>
    </row>
    <row r="494" spans="1:10">
      <c r="A494" s="57" t="s">
        <v>899</v>
      </c>
      <c r="B494" s="62" t="s">
        <v>517</v>
      </c>
    </row>
    <row r="495" spans="1:10">
      <c r="A495" s="54" t="s">
        <v>900</v>
      </c>
      <c r="B495" s="127" t="s">
        <v>901</v>
      </c>
      <c r="E495">
        <v>6</v>
      </c>
      <c r="G495" s="47" t="e" cm="1">
        <f t="array" aca="1" ref="G495" ca="1">INDIRECT("'" &amp; SKJEMA_LEV &amp; "'!LEV_" &amp; A495)</f>
        <v>#REF!</v>
      </c>
      <c r="H495" s="73" t="e">
        <f ca="1">VLOOKUP(G495,C496:D502,2,0)</f>
        <v>#REF!</v>
      </c>
      <c r="I495" t="e">
        <f ca="1">H495</f>
        <v>#REF!</v>
      </c>
      <c r="J495" t="e">
        <f ca="1">I495/E495</f>
        <v>#REF!</v>
      </c>
    </row>
    <row r="496" spans="1:10">
      <c r="C496" s="34" t="s">
        <v>902</v>
      </c>
      <c r="D496">
        <v>6</v>
      </c>
    </row>
    <row r="497" spans="1:10">
      <c r="C497" s="34" t="s">
        <v>835</v>
      </c>
      <c r="D497">
        <v>5</v>
      </c>
    </row>
    <row r="498" spans="1:10">
      <c r="C498" s="34" t="s">
        <v>836</v>
      </c>
      <c r="D498">
        <v>4</v>
      </c>
    </row>
    <row r="499" spans="1:10">
      <c r="C499" s="34" t="s">
        <v>837</v>
      </c>
      <c r="D499">
        <v>3</v>
      </c>
    </row>
    <row r="500" spans="1:10">
      <c r="C500" s="34" t="s">
        <v>903</v>
      </c>
      <c r="D500" s="47">
        <v>2</v>
      </c>
    </row>
    <row r="501" spans="1:10">
      <c r="C501" s="34" t="s">
        <v>904</v>
      </c>
      <c r="D501" s="47">
        <v>1</v>
      </c>
    </row>
    <row r="502" spans="1:10">
      <c r="C502" s="34" t="s">
        <v>136</v>
      </c>
      <c r="D502" s="47">
        <v>0</v>
      </c>
    </row>
    <row r="503" spans="1:10" ht="30">
      <c r="A503" s="54" t="s">
        <v>905</v>
      </c>
      <c r="B503" s="127" t="s">
        <v>906</v>
      </c>
      <c r="E503">
        <v>3</v>
      </c>
      <c r="G503" s="47" t="e" cm="1">
        <f t="array" aca="1" ref="G503" ca="1">INDIRECT("'" &amp; SKJEMA_LEV &amp; "'!LEV_" &amp; A503)</f>
        <v>#REF!</v>
      </c>
      <c r="H503" s="73" t="e">
        <f ca="1">VLOOKUP(G503,C504:D507,2,0)</f>
        <v>#REF!</v>
      </c>
      <c r="I503" t="e">
        <f ca="1">H503</f>
        <v>#REF!</v>
      </c>
      <c r="J503" t="e">
        <f ca="1">I503/E503</f>
        <v>#REF!</v>
      </c>
    </row>
    <row r="504" spans="1:10">
      <c r="C504" s="34" t="s">
        <v>907</v>
      </c>
      <c r="D504">
        <v>3</v>
      </c>
    </row>
    <row r="505" spans="1:10">
      <c r="C505" s="34" t="s">
        <v>856</v>
      </c>
      <c r="D505" s="47">
        <v>2</v>
      </c>
    </row>
    <row r="506" spans="1:10">
      <c r="C506" s="34" t="s">
        <v>908</v>
      </c>
      <c r="D506" s="47">
        <v>1</v>
      </c>
    </row>
    <row r="507" spans="1:10">
      <c r="C507" s="34" t="s">
        <v>77</v>
      </c>
      <c r="D507" s="47">
        <v>0</v>
      </c>
    </row>
    <row r="508" spans="1:10" ht="30">
      <c r="A508" s="54" t="s">
        <v>909</v>
      </c>
      <c r="B508" s="123" t="s">
        <v>910</v>
      </c>
      <c r="E508">
        <v>3</v>
      </c>
      <c r="G508" s="47" t="e" cm="1">
        <f t="array" aca="1" ref="G508" ca="1">INDIRECT("'" &amp; SKJEMA_LEV &amp; "'!LEV_" &amp; A508)</f>
        <v>#REF!</v>
      </c>
      <c r="H508" s="73" t="e">
        <f ca="1">VLOOKUP(G508,C509:D512,2,0)</f>
        <v>#REF!</v>
      </c>
      <c r="I508" t="e">
        <f ca="1">H508</f>
        <v>#REF!</v>
      </c>
      <c r="J508" t="e">
        <f ca="1">I508/E508</f>
        <v>#REF!</v>
      </c>
    </row>
    <row r="509" spans="1:10">
      <c r="C509" s="34" t="s">
        <v>911</v>
      </c>
      <c r="D509">
        <v>3</v>
      </c>
    </row>
    <row r="510" spans="1:10">
      <c r="C510" s="34" t="s">
        <v>912</v>
      </c>
      <c r="D510" s="47">
        <v>2</v>
      </c>
    </row>
    <row r="511" spans="1:10">
      <c r="C511" s="34" t="s">
        <v>913</v>
      </c>
      <c r="D511" s="47">
        <v>1</v>
      </c>
    </row>
    <row r="512" spans="1:10">
      <c r="C512" s="34" t="s">
        <v>48</v>
      </c>
      <c r="D512" s="47">
        <v>0</v>
      </c>
    </row>
    <row r="513" spans="1:10">
      <c r="A513" s="54" t="s">
        <v>914</v>
      </c>
      <c r="B513" s="123" t="s">
        <v>915</v>
      </c>
      <c r="E513">
        <v>6</v>
      </c>
      <c r="G513" s="47"/>
      <c r="H513">
        <f ca="1">COUNTIF(G514:G519,TRUE)</f>
        <v>0</v>
      </c>
      <c r="I513">
        <f ca="1">H513</f>
        <v>0</v>
      </c>
      <c r="J513">
        <f ca="1">I513/E513</f>
        <v>0</v>
      </c>
    </row>
    <row r="514" spans="1:10">
      <c r="C514" s="34" t="s">
        <v>916</v>
      </c>
      <c r="D514">
        <v>1</v>
      </c>
      <c r="G514" t="e" cm="1">
        <f t="array" aca="1" ref="G514" ca="1">INDIRECT("'" &amp; SKJEMA_LEV &amp; "'!LEV_13.11.4_A")</f>
        <v>#REF!</v>
      </c>
    </row>
    <row r="515" spans="1:10">
      <c r="C515" s="34" t="s">
        <v>917</v>
      </c>
      <c r="D515">
        <v>1</v>
      </c>
      <c r="G515" t="e" cm="1">
        <f t="array" aca="1" ref="G515" ca="1">INDIRECT("'" &amp; SKJEMA_LEV &amp; "'!LEV_13.11.4_B")</f>
        <v>#REF!</v>
      </c>
    </row>
    <row r="516" spans="1:10">
      <c r="C516" s="34" t="s">
        <v>918</v>
      </c>
      <c r="D516">
        <v>1</v>
      </c>
      <c r="G516" t="e" cm="1">
        <f t="array" aca="1" ref="G516" ca="1">INDIRECT("'" &amp; SKJEMA_LEV &amp; "'!LEV_13.11.4_C")</f>
        <v>#REF!</v>
      </c>
    </row>
    <row r="517" spans="1:10">
      <c r="C517" s="34" t="s">
        <v>919</v>
      </c>
      <c r="D517">
        <v>1</v>
      </c>
      <c r="G517" t="e" cm="1">
        <f t="array" aca="1" ref="G517" ca="1">INDIRECT("'" &amp; SKJEMA_LEV &amp; "'!LEV_13.11.4_D")</f>
        <v>#REF!</v>
      </c>
    </row>
    <row r="518" spans="1:10">
      <c r="C518" s="34" t="s">
        <v>920</v>
      </c>
      <c r="D518">
        <v>1</v>
      </c>
      <c r="G518" t="e" cm="1">
        <f t="array" aca="1" ref="G518" ca="1">INDIRECT("'" &amp; SKJEMA_LEV &amp; "'!LEV_13.11.4_E")</f>
        <v>#REF!</v>
      </c>
    </row>
    <row r="519" spans="1:10">
      <c r="C519" s="34" t="s">
        <v>921</v>
      </c>
      <c r="D519">
        <v>1</v>
      </c>
      <c r="G519" t="e" cm="1">
        <f t="array" aca="1" ref="G519" ca="1">INDIRECT("'" &amp; SKJEMA_LEV &amp; "'!LEV_13.11.4_F")</f>
        <v>#REF!</v>
      </c>
    </row>
    <row r="520" spans="1:10">
      <c r="A520" s="54" t="s">
        <v>922</v>
      </c>
      <c r="B520" s="123" t="s">
        <v>923</v>
      </c>
      <c r="E520">
        <v>4</v>
      </c>
      <c r="G520" s="47" t="e" cm="1">
        <f t="array" aca="1" ref="G520" ca="1">INDIRECT("'" &amp; SKJEMA_LEV &amp; "'!LEV_" &amp; A520)</f>
        <v>#REF!</v>
      </c>
      <c r="H520" s="73" t="e">
        <f ca="1">VLOOKUP(G520,C521:D525,2,0)</f>
        <v>#REF!</v>
      </c>
      <c r="I520" t="e">
        <f ca="1">H520</f>
        <v>#REF!</v>
      </c>
      <c r="J520" t="e">
        <f ca="1">I520/E520</f>
        <v>#REF!</v>
      </c>
    </row>
    <row r="521" spans="1:10">
      <c r="C521" s="34" t="s">
        <v>924</v>
      </c>
      <c r="D521">
        <v>4</v>
      </c>
    </row>
    <row r="522" spans="1:10">
      <c r="C522" s="34" t="s">
        <v>925</v>
      </c>
      <c r="D522">
        <v>3</v>
      </c>
    </row>
    <row r="523" spans="1:10">
      <c r="C523" s="34" t="s">
        <v>926</v>
      </c>
      <c r="D523" s="47">
        <v>2</v>
      </c>
    </row>
    <row r="524" spans="1:10">
      <c r="C524" s="34" t="s">
        <v>927</v>
      </c>
      <c r="D524" s="47">
        <v>1</v>
      </c>
    </row>
    <row r="525" spans="1:10">
      <c r="C525" s="34" t="s">
        <v>928</v>
      </c>
      <c r="D525" s="47">
        <v>0</v>
      </c>
    </row>
    <row r="526" spans="1:10">
      <c r="A526" s="57" t="s">
        <v>929</v>
      </c>
      <c r="B526" s="72" t="s">
        <v>930</v>
      </c>
      <c r="C526" s="34"/>
    </row>
    <row r="527" spans="1:10" ht="30">
      <c r="A527" s="54" t="s">
        <v>931</v>
      </c>
      <c r="B527" s="123" t="s">
        <v>932</v>
      </c>
      <c r="E527">
        <v>2</v>
      </c>
      <c r="G527" s="47" t="e" cm="1">
        <f t="array" aca="1" ref="G527" ca="1">INDIRECT("'" &amp; SKJEMA_LEV &amp; "'!LEV_" &amp; A527)</f>
        <v>#REF!</v>
      </c>
      <c r="H527" s="73" t="e">
        <f ca="1">VLOOKUP(G527,C528:D531,2,0)</f>
        <v>#REF!</v>
      </c>
      <c r="I527" t="e">
        <f ca="1">H527</f>
        <v>#REF!</v>
      </c>
      <c r="J527" t="e">
        <f ca="1">I527/E527</f>
        <v>#REF!</v>
      </c>
    </row>
    <row r="528" spans="1:10" ht="17.100000000000001" customHeight="1">
      <c r="C528" s="56" t="s">
        <v>65</v>
      </c>
      <c r="D528" s="47">
        <v>2</v>
      </c>
    </row>
    <row r="529" spans="1:10">
      <c r="C529" s="56" t="s">
        <v>141</v>
      </c>
      <c r="D529" s="47">
        <v>1</v>
      </c>
    </row>
    <row r="530" spans="1:10">
      <c r="C530" s="56" t="s">
        <v>48</v>
      </c>
      <c r="D530" s="47">
        <v>0</v>
      </c>
    </row>
    <row r="531" spans="1:10" ht="30">
      <c r="A531" s="54" t="s">
        <v>933</v>
      </c>
      <c r="B531" s="127" t="s">
        <v>934</v>
      </c>
      <c r="E531">
        <v>3</v>
      </c>
      <c r="G531" s="47" t="e" cm="1">
        <f t="array" aca="1" ref="G531" ca="1">INDIRECT("'" &amp; SKJEMA_LEV &amp; "'!LEV_" &amp; A531)</f>
        <v>#REF!</v>
      </c>
      <c r="H531" s="73" t="e">
        <f ca="1">VLOOKUP(G531,C532:D535,2,0)</f>
        <v>#REF!</v>
      </c>
      <c r="I531" t="e">
        <f ca="1">H531</f>
        <v>#REF!</v>
      </c>
      <c r="J531" t="e">
        <f ca="1">I531/E531</f>
        <v>#REF!</v>
      </c>
    </row>
    <row r="532" spans="1:10" ht="12.6" customHeight="1">
      <c r="C532" s="34" t="s">
        <v>65</v>
      </c>
      <c r="D532">
        <v>3</v>
      </c>
    </row>
    <row r="533" spans="1:10">
      <c r="C533" s="34" t="s">
        <v>935</v>
      </c>
      <c r="D533" s="47">
        <v>2</v>
      </c>
    </row>
    <row r="534" spans="1:10">
      <c r="C534" s="34" t="s">
        <v>936</v>
      </c>
      <c r="D534" s="47">
        <v>1</v>
      </c>
    </row>
    <row r="535" spans="1:10">
      <c r="C535" s="34" t="s">
        <v>77</v>
      </c>
      <c r="D535" s="47">
        <v>0</v>
      </c>
    </row>
    <row r="536" spans="1:10" ht="45">
      <c r="A536" s="54" t="s">
        <v>937</v>
      </c>
      <c r="B536" s="127" t="s">
        <v>938</v>
      </c>
      <c r="E536">
        <v>2</v>
      </c>
      <c r="G536" s="47" t="e" cm="1">
        <f t="array" aca="1" ref="G536" ca="1">INDIRECT("'" &amp; SKJEMA_LEV &amp; "'!LEV_" &amp; A536)</f>
        <v>#REF!</v>
      </c>
      <c r="H536" s="73" t="e">
        <f ca="1">VLOOKUP(G536,C537:D540,2,0)</f>
        <v>#REF!</v>
      </c>
      <c r="I536" t="e">
        <f ca="1">H536</f>
        <v>#REF!</v>
      </c>
      <c r="J536" t="e">
        <f ca="1">I536/E536</f>
        <v>#REF!</v>
      </c>
    </row>
    <row r="537" spans="1:10">
      <c r="C537" s="34" t="s">
        <v>884</v>
      </c>
      <c r="D537" s="47">
        <v>2</v>
      </c>
    </row>
    <row r="538" spans="1:10">
      <c r="C538" s="34" t="s">
        <v>939</v>
      </c>
      <c r="D538" s="47">
        <v>1</v>
      </c>
    </row>
    <row r="539" spans="1:10">
      <c r="C539" s="34" t="s">
        <v>77</v>
      </c>
      <c r="D539" s="47">
        <v>0</v>
      </c>
    </row>
    <row r="540" spans="1:10">
      <c r="A540" s="54" t="s">
        <v>940</v>
      </c>
      <c r="B540" s="127" t="s">
        <v>941</v>
      </c>
      <c r="E540">
        <v>2</v>
      </c>
      <c r="G540" s="47" t="e" cm="1">
        <f t="array" aca="1" ref="G540" ca="1">INDIRECT("'" &amp; SKJEMA_LEV &amp; "'!LEV_" &amp; A540)</f>
        <v>#REF!</v>
      </c>
      <c r="H540" s="73" t="e">
        <f ca="1">VLOOKUP(G540,C541:D544,2,0)</f>
        <v>#REF!</v>
      </c>
      <c r="I540" t="e">
        <f ca="1">H540</f>
        <v>#REF!</v>
      </c>
      <c r="J540" t="e">
        <f ca="1">I540/E540</f>
        <v>#REF!</v>
      </c>
    </row>
    <row r="541" spans="1:10">
      <c r="C541" s="34" t="s">
        <v>48</v>
      </c>
      <c r="D541" s="47">
        <v>2</v>
      </c>
    </row>
    <row r="542" spans="1:10">
      <c r="C542" s="34" t="s">
        <v>942</v>
      </c>
      <c r="D542" s="47">
        <v>1</v>
      </c>
    </row>
    <row r="543" spans="1:10">
      <c r="C543" s="34" t="s">
        <v>65</v>
      </c>
      <c r="D543" s="47">
        <v>0</v>
      </c>
    </row>
    <row r="544" spans="1:10">
      <c r="A544" s="54" t="s">
        <v>943</v>
      </c>
      <c r="B544" s="123" t="s">
        <v>944</v>
      </c>
      <c r="E544">
        <v>2</v>
      </c>
      <c r="G544" s="47" t="e" cm="1">
        <f t="array" aca="1" ref="G544" ca="1">INDIRECT("'" &amp; SKJEMA_LEV &amp; "'!LEV_" &amp; A544)</f>
        <v>#REF!</v>
      </c>
      <c r="H544" s="73" t="e">
        <f ca="1">VLOOKUP(G544,C545:D549,2,0)</f>
        <v>#REF!</v>
      </c>
      <c r="I544" t="e">
        <f ca="1">H544</f>
        <v>#REF!</v>
      </c>
      <c r="J544" t="e">
        <f ca="1">I544/E544</f>
        <v>#REF!</v>
      </c>
    </row>
    <row r="545" spans="1:12">
      <c r="C545" s="34" t="s">
        <v>65</v>
      </c>
      <c r="D545" s="47">
        <v>2</v>
      </c>
    </row>
    <row r="546" spans="1:12">
      <c r="C546" s="34" t="s">
        <v>141</v>
      </c>
      <c r="D546" s="47">
        <v>1</v>
      </c>
    </row>
    <row r="547" spans="1:12">
      <c r="C547" s="34" t="s">
        <v>48</v>
      </c>
      <c r="D547" s="47">
        <v>0</v>
      </c>
    </row>
    <row r="548" spans="1:12">
      <c r="C548" s="34" t="s">
        <v>136</v>
      </c>
      <c r="D548" s="47">
        <v>2</v>
      </c>
    </row>
    <row r="549" spans="1:12">
      <c r="A549" s="57" t="s">
        <v>945</v>
      </c>
      <c r="B549" s="72" t="s">
        <v>946</v>
      </c>
      <c r="L549" t="s">
        <v>947</v>
      </c>
    </row>
    <row r="550" spans="1:12" ht="30">
      <c r="A550" s="54" t="s">
        <v>948</v>
      </c>
      <c r="B550" s="127" t="s">
        <v>949</v>
      </c>
      <c r="E550">
        <v>3</v>
      </c>
      <c r="G550" s="47" t="e" cm="1">
        <f t="array" aca="1" ref="G550" ca="1">INDIRECT("'" &amp; SKJEMA_LEV &amp; "'!LEV_" &amp; A550)</f>
        <v>#REF!</v>
      </c>
      <c r="H550">
        <f ca="1">COUNTIF(G551:G553, TRUE)</f>
        <v>0</v>
      </c>
      <c r="I550">
        <f ca="1">H550</f>
        <v>0</v>
      </c>
      <c r="J550">
        <f ca="1">I550/E550</f>
        <v>0</v>
      </c>
      <c r="L550" t="b" cm="1">
        <f t="array" aca="1" ref="L550" ca="1">AND(ISERROR(INDIRECT(G551:G554)))</f>
        <v>1</v>
      </c>
    </row>
    <row r="551" spans="1:12">
      <c r="C551" s="34" t="s">
        <v>950</v>
      </c>
      <c r="D551">
        <v>1</v>
      </c>
      <c r="G551" t="e" cm="1">
        <f t="array" aca="1" ref="G551" ca="1">INDIRECT("'" &amp; SKJEMA_LEV &amp; "'!LEV_15.1.1_A")</f>
        <v>#REF!</v>
      </c>
    </row>
    <row r="552" spans="1:12">
      <c r="C552" s="34" t="s">
        <v>951</v>
      </c>
      <c r="D552" s="47">
        <v>1</v>
      </c>
      <c r="G552" t="e" cm="1">
        <f t="array" aca="1" ref="G552" ca="1">INDIRECT("'" &amp; SKJEMA_LEV &amp; "'!LEV_15.1.1_B")</f>
        <v>#REF!</v>
      </c>
    </row>
    <row r="553" spans="1:12">
      <c r="C553" s="34" t="s">
        <v>952</v>
      </c>
      <c r="D553" s="47">
        <v>1</v>
      </c>
      <c r="G553" t="e" cm="1">
        <f t="array" aca="1" ref="G553" ca="1">INDIRECT("'" &amp; SKJEMA_LEV &amp; "'!LEV_15.1.1_C")</f>
        <v>#REF!</v>
      </c>
    </row>
    <row r="554" spans="1:12">
      <c r="C554" s="34" t="s">
        <v>739</v>
      </c>
      <c r="D554" s="47">
        <v>0</v>
      </c>
      <c r="G554" t="e" cm="1">
        <f t="array" aca="1" ref="G554" ca="1">INDIRECT("'" &amp; SKJEMA_LEV &amp; "'!LEV_15.1.1_D")</f>
        <v>#REF!</v>
      </c>
    </row>
    <row r="555" spans="1:12">
      <c r="A555" s="57" t="s">
        <v>953</v>
      </c>
      <c r="B555" s="72" t="s">
        <v>954</v>
      </c>
      <c r="E555">
        <v>7</v>
      </c>
      <c r="H555">
        <f ca="1">COUNTIF(G556:G562, TRUE)</f>
        <v>0</v>
      </c>
      <c r="I555">
        <f ca="1">H555</f>
        <v>0</v>
      </c>
      <c r="J555">
        <f ca="1">I555/E555</f>
        <v>0</v>
      </c>
    </row>
    <row r="556" spans="1:12">
      <c r="A556" s="54" t="s">
        <v>955</v>
      </c>
      <c r="B556" s="126" t="s">
        <v>956</v>
      </c>
      <c r="C556" s="34" t="s">
        <v>957</v>
      </c>
      <c r="D556">
        <v>1</v>
      </c>
      <c r="G556" t="e" cm="1">
        <f t="array" aca="1" ref="G556" ca="1">INDIRECT("'" &amp; SKJEMA_LEV &amp; "'!LEV_16.1.1_A")</f>
        <v>#REF!</v>
      </c>
    </row>
    <row r="557" spans="1:12">
      <c r="C557" s="34" t="s">
        <v>958</v>
      </c>
      <c r="D557">
        <v>1</v>
      </c>
      <c r="G557" t="e" cm="1">
        <f t="array" aca="1" ref="G557" ca="1">INDIRECT("'" &amp; SKJEMA_LEV &amp; "'!LEV_16.1.1_B")</f>
        <v>#REF!</v>
      </c>
    </row>
    <row r="558" spans="1:12">
      <c r="C558" s="34" t="s">
        <v>959</v>
      </c>
      <c r="D558">
        <v>1</v>
      </c>
      <c r="G558" t="e" cm="1">
        <f t="array" aca="1" ref="G558" ca="1">INDIRECT("'" &amp; SKJEMA_LEV &amp; "'!LEV_16.1.1_C")</f>
        <v>#REF!</v>
      </c>
    </row>
    <row r="559" spans="1:12">
      <c r="C559" s="34" t="s">
        <v>960</v>
      </c>
      <c r="D559">
        <v>1</v>
      </c>
      <c r="G559" t="e" cm="1">
        <f t="array" aca="1" ref="G559" ca="1">INDIRECT("'" &amp; SKJEMA_LEV &amp; "'!LEV_16.1.1_D")</f>
        <v>#REF!</v>
      </c>
    </row>
    <row r="560" spans="1:12">
      <c r="C560" s="34" t="s">
        <v>961</v>
      </c>
      <c r="D560">
        <v>1</v>
      </c>
      <c r="G560" t="e" cm="1">
        <f t="array" aca="1" ref="G560" ca="1">INDIRECT("'" &amp; SKJEMA_LEV &amp; "'!LEV_16.1.1_E")</f>
        <v>#REF!</v>
      </c>
    </row>
    <row r="561" spans="1:10">
      <c r="C561" s="34" t="s">
        <v>962</v>
      </c>
      <c r="D561">
        <v>1</v>
      </c>
      <c r="G561" t="e" cm="1">
        <f t="array" aca="1" ref="G561" ca="1">INDIRECT("'" &amp; SKJEMA_LEV &amp; "'!LEV_16.1.1_F")</f>
        <v>#REF!</v>
      </c>
    </row>
    <row r="562" spans="1:10">
      <c r="C562" s="34" t="s">
        <v>963</v>
      </c>
      <c r="D562">
        <v>1</v>
      </c>
      <c r="G562" t="e" cm="1">
        <f t="array" aca="1" ref="G562" ca="1">INDIRECT("'" &amp; SKJEMA_LEV &amp; "'!LEV_16.1.1_G")</f>
        <v>#REF!</v>
      </c>
    </row>
    <row r="563" spans="1:10" ht="30">
      <c r="A563" s="54" t="s">
        <v>964</v>
      </c>
      <c r="B563" s="127" t="s">
        <v>965</v>
      </c>
      <c r="E563">
        <v>4</v>
      </c>
      <c r="H563">
        <f ca="1">COUNTIF(G564:G567, TRUE)</f>
        <v>0</v>
      </c>
      <c r="I563">
        <f ca="1">H563</f>
        <v>0</v>
      </c>
      <c r="J563">
        <f ca="1">I563/E563</f>
        <v>0</v>
      </c>
    </row>
    <row r="564" spans="1:10">
      <c r="C564" s="34" t="s">
        <v>966</v>
      </c>
      <c r="D564">
        <v>1</v>
      </c>
      <c r="G564" t="e" cm="1">
        <f t="array" aca="1" ref="G564" ca="1">INDIRECT("'" &amp; SKJEMA_LEV &amp; "'!LEV_16.1.2_A")</f>
        <v>#REF!</v>
      </c>
    </row>
    <row r="565" spans="1:10">
      <c r="C565" s="34" t="s">
        <v>967</v>
      </c>
      <c r="D565">
        <v>1</v>
      </c>
      <c r="G565" t="e" cm="1">
        <f t="array" aca="1" ref="G565" ca="1">INDIRECT("'" &amp; SKJEMA_LEV &amp; "'!LEV_16.1.2_B")</f>
        <v>#REF!</v>
      </c>
    </row>
    <row r="566" spans="1:10">
      <c r="C566" s="34" t="s">
        <v>968</v>
      </c>
      <c r="D566">
        <v>1</v>
      </c>
      <c r="G566" t="e" cm="1">
        <f t="array" aca="1" ref="G566" ca="1">INDIRECT("'" &amp; SKJEMA_LEV &amp; "'!LEV_16.1.2_C")</f>
        <v>#REF!</v>
      </c>
    </row>
    <row r="567" spans="1:10">
      <c r="C567" s="34" t="s">
        <v>969</v>
      </c>
      <c r="D567">
        <v>1</v>
      </c>
      <c r="G567" t="e" cm="1">
        <f t="array" aca="1" ref="G567" ca="1">INDIRECT("'" &amp; SKJEMA_LEV &amp; "'!LEV_16.1.2_D")</f>
        <v>#REF!</v>
      </c>
    </row>
    <row r="568" spans="1:10" ht="30">
      <c r="A568" s="54" t="s">
        <v>970</v>
      </c>
      <c r="B568" s="127" t="s">
        <v>971</v>
      </c>
      <c r="E568">
        <v>2</v>
      </c>
      <c r="G568" s="47" t="e" cm="1">
        <f t="array" aca="1" ref="G568" ca="1">INDIRECT("'" &amp; SKJEMA_LEV &amp; "'!LEV_" &amp; A568)</f>
        <v>#REF!</v>
      </c>
      <c r="H568" s="73" t="e">
        <f ca="1">VLOOKUP(G568,C569:D572,2,0)</f>
        <v>#REF!</v>
      </c>
      <c r="I568" t="e">
        <f ca="1">H568</f>
        <v>#REF!</v>
      </c>
      <c r="J568" t="e">
        <f ca="1">I568/E568</f>
        <v>#REF!</v>
      </c>
    </row>
    <row r="569" spans="1:10">
      <c r="C569" s="34" t="s">
        <v>972</v>
      </c>
      <c r="D569">
        <v>2</v>
      </c>
    </row>
    <row r="570" spans="1:10">
      <c r="C570" s="34" t="s">
        <v>973</v>
      </c>
      <c r="D570">
        <v>1</v>
      </c>
    </row>
    <row r="571" spans="1:10">
      <c r="C571" s="34" t="s">
        <v>974</v>
      </c>
      <c r="D571">
        <v>0</v>
      </c>
    </row>
    <row r="572" spans="1:10">
      <c r="C572" s="34" t="s">
        <v>975</v>
      </c>
      <c r="D572" s="47">
        <v>0</v>
      </c>
    </row>
    <row r="573" spans="1:10">
      <c r="C573" s="34"/>
      <c r="D573" s="47"/>
    </row>
    <row r="574" spans="1:10">
      <c r="C574" s="34"/>
      <c r="D574" s="47"/>
    </row>
  </sheetData>
  <conditionalFormatting sqref="A57:B57 A68:B68 A73:B73 A79:B79 A84:B84">
    <cfRule type="expression" dxfId="25" priority="2">
      <formula>KMOD_RES_MK12=1</formula>
    </cfRule>
  </conditionalFormatting>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39997558519241921"/>
  </sheetPr>
  <dimension ref="A1:T71"/>
  <sheetViews>
    <sheetView showGridLines="0" topLeftCell="A11" zoomScaleNormal="100" workbookViewId="0">
      <selection activeCell="B60" sqref="B60"/>
    </sheetView>
  </sheetViews>
  <sheetFormatPr baseColWidth="10" defaultColWidth="11.5703125" defaultRowHeight="12.75"/>
  <cols>
    <col min="1" max="1" width="7" customWidth="1"/>
    <col min="2" max="2" width="29" customWidth="1"/>
    <col min="3" max="3" width="21.5703125" customWidth="1"/>
    <col min="4" max="5" width="6.28515625" customWidth="1"/>
    <col min="6" max="6" width="5.28515625" style="101" customWidth="1"/>
    <col min="7" max="7" width="4.28515625" customWidth="1"/>
    <col min="8" max="8" width="3" customWidth="1"/>
  </cols>
  <sheetData>
    <row r="1" spans="1:14" ht="18" thickBot="1">
      <c r="A1" s="87" t="s">
        <v>976</v>
      </c>
      <c r="B1" s="87"/>
    </row>
    <row r="2" spans="1:14" ht="13.5" thickTop="1"/>
    <row r="3" spans="1:14" ht="15">
      <c r="A3" s="12" t="s">
        <v>977</v>
      </c>
      <c r="B3" s="12"/>
      <c r="C3" s="96" t="str">
        <f ca="1">ANALYSE_AV</f>
        <v>Fant ikke fila eller navn mangler!</v>
      </c>
    </row>
    <row r="4" spans="1:14" ht="15">
      <c r="A4" s="12" t="s">
        <v>978</v>
      </c>
      <c r="B4" s="12"/>
      <c r="C4" s="96" t="e">
        <f ca="1">RES_LIS00</f>
        <v>#REF!</v>
      </c>
    </row>
    <row r="5" spans="1:14">
      <c r="C5" s="96"/>
    </row>
    <row r="6" spans="1:14" ht="15">
      <c r="A6" s="12" t="s">
        <v>979</v>
      </c>
      <c r="B6" s="12"/>
      <c r="C6" s="96" t="e">
        <f ca="1">IF(RES_LIS01=1,"Norge", "utlandet")</f>
        <v>#REF!</v>
      </c>
    </row>
    <row r="7" spans="1:14" ht="15">
      <c r="A7" s="12" t="s">
        <v>980</v>
      </c>
      <c r="B7" s="12"/>
      <c r="C7" s="96" t="e">
        <f ca="1">LIS03_VALG</f>
        <v>#REF!</v>
      </c>
      <c r="D7" s="13"/>
      <c r="I7" s="106" t="s">
        <v>981</v>
      </c>
      <c r="J7" s="107"/>
      <c r="K7" s="107"/>
      <c r="L7" s="108"/>
      <c r="M7" s="108"/>
      <c r="N7" s="109"/>
    </row>
    <row r="8" spans="1:14" ht="15">
      <c r="A8" s="12" t="s">
        <v>982</v>
      </c>
      <c r="B8" s="12"/>
      <c r="C8" s="96" t="e">
        <f ca="1">LIS02_VALG</f>
        <v>#REF!</v>
      </c>
      <c r="I8" s="110" t="s">
        <v>983</v>
      </c>
      <c r="J8" s="105"/>
      <c r="K8" s="104"/>
      <c r="N8" s="111"/>
    </row>
    <row r="9" spans="1:14" ht="15">
      <c r="A9" s="12" t="s">
        <v>984</v>
      </c>
      <c r="B9" s="12"/>
      <c r="C9" s="96" t="e">
        <f ca="1">LIS07_VALG</f>
        <v>#REF!</v>
      </c>
      <c r="I9" s="110" t="s">
        <v>985</v>
      </c>
      <c r="J9" s="104"/>
      <c r="K9" s="104"/>
      <c r="N9" s="111"/>
    </row>
    <row r="10" spans="1:14" ht="15">
      <c r="A10" s="12" t="s">
        <v>986</v>
      </c>
      <c r="B10" s="12"/>
      <c r="C10" s="96" t="e">
        <f ca="1">LIS13_VALG</f>
        <v>#REF!</v>
      </c>
      <c r="I10" s="110" t="s">
        <v>987</v>
      </c>
      <c r="J10" s="104"/>
      <c r="K10" s="104"/>
      <c r="N10" s="111"/>
    </row>
    <row r="11" spans="1:14" ht="15">
      <c r="A11" s="12" t="s">
        <v>988</v>
      </c>
      <c r="B11" s="12"/>
      <c r="C11" s="96" t="e">
        <f ca="1">LIS04_VALG</f>
        <v>#REF!</v>
      </c>
      <c r="I11" s="110" t="s">
        <v>989</v>
      </c>
      <c r="N11" s="111"/>
    </row>
    <row r="12" spans="1:14" ht="15">
      <c r="A12" s="12" t="s">
        <v>990</v>
      </c>
      <c r="B12" s="12"/>
      <c r="C12" s="96" t="e">
        <f ca="1">LIS05_VALG</f>
        <v>#REF!</v>
      </c>
      <c r="I12" s="112"/>
      <c r="J12" s="113"/>
      <c r="K12" s="113"/>
      <c r="L12" s="113"/>
      <c r="M12" s="113"/>
      <c r="N12" s="114"/>
    </row>
    <row r="13" spans="1:14" ht="15">
      <c r="A13" s="12" t="s">
        <v>991</v>
      </c>
      <c r="B13" s="12"/>
      <c r="C13" s="96" t="e">
        <f ca="1">LIS11_VALG</f>
        <v>#REF!</v>
      </c>
    </row>
    <row r="15" spans="1:14" ht="15">
      <c r="E15" s="92" t="s">
        <v>32</v>
      </c>
      <c r="F15" s="100"/>
      <c r="G15" s="1" t="s">
        <v>41</v>
      </c>
      <c r="H15" s="1"/>
    </row>
    <row r="16" spans="1:14" ht="31.5">
      <c r="A16" s="12" t="s">
        <v>992</v>
      </c>
      <c r="B16" s="12"/>
      <c r="D16" s="16" t="e">
        <f ca="1">IF(F16&gt;=0.8, "A", IF(F16&gt;=0.6, "B", IF(F16&gt;=0.4, "C", IF(F16&gt;=0.2, "D", IF(F16&gt;0, "E", "F")))))</f>
        <v>#REF!</v>
      </c>
      <c r="E16" s="88" t="e">
        <f ca="1">SUM('Rådata leverandør modenhet'!I3:I194)</f>
        <v>#REF!</v>
      </c>
      <c r="F16" s="103" t="e">
        <f ca="1">'Rådata leverandør modenhet'!O5</f>
        <v>#REF!</v>
      </c>
      <c r="G16">
        <v>92</v>
      </c>
      <c r="I16" t="s">
        <v>993</v>
      </c>
    </row>
    <row r="17" spans="1:9">
      <c r="B17" t="s">
        <v>994</v>
      </c>
      <c r="E17" s="88" t="e">
        <f ca="1">SUM('Rådata leverandør modenhet'!I3:I32)</f>
        <v>#REF!</v>
      </c>
      <c r="F17" s="103" t="e">
        <f ca="1">SUM('Rådata leverandør modenhet'!J3:J32)/6</f>
        <v>#REF!</v>
      </c>
      <c r="G17">
        <v>17</v>
      </c>
      <c r="I17" t="s">
        <v>995</v>
      </c>
    </row>
    <row r="18" spans="1:9">
      <c r="B18" t="s">
        <v>996</v>
      </c>
      <c r="E18" s="88" t="e">
        <f ca="1">SUM('Rådata leverandør modenhet'!I44:I80)</f>
        <v>#REF!</v>
      </c>
      <c r="F18" s="103" t="e">
        <f ca="1">'Rådata leverandør modenhet'!O7</f>
        <v>#REF!</v>
      </c>
      <c r="G18">
        <v>25</v>
      </c>
      <c r="I18" t="s">
        <v>997</v>
      </c>
    </row>
    <row r="19" spans="1:9">
      <c r="B19" t="s">
        <v>998</v>
      </c>
      <c r="E19" s="88" t="e">
        <f ca="1">LM1_3_1</f>
        <v>#REF!</v>
      </c>
      <c r="F19" s="103" t="e">
        <f ca="1">LM1_3_1_N</f>
        <v>#REF!</v>
      </c>
      <c r="G19">
        <v>2</v>
      </c>
      <c r="I19" t="s">
        <v>676</v>
      </c>
    </row>
    <row r="20" spans="1:9">
      <c r="B20" t="s">
        <v>999</v>
      </c>
      <c r="E20" s="88" t="e">
        <f ca="1">LM2_1_1+LM2_1_2+LM2_1_3</f>
        <v>#REF!</v>
      </c>
      <c r="F20" s="103" t="e">
        <f ca="1">(LM2_1_1_N+LM2_1_2_N+LM2_1_3_N)/3</f>
        <v>#REF!</v>
      </c>
      <c r="G20">
        <v>8</v>
      </c>
      <c r="I20" t="s">
        <v>1000</v>
      </c>
    </row>
    <row r="21" spans="1:9">
      <c r="B21" t="s">
        <v>1001</v>
      </c>
      <c r="E21" s="88" t="e">
        <f ca="1">LM3_1_1+LM3_1_2</f>
        <v>#REF!</v>
      </c>
      <c r="F21" s="103" t="e">
        <f ca="1">(LM3_1_1_N+LM3_1_2_N)/2</f>
        <v>#REF!</v>
      </c>
      <c r="G21">
        <v>4</v>
      </c>
      <c r="I21" t="s">
        <v>1002</v>
      </c>
    </row>
    <row r="22" spans="1:9">
      <c r="B22" t="s">
        <v>333</v>
      </c>
      <c r="E22" s="88" t="e">
        <f ca="1">LM4_1_1+LM4_1_2+LM4_1_3+LM4_1_4+LM4_1_5+LM4_1_6+LM4_1_7+LM4_1_8</f>
        <v>#REF!</v>
      </c>
      <c r="F22" s="103" t="e">
        <f ca="1">(LM4_1_1_N+LM4_1_2_N+LM4_1_3_N+LM4_1_4_N+LM4_1_5_N+LM4_1_6_N+LM4_1_7_N+LM4_1_8_N)/8</f>
        <v>#REF!</v>
      </c>
      <c r="G22">
        <v>27</v>
      </c>
      <c r="I22" t="s">
        <v>1003</v>
      </c>
    </row>
    <row r="23" spans="1:9" ht="15">
      <c r="E23" s="93"/>
      <c r="F23" s="103"/>
    </row>
    <row r="24" spans="1:9" ht="31.5">
      <c r="A24" s="12" t="s">
        <v>1004</v>
      </c>
      <c r="D24" s="16" t="e">
        <f ca="1">IF(F24&gt;=0.8, "A", IF(F24&gt;=0.6, "B", IF(F24&gt;=0.4, "C", IF(F24&gt;=0.2, "D", IF(F24&gt;0, "E", "F")))))</f>
        <v>#REF!</v>
      </c>
      <c r="E24" s="93" t="e">
        <f ca="1">'Rådata leverandør leveransesikk'!M5</f>
        <v>#REF!</v>
      </c>
      <c r="F24" s="103" t="e">
        <f ca="1">'Rådata leverandør leveransesikk'!O5</f>
        <v>#REF!</v>
      </c>
      <c r="G24">
        <v>310</v>
      </c>
      <c r="I24" t="s">
        <v>1005</v>
      </c>
    </row>
    <row r="25" spans="1:9" ht="15">
      <c r="B25" t="s">
        <v>1006</v>
      </c>
      <c r="E25" s="93" t="e">
        <f ca="1">'Rådata leverandør leveransesikk'!M6</f>
        <v>#REF!</v>
      </c>
      <c r="F25" s="103" t="e">
        <f ca="1">'Rådata leverandør leveransesikk'!O6</f>
        <v>#REF!</v>
      </c>
      <c r="G25">
        <v>20</v>
      </c>
      <c r="I25" t="s">
        <v>1007</v>
      </c>
    </row>
    <row r="26" spans="1:9" ht="15">
      <c r="B26" t="s">
        <v>473</v>
      </c>
      <c r="E26" s="93" t="e">
        <f ca="1">'Rådata leverandør leveransesikk'!M7</f>
        <v>#REF!</v>
      </c>
      <c r="F26" s="103" t="e">
        <f ca="1">'Rådata leverandør leveransesikk'!O7</f>
        <v>#REF!</v>
      </c>
      <c r="G26">
        <v>13</v>
      </c>
      <c r="I26" t="s">
        <v>1008</v>
      </c>
    </row>
    <row r="27" spans="1:9" ht="15">
      <c r="B27" t="s">
        <v>476</v>
      </c>
      <c r="E27" s="93" t="e">
        <f ca="1">'Rådata leverandør leveransesikk'!M8</f>
        <v>#REF!</v>
      </c>
      <c r="F27" s="103" t="e">
        <f ca="1">'Rådata leverandør leveransesikk'!O8</f>
        <v>#REF!</v>
      </c>
      <c r="G27">
        <v>18</v>
      </c>
      <c r="I27" t="s">
        <v>1009</v>
      </c>
    </row>
    <row r="28" spans="1:9" ht="15">
      <c r="B28" t="s">
        <v>478</v>
      </c>
      <c r="E28" s="93" t="e">
        <f ca="1">'Rådata leverandør leveransesikk'!M9</f>
        <v>#REF!</v>
      </c>
      <c r="F28" s="103" t="e">
        <f ca="1">'Rådata leverandør leveransesikk'!O9</f>
        <v>#REF!</v>
      </c>
      <c r="G28">
        <v>16</v>
      </c>
      <c r="I28" t="s">
        <v>1010</v>
      </c>
    </row>
    <row r="29" spans="1:9" ht="15">
      <c r="B29" t="s">
        <v>480</v>
      </c>
      <c r="E29" s="93" t="e">
        <f ca="1">'Rådata leverandør leveransesikk'!M10</f>
        <v>#REF!</v>
      </c>
      <c r="F29" s="103" t="e">
        <f ca="1">'Rådata leverandør leveransesikk'!O10</f>
        <v>#REF!</v>
      </c>
      <c r="G29">
        <v>19</v>
      </c>
      <c r="I29" t="s">
        <v>1011</v>
      </c>
    </row>
    <row r="30" spans="1:9" ht="15">
      <c r="B30" t="s">
        <v>1012</v>
      </c>
      <c r="E30" s="93" t="e">
        <f ca="1">'Rådata leverandør leveransesikk'!M11+'Rådata leverandør leveransesikk'!M12+'Rådata leverandør leveransesikk'!M13</f>
        <v>#REF!</v>
      </c>
      <c r="F30" s="103" t="e">
        <f ca="1">('Rådata leverandør leveransesikk'!O11+'Rådata leverandør leveransesikk'!O12+'Rådata leverandør leveransesikk'!O13)/3</f>
        <v>#REF!</v>
      </c>
      <c r="G30">
        <v>16</v>
      </c>
      <c r="I30" t="s">
        <v>1013</v>
      </c>
    </row>
    <row r="31" spans="1:9" ht="15">
      <c r="B31" t="s">
        <v>1014</v>
      </c>
      <c r="E31" s="93" t="e">
        <f ca="1">'Rådata leverandør leveransesikk'!M14+'Rådata leverandør leveransesikk'!M15</f>
        <v>#REF!</v>
      </c>
      <c r="F31" s="103" t="e">
        <f ca="1">('Rådata leverandør leveransesikk'!O14+'Rådata leverandør leveransesikk'!O15)/2</f>
        <v>#REF!</v>
      </c>
      <c r="G31">
        <v>16</v>
      </c>
      <c r="I31" t="s">
        <v>1015</v>
      </c>
    </row>
    <row r="32" spans="1:9" ht="15">
      <c r="B32" t="s">
        <v>490</v>
      </c>
      <c r="E32" s="93" t="e">
        <f ca="1">'Rådata leverandør leveransesikk'!M16</f>
        <v>#REF!</v>
      </c>
      <c r="F32" s="103" t="e">
        <f ca="1">'Rådata leverandør leveransesikk'!O16</f>
        <v>#REF!</v>
      </c>
      <c r="G32">
        <v>18</v>
      </c>
      <c r="I32" t="s">
        <v>1016</v>
      </c>
    </row>
    <row r="33" spans="2:9" ht="15">
      <c r="B33" t="s">
        <v>1017</v>
      </c>
      <c r="E33" s="93" t="e">
        <f ca="1">'Rådata leverandør leveransesikk'!M17+'Rådata leverandør leveransesikk'!M18</f>
        <v>#REF!</v>
      </c>
      <c r="F33" s="103" t="e">
        <f ca="1">('Rådata leverandør leveransesikk'!O17+'Rådata leverandør leveransesikk'!O18)/2</f>
        <v>#REF!</v>
      </c>
      <c r="G33">
        <v>11</v>
      </c>
      <c r="I33" t="s">
        <v>1018</v>
      </c>
    </row>
    <row r="34" spans="2:9" ht="15">
      <c r="B34" t="s">
        <v>496</v>
      </c>
      <c r="E34" s="93" t="e">
        <f ca="1">'Rådata leverandør leveransesikk'!M19</f>
        <v>#REF!</v>
      </c>
      <c r="F34" s="103" t="e">
        <f ca="1">'Rådata leverandør leveransesikk'!O19</f>
        <v>#REF!</v>
      </c>
      <c r="G34">
        <v>17</v>
      </c>
      <c r="I34" t="s">
        <v>1019</v>
      </c>
    </row>
    <row r="35" spans="2:9" ht="15">
      <c r="B35" t="s">
        <v>1020</v>
      </c>
      <c r="E35" s="93" t="e">
        <f ca="1">'Rådata leverandør leveransesikk'!M20</f>
        <v>#REF!</v>
      </c>
      <c r="F35" s="103" t="e">
        <f ca="1">'Rådata leverandør leveransesikk'!O20</f>
        <v>#REF!</v>
      </c>
      <c r="G35">
        <v>4</v>
      </c>
      <c r="I35" t="s">
        <v>1021</v>
      </c>
    </row>
    <row r="36" spans="2:9" ht="15">
      <c r="B36" t="s">
        <v>500</v>
      </c>
      <c r="E36" s="93" t="e">
        <f ca="1">'Rådata leverandør leveransesikk'!M21</f>
        <v>#REF!</v>
      </c>
      <c r="F36" s="103" t="e">
        <f ca="1">'Rådata leverandør leveransesikk'!O21</f>
        <v>#REF!</v>
      </c>
      <c r="G36">
        <v>2</v>
      </c>
      <c r="I36" t="s">
        <v>1022</v>
      </c>
    </row>
    <row r="37" spans="2:9" ht="15">
      <c r="B37" t="s">
        <v>502</v>
      </c>
      <c r="E37" s="93" t="e">
        <f ca="1">'Rådata leverandør leveransesikk'!M22</f>
        <v>#REF!</v>
      </c>
      <c r="F37" s="103" t="e">
        <f ca="1">'Rådata leverandør leveransesikk'!O22</f>
        <v>#REF!</v>
      </c>
      <c r="G37">
        <v>6</v>
      </c>
      <c r="I37" t="s">
        <v>1023</v>
      </c>
    </row>
    <row r="38" spans="2:9" ht="15">
      <c r="B38" t="s">
        <v>504</v>
      </c>
      <c r="E38" s="93" t="e">
        <f ca="1">'Rådata leverandør leveransesikk'!M23</f>
        <v>#REF!</v>
      </c>
      <c r="F38" s="103" t="e">
        <f ca="1">'Rådata leverandør leveransesikk'!O23</f>
        <v>#REF!</v>
      </c>
      <c r="G38">
        <v>9</v>
      </c>
      <c r="I38" t="s">
        <v>1024</v>
      </c>
    </row>
    <row r="39" spans="2:9" ht="15">
      <c r="B39" t="s">
        <v>506</v>
      </c>
      <c r="E39" s="93" t="e">
        <f ca="1">'Rådata leverandør leveransesikk'!M24</f>
        <v>#REF!</v>
      </c>
      <c r="F39" s="103" t="e">
        <f ca="1">'Rådata leverandør leveransesikk'!O24</f>
        <v>#REF!</v>
      </c>
      <c r="G39">
        <v>7</v>
      </c>
      <c r="I39" t="s">
        <v>1025</v>
      </c>
    </row>
    <row r="40" spans="2:9" ht="15">
      <c r="B40" t="s">
        <v>508</v>
      </c>
      <c r="E40" s="93" t="e">
        <f ca="1">'Rådata leverandør leveransesikk'!M25</f>
        <v>#REF!</v>
      </c>
      <c r="F40" s="103" t="e">
        <f ca="1">'Rådata leverandør leveransesikk'!O25</f>
        <v>#REF!</v>
      </c>
      <c r="G40">
        <v>3</v>
      </c>
      <c r="I40" t="s">
        <v>1026</v>
      </c>
    </row>
    <row r="41" spans="2:9" ht="15">
      <c r="B41" t="s">
        <v>511</v>
      </c>
      <c r="E41" s="93" t="e">
        <f ca="1">'Rådata leverandør leveransesikk'!M26</f>
        <v>#REF!</v>
      </c>
      <c r="F41" s="103" t="e">
        <f ca="1">'Rådata leverandør leveransesikk'!O26</f>
        <v>#REF!</v>
      </c>
      <c r="G41">
        <v>18</v>
      </c>
      <c r="I41" t="s">
        <v>1027</v>
      </c>
    </row>
    <row r="42" spans="2:9" ht="15">
      <c r="B42" t="s">
        <v>512</v>
      </c>
      <c r="E42" s="93" t="e">
        <f ca="1">'Rådata leverandør leveransesikk'!M27</f>
        <v>#REF!</v>
      </c>
      <c r="F42" s="103" t="e">
        <f ca="1">'Rådata leverandør leveransesikk'!O27</f>
        <v>#REF!</v>
      </c>
      <c r="G42">
        <v>18</v>
      </c>
      <c r="I42" t="s">
        <v>1028</v>
      </c>
    </row>
    <row r="43" spans="2:9" ht="15">
      <c r="B43" t="s">
        <v>513</v>
      </c>
      <c r="E43" s="93" t="e">
        <f ca="1">'Rådata leverandør leveransesikk'!M28</f>
        <v>#REF!</v>
      </c>
      <c r="F43" s="103" t="e">
        <f ca="1">'Rådata leverandør leveransesikk'!O28</f>
        <v>#REF!</v>
      </c>
      <c r="G43">
        <v>7</v>
      </c>
      <c r="I43" t="s">
        <v>1029</v>
      </c>
    </row>
    <row r="44" spans="2:9" ht="15">
      <c r="B44" t="s">
        <v>514</v>
      </c>
      <c r="E44" s="93" t="e">
        <f ca="1">'Rådata leverandør leveransesikk'!M29</f>
        <v>#REF!</v>
      </c>
      <c r="F44" s="103" t="e">
        <f ca="1">'Rådata leverandør leveransesikk'!O29</f>
        <v>#REF!</v>
      </c>
      <c r="G44">
        <v>8</v>
      </c>
      <c r="I44" t="s">
        <v>1030</v>
      </c>
    </row>
    <row r="45" spans="2:9" ht="15">
      <c r="B45" t="s">
        <v>517</v>
      </c>
      <c r="E45" s="93" t="e">
        <f ca="1">'Rådata leverandør leveransesikk'!M30</f>
        <v>#REF!</v>
      </c>
      <c r="F45" s="103" t="e">
        <f ca="1">'Rådata leverandør leveransesikk'!O30</f>
        <v>#REF!</v>
      </c>
      <c r="G45">
        <v>23</v>
      </c>
      <c r="I45" t="s">
        <v>1031</v>
      </c>
    </row>
    <row r="46" spans="2:9" ht="15">
      <c r="B46" t="s">
        <v>1032</v>
      </c>
      <c r="E46" s="93" t="e">
        <f ca="1">'Rådata leverandør leveransesikk'!M31</f>
        <v>#REF!</v>
      </c>
      <c r="F46" s="103" t="e">
        <f ca="1">'Rådata leverandør leveransesikk'!O31</f>
        <v>#REF!</v>
      </c>
      <c r="G46">
        <v>11</v>
      </c>
      <c r="I46" t="s">
        <v>1033</v>
      </c>
    </row>
    <row r="47" spans="2:9" ht="15">
      <c r="B47" t="s">
        <v>1034</v>
      </c>
      <c r="E47" s="93">
        <f ca="1">'Rådata leverandør leveransesikk'!M32</f>
        <v>0</v>
      </c>
      <c r="F47" s="103">
        <f ca="1">'Rådata leverandør leveransesikk'!O32</f>
        <v>0</v>
      </c>
      <c r="G47">
        <v>3</v>
      </c>
      <c r="I47" t="s">
        <v>1035</v>
      </c>
    </row>
    <row r="48" spans="2:9" ht="15">
      <c r="B48" t="s">
        <v>522</v>
      </c>
      <c r="E48" s="93" t="e">
        <f ca="1">'Rådata leverandør leveransesikk'!M33</f>
        <v>#REF!</v>
      </c>
      <c r="F48" s="103" t="e">
        <f ca="1">'Rådata leverandør leveransesikk'!O33</f>
        <v>#REF!</v>
      </c>
      <c r="G48">
        <v>13</v>
      </c>
      <c r="I48" t="s">
        <v>1036</v>
      </c>
    </row>
    <row r="52" spans="1:20" ht="18" thickBot="1">
      <c r="A52" s="87" t="s">
        <v>1037</v>
      </c>
      <c r="B52" s="87"/>
    </row>
    <row r="53" spans="1:20" ht="13.5" thickTop="1">
      <c r="A53" t="s">
        <v>1038</v>
      </c>
    </row>
    <row r="55" spans="1:20">
      <c r="B55" s="1" t="s">
        <v>1039</v>
      </c>
      <c r="S55" s="101" t="e">
        <f ca="1">RES_LIS03</f>
        <v>#REF!</v>
      </c>
    </row>
    <row r="56" spans="1:20" ht="24" customHeight="1">
      <c r="B56" s="5" t="s">
        <v>1040</v>
      </c>
      <c r="S56" s="117" t="e">
        <f ca="1">LL7_1_2</f>
        <v>#REF!</v>
      </c>
      <c r="T56" s="5"/>
    </row>
    <row r="57" spans="1:20">
      <c r="B57" s="1" t="s">
        <v>1041</v>
      </c>
      <c r="S57" s="101" t="e">
        <f ca="1">LL14_1_1</f>
        <v>#REF!</v>
      </c>
    </row>
    <row r="58" spans="1:20" ht="20.25" customHeight="1">
      <c r="B58" s="5" t="s">
        <v>1042</v>
      </c>
      <c r="S58" s="117" t="e">
        <f ca="1">LL10_3_2</f>
        <v>#REF!</v>
      </c>
      <c r="T58" s="5"/>
    </row>
    <row r="59" spans="1:20" ht="11.25" customHeight="1">
      <c r="B59" s="1" t="s">
        <v>1043</v>
      </c>
      <c r="S59" s="101" t="e">
        <f ca="1">RES_LIS10</f>
        <v>#REF!</v>
      </c>
    </row>
    <row r="60" spans="1:20" ht="22.5" customHeight="1">
      <c r="B60" s="5" t="s">
        <v>1044</v>
      </c>
      <c r="S60" s="117" t="e">
        <f ca="1">RES_LIS07</f>
        <v>#REF!</v>
      </c>
      <c r="T60" s="5"/>
    </row>
    <row r="61" spans="1:20">
      <c r="B61" s="1" t="s">
        <v>1045</v>
      </c>
      <c r="S61" s="101" t="e">
        <f ca="1">LL5_1_8</f>
        <v>#REF!</v>
      </c>
    </row>
    <row r="62" spans="1:20" ht="19.5" customHeight="1">
      <c r="B62" s="5" t="s">
        <v>1046</v>
      </c>
      <c r="S62" s="101"/>
    </row>
    <row r="63" spans="1:20">
      <c r="B63" s="1" t="s">
        <v>1047</v>
      </c>
      <c r="S63" s="101">
        <f ca="1">LL6_2_6</f>
        <v>0</v>
      </c>
    </row>
    <row r="64" spans="1:20" ht="18.75" customHeight="1">
      <c r="B64" s="5" t="s">
        <v>1048</v>
      </c>
      <c r="S64" s="101"/>
    </row>
    <row r="65" spans="2:19" ht="15" customHeight="1">
      <c r="B65" s="1" t="s">
        <v>1049</v>
      </c>
      <c r="S65" s="101"/>
    </row>
    <row r="66" spans="2:19" ht="24.75" customHeight="1">
      <c r="B66" s="5" t="s">
        <v>1050</v>
      </c>
      <c r="S66" s="117" t="e">
        <f ca="1">SUM_SEPARASJON_N</f>
        <v>#REF!</v>
      </c>
    </row>
    <row r="67" spans="2:19">
      <c r="B67" s="1" t="s">
        <v>1051</v>
      </c>
      <c r="S67" s="101" t="e">
        <f ca="1">LL13_7_6</f>
        <v>#REF!</v>
      </c>
    </row>
    <row r="68" spans="2:19">
      <c r="B68" s="5" t="s">
        <v>1052</v>
      </c>
      <c r="S68" s="101" t="e">
        <f ca="1">RES_LIS05</f>
        <v>#REF!</v>
      </c>
    </row>
    <row r="69" spans="2:19">
      <c r="S69" s="101"/>
    </row>
    <row r="70" spans="2:19">
      <c r="B70" s="1" t="s">
        <v>1053</v>
      </c>
      <c r="S70" s="101"/>
    </row>
    <row r="71" spans="2:19">
      <c r="B71" t="s">
        <v>1054</v>
      </c>
    </row>
  </sheetData>
  <conditionalFormatting sqref="B55:B56">
    <cfRule type="expression" dxfId="24" priority="11">
      <formula>AND(S55=T55,S56=T56)</formula>
    </cfRule>
  </conditionalFormatting>
  <conditionalFormatting sqref="B57:B58">
    <cfRule type="expression" dxfId="23" priority="10">
      <formula>AND(S57&gt;1,S58&gt;1)</formula>
    </cfRule>
  </conditionalFormatting>
  <conditionalFormatting sqref="B59:B60">
    <cfRule type="expression" dxfId="22" priority="9">
      <formula>AND(RES_LIS10=0, RES_LIS07=2)</formula>
    </cfRule>
  </conditionalFormatting>
  <conditionalFormatting sqref="B61:B62">
    <cfRule type="expression" dxfId="21" priority="6">
      <formula>LL5_1_8&gt;2</formula>
    </cfRule>
  </conditionalFormatting>
  <conditionalFormatting sqref="B63:B64">
    <cfRule type="expression" dxfId="20" priority="5">
      <formula>AND(LL6_2_6=0, LL6_2_6_STATUS=FALSE)</formula>
    </cfRule>
  </conditionalFormatting>
  <conditionalFormatting sqref="B65:B66">
    <cfRule type="expression" dxfId="19" priority="3">
      <formula>SUM_SEPARASJON_N&lt;0.6</formula>
    </cfRule>
  </conditionalFormatting>
  <conditionalFormatting sqref="B67:B68">
    <cfRule type="expression" dxfId="18" priority="2">
      <formula>AND(LL13_7_6=0, RES_LIS05=1)</formula>
    </cfRule>
  </conditionalFormatting>
  <conditionalFormatting sqref="B70:B71">
    <cfRule type="expression" dxfId="17" priority="1">
      <formula>AND(LL14_1_4=2, LL11_2_2=3)</formula>
    </cfRule>
  </conditionalFormatting>
  <conditionalFormatting sqref="F16:F22">
    <cfRule type="iconSet" priority="20">
      <iconSet>
        <cfvo type="percent" val="0"/>
        <cfvo type="percent" val="33"/>
        <cfvo type="percent" val="67"/>
      </iconSet>
    </cfRule>
  </conditionalFormatting>
  <conditionalFormatting sqref="F16:F48">
    <cfRule type="iconSet" priority="15">
      <iconSet>
        <cfvo type="percent" val="0"/>
        <cfvo type="num" val="0.33"/>
        <cfvo type="num" val="0.66"/>
      </iconSet>
    </cfRule>
    <cfRule type="iconSet" priority="16">
      <iconSet>
        <cfvo type="percent" val="0"/>
        <cfvo type="percent" val="33"/>
        <cfvo type="percent" val="67"/>
      </iconSet>
    </cfRule>
  </conditionalFormatting>
  <conditionalFormatting sqref="F24:F48">
    <cfRule type="iconSet" priority="33">
      <iconSet>
        <cfvo type="percent" val="0"/>
        <cfvo type="percent" val="33"/>
        <cfvo type="percent" val="67"/>
      </iconSet>
    </cfRule>
  </conditionalFormatting>
  <pageMargins left="0.78749999999999998" right="0.78749999999999998" top="1.0249999999999999" bottom="1.0249999999999999" header="0.78749999999999998" footer="0.78749999999999998"/>
  <pageSetup paperSize="9" orientation="portrait" horizontalDpi="300" verticalDpi="300" r:id="rId1"/>
  <headerFooter>
    <oddHeader>&amp;C&amp;A</oddHeader>
    <oddFooter>&amp;CPage &amp;P</oddFooter>
  </headerFooter>
  <ignoredErrors>
    <ignoredError sqref="E1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4" tint="0.39997558519241921"/>
  </sheetPr>
  <dimension ref="A1:Q31"/>
  <sheetViews>
    <sheetView showGridLines="0" tabSelected="1" topLeftCell="A3" zoomScale="120" zoomScaleNormal="120" workbookViewId="0">
      <selection activeCell="B28" sqref="B28"/>
    </sheetView>
  </sheetViews>
  <sheetFormatPr baseColWidth="10" defaultColWidth="11.5703125" defaultRowHeight="12.75"/>
  <cols>
    <col min="1" max="1" width="21.28515625" customWidth="1"/>
    <col min="2" max="2" width="53.5703125" customWidth="1"/>
    <col min="3" max="3" width="5.28515625" customWidth="1"/>
    <col min="4" max="4" width="19.7109375" customWidth="1"/>
    <col min="5" max="5" width="18" customWidth="1"/>
    <col min="6" max="6" width="4.28515625" customWidth="1"/>
    <col min="12" max="12" width="57" customWidth="1"/>
    <col min="13" max="13" width="34.28515625" customWidth="1"/>
  </cols>
  <sheetData>
    <row r="1" spans="1:17" ht="18" thickBot="1">
      <c r="A1" s="99" t="s">
        <v>1055</v>
      </c>
      <c r="B1" s="87"/>
      <c r="C1" s="87"/>
    </row>
    <row r="2" spans="1:17" ht="15.75" thickTop="1">
      <c r="C2" s="105"/>
      <c r="D2" s="12" t="s">
        <v>1056</v>
      </c>
      <c r="E2" s="12" t="s">
        <v>1057</v>
      </c>
      <c r="F2" s="104"/>
      <c r="G2" s="12"/>
      <c r="P2" s="9"/>
      <c r="Q2" s="9"/>
    </row>
    <row r="3" spans="1:17" ht="15">
      <c r="B3" s="1" t="s">
        <v>1058</v>
      </c>
      <c r="C3" s="115" t="e">
        <f ca="1">SUM_KRITIKALITET_N</f>
        <v>#REF!</v>
      </c>
      <c r="D3" t="e">
        <f ca="1">IF(C3 &lt; 0.33, "Lav", IF(C3 &lt; 0.67, "Medium", "Høy"))</f>
        <v>#REF!</v>
      </c>
      <c r="E3" t="e">
        <f ca="1">IF(F3 &lt; 0.33, "Lav", IF(F3 &lt; 0.67, "Medium", "Høy"))</f>
        <v>#REF!</v>
      </c>
      <c r="F3" s="105" t="e">
        <f ca="1">(SUM_L_BEREDSKAP_KONTINUITET+SUM_L_HENDELSER)/2</f>
        <v>#REF!</v>
      </c>
      <c r="G3" s="14" t="e">
        <f ca="1">IF(F3-C3&lt;-0.3,"Pass på - leverandørens tilbud kan være dårligere enn påkrevd fra kommunen", "")</f>
        <v>#REF!</v>
      </c>
      <c r="P3" s="9"/>
      <c r="Q3" s="9"/>
    </row>
    <row r="4" spans="1:17" ht="15">
      <c r="B4" s="1" t="s">
        <v>1059</v>
      </c>
      <c r="C4" s="115" t="e">
        <f ca="1">SUM_KONFIDENSIALITET_N</f>
        <v>#REF!</v>
      </c>
      <c r="D4" t="e">
        <f t="shared" ref="D4:D12" ca="1" si="0">IF(C4 &lt; 0.33, "Lav", IF(C4 &lt; 0.67, "Medium", "Høy"))</f>
        <v>#REF!</v>
      </c>
      <c r="E4" t="e">
        <f t="shared" ref="E4:E12" ca="1" si="1">IF(F4 &lt; 0.33, "Lav", IF(F4 &lt; 0.67, "Medium", "Høy"))</f>
        <v>#REF!</v>
      </c>
      <c r="F4" s="105" t="e">
        <f ca="1">(SUM_L_SIKKERHET+SUM_L_KRYPT_KONTROLL+SUM_L_KRYPT_TILTAK )/3</f>
        <v>#REF!</v>
      </c>
      <c r="G4" s="14" t="e">
        <f t="shared" ref="G4:G12" ca="1" si="2">IF(F4-C4&lt;-0.3,"Pass på - leverandørens tilbud kan være dårligere enn påkrevd fra kommunen", "")</f>
        <v>#REF!</v>
      </c>
      <c r="P4" s="10"/>
      <c r="Q4" s="9"/>
    </row>
    <row r="5" spans="1:17" ht="15">
      <c r="B5" s="1" t="s">
        <v>1060</v>
      </c>
      <c r="C5" s="115" t="e">
        <f ca="1">KMOD_RES_MK19_N</f>
        <v>#REF!</v>
      </c>
      <c r="D5" t="e">
        <f t="shared" ca="1" si="0"/>
        <v>#REF!</v>
      </c>
      <c r="E5" t="e">
        <f t="shared" ca="1" si="1"/>
        <v>#REF!</v>
      </c>
      <c r="F5" s="105" t="e">
        <f ca="1">(SUM_L_HENDELSER+SUM_L_OVERVÅK+SUM_L_SIKKERHETSKOPI)/3</f>
        <v>#REF!</v>
      </c>
      <c r="G5" s="14" t="e">
        <f t="shared" ca="1" si="2"/>
        <v>#REF!</v>
      </c>
      <c r="P5" s="11"/>
      <c r="Q5" s="9"/>
    </row>
    <row r="6" spans="1:17" ht="15">
      <c r="B6" s="1" t="s">
        <v>1061</v>
      </c>
      <c r="C6" s="115" t="e">
        <f ca="1">KRIT_RES_K9_N</f>
        <v>#REF!</v>
      </c>
      <c r="D6" t="e">
        <f t="shared" ca="1" si="0"/>
        <v>#REF!</v>
      </c>
      <c r="E6" t="e">
        <f t="shared" ca="1" si="1"/>
        <v>#REF!</v>
      </c>
      <c r="F6" s="105" t="e">
        <f ca="1">SUM_L_BEREDSKAP_KONTINUITET</f>
        <v>#REF!</v>
      </c>
      <c r="G6" s="14" t="e">
        <f t="shared" ca="1" si="2"/>
        <v>#REF!</v>
      </c>
      <c r="P6" s="11"/>
      <c r="Q6" s="9"/>
    </row>
    <row r="7" spans="1:17" ht="15">
      <c r="B7" s="12" t="s">
        <v>1062</v>
      </c>
      <c r="C7" s="116" t="e">
        <f ca="1">KRIT_RES_K10_N</f>
        <v>#REF!</v>
      </c>
      <c r="D7" t="e">
        <f t="shared" ca="1" si="0"/>
        <v>#REF!</v>
      </c>
      <c r="E7" t="e">
        <f t="shared" ca="1" si="1"/>
        <v>#REF!</v>
      </c>
      <c r="F7" s="105" t="e">
        <f ca="1">SUM_L_SUPPORT</f>
        <v>#REF!</v>
      </c>
      <c r="G7" s="14" t="e">
        <f t="shared" ca="1" si="2"/>
        <v>#REF!</v>
      </c>
      <c r="P7" s="11"/>
      <c r="Q7" s="9"/>
    </row>
    <row r="8" spans="1:17" ht="15">
      <c r="B8" s="12" t="s">
        <v>1063</v>
      </c>
      <c r="C8" s="116" t="e">
        <f ca="1">KRIT_RES_K6_N</f>
        <v>#REF!</v>
      </c>
      <c r="D8" t="e">
        <f t="shared" ca="1" si="0"/>
        <v>#REF!</v>
      </c>
      <c r="E8" t="e">
        <f t="shared" ca="1" si="1"/>
        <v>#REF!</v>
      </c>
      <c r="F8" s="105" t="e">
        <f ca="1">(SUM_L_DATALAGRING+SUM_L_KRYPT_KONTROLL+SUM_L_KRYPT_TILTAK+SUM_L_HENDELSER)/4</f>
        <v>#REF!</v>
      </c>
      <c r="G8" s="14" t="e">
        <f t="shared" ca="1" si="2"/>
        <v>#REF!</v>
      </c>
      <c r="P8" s="6"/>
      <c r="Q8" s="9"/>
    </row>
    <row r="9" spans="1:17" ht="15">
      <c r="B9" s="1" t="s">
        <v>1064</v>
      </c>
      <c r="C9" s="115" t="e">
        <f ca="1">KRIT_RES_K7_N</f>
        <v>#REF!</v>
      </c>
      <c r="D9" t="e">
        <f t="shared" ca="1" si="0"/>
        <v>#REF!</v>
      </c>
      <c r="E9" t="e">
        <f t="shared" ca="1" si="1"/>
        <v>#REF!</v>
      </c>
      <c r="F9" s="105" t="e">
        <f ca="1">(SUM_L_DATALAGRING+SUM_L_KRYPT_KONTROLL+SUM_L_KRYPT_TILTAK+SUM_L_HENDELSER)/4</f>
        <v>#REF!</v>
      </c>
      <c r="G9" s="14" t="e">
        <f t="shared" ca="1" si="2"/>
        <v>#REF!</v>
      </c>
      <c r="P9" s="6"/>
      <c r="Q9" s="9"/>
    </row>
    <row r="10" spans="1:17" ht="15">
      <c r="B10" s="12" t="s">
        <v>1065</v>
      </c>
      <c r="C10" s="116" t="e">
        <f ca="1">KRIT_RES_K7_N</f>
        <v>#REF!</v>
      </c>
      <c r="D10" t="e">
        <f t="shared" ca="1" si="0"/>
        <v>#REF!</v>
      </c>
      <c r="E10" t="e">
        <f t="shared" ca="1" si="1"/>
        <v>#REF!</v>
      </c>
      <c r="F10" s="105" t="e">
        <f ca="1">(SUM_L_LOGGING+SUM_L_AUTENTISERING)/2</f>
        <v>#REF!</v>
      </c>
      <c r="G10" s="14" t="e">
        <f t="shared" ca="1" si="2"/>
        <v>#REF!</v>
      </c>
      <c r="P10" s="6"/>
      <c r="Q10" s="9"/>
    </row>
    <row r="11" spans="1:17" ht="15">
      <c r="B11" s="1" t="s">
        <v>1066</v>
      </c>
      <c r="C11" s="115" t="e">
        <f ca="1">KRIT_RES_K11_N</f>
        <v>#REF!</v>
      </c>
      <c r="D11" t="e">
        <f t="shared" ca="1" si="0"/>
        <v>#REF!</v>
      </c>
      <c r="E11" t="e">
        <f t="shared" ca="1" si="1"/>
        <v>#REF!</v>
      </c>
      <c r="F11" s="105" t="e">
        <f ca="1">(SUM_L_AUTENTISERING+SUM_L_TILGANGSKONTROLL)/2</f>
        <v>#REF!</v>
      </c>
      <c r="G11" s="14" t="e">
        <f t="shared" ca="1" si="2"/>
        <v>#REF!</v>
      </c>
      <c r="P11" s="9"/>
      <c r="Q11" s="9"/>
    </row>
    <row r="12" spans="1:17" ht="15">
      <c r="B12" s="1" t="s">
        <v>1067</v>
      </c>
      <c r="C12" s="115" t="e">
        <f ca="1">SUM_AVHENGIGHETER_N</f>
        <v>#REF!</v>
      </c>
      <c r="D12" t="e">
        <f t="shared" ca="1" si="0"/>
        <v>#REF!</v>
      </c>
      <c r="E12" t="e">
        <f t="shared" ca="1" si="1"/>
        <v>#REF!</v>
      </c>
      <c r="F12" s="105" t="e">
        <f ca="1">SUM_L_INTEGRASJON</f>
        <v>#REF!</v>
      </c>
      <c r="G12" s="14" t="e">
        <f t="shared" ca="1" si="2"/>
        <v>#REF!</v>
      </c>
      <c r="P12" s="9"/>
      <c r="Q12" s="9"/>
    </row>
    <row r="13" spans="1:17">
      <c r="P13" s="9"/>
      <c r="Q13" s="9"/>
    </row>
    <row r="14" spans="1:17">
      <c r="A14" t="s">
        <v>1068</v>
      </c>
      <c r="P14" s="9"/>
      <c r="Q14" s="9"/>
    </row>
    <row r="15" spans="1:17">
      <c r="P15" s="9"/>
      <c r="Q15" s="9"/>
    </row>
    <row r="16" spans="1:17" ht="18" thickBot="1">
      <c r="A16" s="99" t="s">
        <v>1069</v>
      </c>
      <c r="B16" s="87"/>
      <c r="C16" s="87"/>
      <c r="P16" s="9"/>
      <c r="Q16" s="9"/>
    </row>
    <row r="17" spans="1:17" ht="13.5" thickTop="1">
      <c r="A17" t="s">
        <v>1070</v>
      </c>
      <c r="P17" s="9"/>
      <c r="Q17" s="9"/>
    </row>
    <row r="18" spans="1:17" ht="18.75" customHeight="1">
      <c r="A18" s="15"/>
      <c r="B18" s="1" t="s">
        <v>1071</v>
      </c>
      <c r="C18" s="1"/>
      <c r="M18" s="101" t="e">
        <f ca="1">RES_LIS09</f>
        <v>#REF!</v>
      </c>
      <c r="N18" s="101"/>
      <c r="P18" s="9"/>
      <c r="Q18" s="9"/>
    </row>
    <row r="19" spans="1:17" ht="29.25" customHeight="1">
      <c r="A19" s="15"/>
      <c r="B19" s="5" t="s">
        <v>1072</v>
      </c>
      <c r="C19" s="5"/>
      <c r="M19" s="101" t="e">
        <f ca="1">SUM_KRITIKALITET_N</f>
        <v>#REF!</v>
      </c>
      <c r="N19" s="101"/>
      <c r="P19" s="9"/>
      <c r="Q19" s="9"/>
    </row>
    <row r="20" spans="1:17">
      <c r="B20" s="1" t="s">
        <v>1073</v>
      </c>
      <c r="C20" s="1"/>
      <c r="M20" s="101" t="e">
        <f ca="1">LM4_1_4</f>
        <v>#REF!</v>
      </c>
      <c r="N20" s="101"/>
      <c r="P20" s="9"/>
      <c r="Q20" s="9"/>
    </row>
    <row r="21" spans="1:17" ht="26.25" customHeight="1">
      <c r="B21" s="5" t="s">
        <v>1074</v>
      </c>
      <c r="C21" s="5"/>
      <c r="M21" s="101" t="e">
        <f ca="1">KRIT_RES_K6_N</f>
        <v>#REF!</v>
      </c>
      <c r="N21" s="101"/>
      <c r="P21" s="9"/>
      <c r="Q21" s="9"/>
    </row>
    <row r="22" spans="1:17">
      <c r="B22" s="1" t="s">
        <v>1075</v>
      </c>
      <c r="C22" s="1"/>
      <c r="M22" s="101" t="e">
        <f ca="1">SUM_L_SIKKERHETSORG</f>
        <v>#REF!</v>
      </c>
      <c r="N22" s="101"/>
      <c r="P22" s="9"/>
      <c r="Q22" s="9"/>
    </row>
    <row r="23" spans="1:17" ht="21.75" customHeight="1">
      <c r="B23" s="5" t="s">
        <v>1076</v>
      </c>
      <c r="C23" s="5"/>
      <c r="M23" s="101" t="e">
        <f ca="1">AND(SUM_L_SIKKERHETSORG &lt;0.6, SUM_KRITIKALITET_N &gt; 0.6)</f>
        <v>#REF!</v>
      </c>
      <c r="N23" s="101" t="e">
        <f ca="1">SUM_L_SIKKERHETSORG</f>
        <v>#REF!</v>
      </c>
      <c r="P23" s="9"/>
      <c r="Q23" s="9"/>
    </row>
    <row r="24" spans="1:17">
      <c r="B24" s="1" t="s">
        <v>1077</v>
      </c>
      <c r="C24" s="1"/>
      <c r="M24" s="101" t="e">
        <f ca="1">(KMOD_RES_MK17_N+KMOD_RES_MK17_N)/2</f>
        <v>#REF!</v>
      </c>
      <c r="N24" s="101"/>
      <c r="P24" s="9"/>
      <c r="Q24" s="9"/>
    </row>
    <row r="25" spans="1:17">
      <c r="B25" t="s">
        <v>1078</v>
      </c>
      <c r="M25" s="101" t="e">
        <f ca="1">SUM_L_DOKUMENTASJON</f>
        <v>#REF!</v>
      </c>
      <c r="N25" s="101"/>
      <c r="P25" s="9"/>
      <c r="Q25" s="9"/>
    </row>
    <row r="26" spans="1:17" ht="24" customHeight="1">
      <c r="B26" s="1" t="s">
        <v>1079</v>
      </c>
      <c r="F26" s="101"/>
      <c r="M26" s="101" t="e">
        <f ca="1">KMOD_RES_MK9</f>
        <v>#REF!</v>
      </c>
      <c r="N26" s="101"/>
    </row>
    <row r="27" spans="1:17" ht="26.25" customHeight="1">
      <c r="B27" s="5" t="s">
        <v>1080</v>
      </c>
      <c r="F27" s="101"/>
      <c r="M27" s="101" t="e">
        <f ca="1">RES_LIS15</f>
        <v>#REF!</v>
      </c>
      <c r="N27" s="101"/>
    </row>
    <row r="28" spans="1:17">
      <c r="B28" s="1" t="s">
        <v>1081</v>
      </c>
      <c r="F28" s="101"/>
      <c r="M28" s="101" t="s">
        <v>1082</v>
      </c>
      <c r="N28" s="101"/>
    </row>
    <row r="29" spans="1:17" ht="24" customHeight="1">
      <c r="B29" s="5" t="s">
        <v>1083</v>
      </c>
      <c r="F29" s="101"/>
      <c r="M29" s="101" t="s">
        <v>1084</v>
      </c>
      <c r="N29" s="101"/>
    </row>
    <row r="30" spans="1:17">
      <c r="M30" s="101"/>
      <c r="N30" s="101"/>
    </row>
    <row r="31" spans="1:17">
      <c r="M31" s="101"/>
      <c r="N31" s="101"/>
    </row>
  </sheetData>
  <conditionalFormatting sqref="B18:B19">
    <cfRule type="expression" dxfId="16" priority="6">
      <formula>AND(RES_LIS09=0, SUM_KRITIKALITET_N&gt;0.6)</formula>
    </cfRule>
  </conditionalFormatting>
  <conditionalFormatting sqref="B20:B21">
    <cfRule type="expression" dxfId="15" priority="5">
      <formula>AND(LM4_1_4&lt;3, KRIT_RES_K7_N=1)</formula>
    </cfRule>
  </conditionalFormatting>
  <conditionalFormatting sqref="B22:B23">
    <cfRule type="expression" dxfId="14" priority="4">
      <formula>AND(SUM_L_SIKKERHETSORG &lt;0.6, SUM_KRITIKALITET_N &gt; 0.6)</formula>
    </cfRule>
  </conditionalFormatting>
  <conditionalFormatting sqref="B24:B25">
    <cfRule type="expression" dxfId="13" priority="3">
      <formula>AND((KMOD_RES_MK17_N+KMOD_RES_MK17_N)/2 &gt; 0.5, SUM_L_DOKUMENTASJON &lt;0.6)</formula>
    </cfRule>
  </conditionalFormatting>
  <conditionalFormatting sqref="B26:B27">
    <cfRule type="expression" dxfId="12" priority="2">
      <formula>AND(KMOD_RES_MK9&gt;0, RES_LIS14&lt;2)</formula>
    </cfRule>
  </conditionalFormatting>
  <conditionalFormatting sqref="B28:B29">
    <cfRule type="expression" dxfId="11" priority="1">
      <formula>AND(RES_LIS13=0, KRIT_RES_K6&gt;0)</formula>
    </cfRule>
  </conditionalFormatting>
  <conditionalFormatting sqref="D3:E12">
    <cfRule type="beginsWith" dxfId="10" priority="7" operator="beginsWith" text="Høy">
      <formula>LEFT(D3,LEN("Høy"))="Høy"</formula>
    </cfRule>
    <cfRule type="beginsWith" dxfId="9" priority="8" operator="beginsWith" text="Medium">
      <formula>LEFT(D3,LEN("Medium"))="Medium"</formula>
    </cfRule>
    <cfRule type="beginsWith" dxfId="8" priority="9" operator="beginsWith" text="Lav">
      <formula>LEFT(D3,LEN("Lav"))="Lav"</formula>
    </cfRule>
  </conditionalFormatting>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2F6C5-A7A0-4964-AFC3-B642CADAD0B1}">
  <sheetPr codeName="Sheet9">
    <tabColor theme="4" tint="-0.249977111117893"/>
  </sheetPr>
  <dimension ref="A1:C34"/>
  <sheetViews>
    <sheetView showGridLines="0" zoomScale="130" zoomScaleNormal="130" workbookViewId="0">
      <selection activeCell="B12" sqref="B12"/>
    </sheetView>
  </sheetViews>
  <sheetFormatPr baseColWidth="10" defaultColWidth="8.7109375" defaultRowHeight="12.75"/>
  <cols>
    <col min="1" max="1" width="11.42578125" customWidth="1"/>
    <col min="2" max="2" width="92.5703125" customWidth="1"/>
  </cols>
  <sheetData>
    <row r="1" spans="1:3" ht="18" thickBot="1">
      <c r="A1" s="87" t="s">
        <v>1085</v>
      </c>
    </row>
    <row r="2" spans="1:3" ht="13.5" thickTop="1"/>
    <row r="3" spans="1:3">
      <c r="A3" t="s">
        <v>1086</v>
      </c>
    </row>
    <row r="5" spans="1:3">
      <c r="A5" s="1" t="s">
        <v>1087</v>
      </c>
      <c r="B5" s="1" t="s">
        <v>1088</v>
      </c>
      <c r="C5" s="1"/>
    </row>
    <row r="6" spans="1:3" ht="25.5">
      <c r="A6" t="s">
        <v>412</v>
      </c>
      <c r="B6" s="89" t="s">
        <v>1089</v>
      </c>
    </row>
    <row r="7" spans="1:3" ht="25.5">
      <c r="A7" t="s">
        <v>433</v>
      </c>
      <c r="B7" s="89" t="s">
        <v>1090</v>
      </c>
    </row>
    <row r="8" spans="1:3" ht="25.5">
      <c r="A8" t="s">
        <v>436</v>
      </c>
      <c r="B8" s="89" t="s">
        <v>1091</v>
      </c>
    </row>
    <row r="9" spans="1:3">
      <c r="A9" t="s">
        <v>474</v>
      </c>
      <c r="B9" s="89" t="s">
        <v>1092</v>
      </c>
    </row>
    <row r="10" spans="1:3" ht="25.5">
      <c r="A10" t="s">
        <v>498</v>
      </c>
      <c r="B10" s="89" t="s">
        <v>1093</v>
      </c>
    </row>
    <row r="11" spans="1:3">
      <c r="A11" t="s">
        <v>650</v>
      </c>
      <c r="B11" s="89" t="s">
        <v>1094</v>
      </c>
    </row>
    <row r="12" spans="1:3">
      <c r="A12" t="s">
        <v>914</v>
      </c>
      <c r="B12" s="89" t="s">
        <v>1095</v>
      </c>
    </row>
    <row r="13" spans="1:3" ht="25.5">
      <c r="A13" t="s">
        <v>970</v>
      </c>
      <c r="B13" s="89" t="s">
        <v>1096</v>
      </c>
    </row>
    <row r="14" spans="1:3">
      <c r="B14" s="55"/>
    </row>
    <row r="15" spans="1:3">
      <c r="B15" s="55"/>
    </row>
    <row r="16" spans="1:3">
      <c r="B16" s="55"/>
    </row>
    <row r="17" spans="2:2">
      <c r="B17" s="55"/>
    </row>
    <row r="18" spans="2:2">
      <c r="B18" s="55"/>
    </row>
    <row r="19" spans="2:2">
      <c r="B19" s="55"/>
    </row>
    <row r="20" spans="2:2">
      <c r="B20" s="55"/>
    </row>
    <row r="21" spans="2:2">
      <c r="B21" s="55"/>
    </row>
    <row r="22" spans="2:2">
      <c r="B22" s="55"/>
    </row>
    <row r="23" spans="2:2">
      <c r="B23" s="55"/>
    </row>
    <row r="24" spans="2:2">
      <c r="B24" s="55"/>
    </row>
    <row r="25" spans="2:2">
      <c r="B25" s="55"/>
    </row>
    <row r="26" spans="2:2">
      <c r="B26" s="55"/>
    </row>
    <row r="27" spans="2:2">
      <c r="B27" s="55"/>
    </row>
    <row r="28" spans="2:2">
      <c r="B28" s="55"/>
    </row>
    <row r="29" spans="2:2">
      <c r="B29" s="55"/>
    </row>
    <row r="30" spans="2:2">
      <c r="B30" s="55"/>
    </row>
    <row r="31" spans="2:2">
      <c r="B31" s="55"/>
    </row>
    <row r="32" spans="2:2">
      <c r="B32" s="55"/>
    </row>
    <row r="33" spans="2:2">
      <c r="B33" s="55"/>
    </row>
    <row r="34" spans="2:2">
      <c r="B34" s="55"/>
    </row>
  </sheetData>
  <conditionalFormatting sqref="B6">
    <cfRule type="expression" dxfId="7" priority="8">
      <formula>LM2_1_1_N=1</formula>
    </cfRule>
  </conditionalFormatting>
  <conditionalFormatting sqref="B7">
    <cfRule type="expression" dxfId="6" priority="7">
      <formula>LM4_1_1_N=1</formula>
    </cfRule>
  </conditionalFormatting>
  <conditionalFormatting sqref="B8">
    <cfRule type="expression" dxfId="5" priority="6">
      <formula>LM4_1_2_N=1</formula>
    </cfRule>
  </conditionalFormatting>
  <conditionalFormatting sqref="B9">
    <cfRule type="expression" dxfId="4" priority="5">
      <formula>LL5_1_2_N=1</formula>
    </cfRule>
  </conditionalFormatting>
  <conditionalFormatting sqref="B10">
    <cfRule type="expression" dxfId="3" priority="4">
      <formula>LL5_1_5_N=1</formula>
    </cfRule>
  </conditionalFormatting>
  <conditionalFormatting sqref="B11">
    <cfRule type="expression" dxfId="2" priority="3">
      <formula>LL8_1_8_N=1</formula>
    </cfRule>
  </conditionalFormatting>
  <conditionalFormatting sqref="B12">
    <cfRule type="expression" dxfId="1" priority="2">
      <formula>LL13_11_4_N=0</formula>
    </cfRule>
  </conditionalFormatting>
  <conditionalFormatting sqref="B13">
    <cfRule type="expression" dxfId="0" priority="1">
      <formula>LL16_1_3_N=1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598F85011B33647B03FF6A36FE9CADB" ma:contentTypeVersion="17" ma:contentTypeDescription="Opprett et nytt dokument." ma:contentTypeScope="" ma:versionID="81fd699aaefaa5fc81329c0a7028c58a">
  <xsd:schema xmlns:xsd="http://www.w3.org/2001/XMLSchema" xmlns:xs="http://www.w3.org/2001/XMLSchema" xmlns:p="http://schemas.microsoft.com/office/2006/metadata/properties" xmlns:ns2="e6a7e9c3-a113-4faa-ae3d-c1713c62edcc" xmlns:ns3="35d1458f-2192-42d8-b087-e9694b915ce2" targetNamespace="http://schemas.microsoft.com/office/2006/metadata/properties" ma:root="true" ma:fieldsID="9113a372daabc8d198edf21daa47e799" ns2:_="" ns3:_="">
    <xsd:import namespace="e6a7e9c3-a113-4faa-ae3d-c1713c62edcc"/>
    <xsd:import namespace="35d1458f-2192-42d8-b087-e9694b915c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7e9c3-a113-4faa-ae3d-c1713c62e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1458f-2192-42d8-b087-e9694b915ce2"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da494c5c-58f1-4cfa-9f6e-57a07c07940c}" ma:internalName="TaxCatchAll" ma:showField="CatchAllData" ma:web="35d1458f-2192-42d8-b087-e9694b915c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a7e9c3-a113-4faa-ae3d-c1713c62edcc">
      <Terms xmlns="http://schemas.microsoft.com/office/infopath/2007/PartnerControls"/>
    </lcf76f155ced4ddcb4097134ff3c332f>
    <TaxCatchAll xmlns="35d1458f-2192-42d8-b087-e9694b915ce2" xsi:nil="true"/>
  </documentManagement>
</p:properties>
</file>

<file path=customXml/itemProps1.xml><?xml version="1.0" encoding="utf-8"?>
<ds:datastoreItem xmlns:ds="http://schemas.openxmlformats.org/officeDocument/2006/customXml" ds:itemID="{C8A5DB56-88A1-43CA-9CF8-23E3A5E3A0DB}">
  <ds:schemaRefs>
    <ds:schemaRef ds:uri="http://schemas.microsoft.com/sharepoint/v3/contenttype/forms"/>
  </ds:schemaRefs>
</ds:datastoreItem>
</file>

<file path=customXml/itemProps2.xml><?xml version="1.0" encoding="utf-8"?>
<ds:datastoreItem xmlns:ds="http://schemas.openxmlformats.org/officeDocument/2006/customXml" ds:itemID="{59992229-04B2-4BFE-BFBF-7BAA3011A62A}"/>
</file>

<file path=customXml/itemProps3.xml><?xml version="1.0" encoding="utf-8"?>
<ds:datastoreItem xmlns:ds="http://schemas.openxmlformats.org/officeDocument/2006/customXml" ds:itemID="{E1CAF28D-B75F-4170-9D92-506A402265AA}">
  <ds:schemaRefs>
    <ds:schemaRef ds:uri="http://purl.org/dc/terms/"/>
    <ds:schemaRef ds:uri="http://schemas.microsoft.com/office/2006/metadata/properties"/>
    <ds:schemaRef ds:uri="http://purl.org/dc/elements/1.1/"/>
    <ds:schemaRef ds:uri="216e2f5a-4524-4123-b393-6e4535501f1d"/>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13022eb5-7c27-4748-b29b-ee6e1418cf1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Navngitte områder</vt:lpstr>
      </vt:variant>
      <vt:variant>
        <vt:i4>423</vt:i4>
      </vt:variant>
    </vt:vector>
  </HeadingPairs>
  <TitlesOfParts>
    <vt:vector size="433" baseType="lpstr">
      <vt:lpstr>Veiledning</vt:lpstr>
      <vt:lpstr>Rådata tjenestekritikalitet</vt:lpstr>
      <vt:lpstr>Rådata kommunal modenhet</vt:lpstr>
      <vt:lpstr>Analyse kommune</vt:lpstr>
      <vt:lpstr>Rådata innledende spørsmål tjen</vt:lpstr>
      <vt:lpstr>Rådata leverandør modenhet</vt:lpstr>
      <vt:lpstr>Rådata leverandør leveransesikk</vt:lpstr>
      <vt:lpstr>Analyse leverandør</vt:lpstr>
      <vt:lpstr>Sammenligning kommune og levera</vt:lpstr>
      <vt:lpstr>Oppfølging</vt:lpstr>
      <vt:lpstr>ANALYSE_AV</vt:lpstr>
      <vt:lpstr>KMOD_RES_MK1</vt:lpstr>
      <vt:lpstr>KMOD_RES_MK1_N</vt:lpstr>
      <vt:lpstr>KMOD_RES_MK10</vt:lpstr>
      <vt:lpstr>KMOD_RES_MK10_N</vt:lpstr>
      <vt:lpstr>KMOD_RES_MK11</vt:lpstr>
      <vt:lpstr>KMOD_RES_MK11_N</vt:lpstr>
      <vt:lpstr>KMOD_RES_MK12</vt:lpstr>
      <vt:lpstr>KMOD_RES_MK12_N</vt:lpstr>
      <vt:lpstr>KMOD_RES_MK13</vt:lpstr>
      <vt:lpstr>KMOD_RES_MK13_N</vt:lpstr>
      <vt:lpstr>KMOD_RES_MK14</vt:lpstr>
      <vt:lpstr>KMOD_RES_MK14_N</vt:lpstr>
      <vt:lpstr>KMOD_RES_MK15</vt:lpstr>
      <vt:lpstr>KMOD_RES_MK15_N</vt:lpstr>
      <vt:lpstr>KMOD_RES_MK16</vt:lpstr>
      <vt:lpstr>KMOD_RES_MK16_N</vt:lpstr>
      <vt:lpstr>KMOD_RES_MK17</vt:lpstr>
      <vt:lpstr>KMOD_RES_MK17_N</vt:lpstr>
      <vt:lpstr>KMOD_RES_MK18</vt:lpstr>
      <vt:lpstr>KMOD_RES_MK18_N</vt:lpstr>
      <vt:lpstr>KMOD_RES_MK19</vt:lpstr>
      <vt:lpstr>KMOD_RES_MK19_N</vt:lpstr>
      <vt:lpstr>KMOD_RES_MK2</vt:lpstr>
      <vt:lpstr>KMOD_RES_MK2_N</vt:lpstr>
      <vt:lpstr>KMOD_RES_MK20</vt:lpstr>
      <vt:lpstr>KMOD_RES_MK20_N</vt:lpstr>
      <vt:lpstr>KMOD_RES_MK21</vt:lpstr>
      <vt:lpstr>KMOD_RES_MK21_N</vt:lpstr>
      <vt:lpstr>KMOD_RES_MK22</vt:lpstr>
      <vt:lpstr>KMOD_RES_MK22_N</vt:lpstr>
      <vt:lpstr>KMOD_RES_MK23</vt:lpstr>
      <vt:lpstr>KMOD_RES_MK23_N</vt:lpstr>
      <vt:lpstr>KMOD_RES_MK3</vt:lpstr>
      <vt:lpstr>KMOD_RES_MK3_N</vt:lpstr>
      <vt:lpstr>KMOD_RES_MK4</vt:lpstr>
      <vt:lpstr>KMOD_RES_MK4_N</vt:lpstr>
      <vt:lpstr>KMOD_RES_MK5</vt:lpstr>
      <vt:lpstr>KMOD_RES_MK5_N</vt:lpstr>
      <vt:lpstr>KMOD_RES_MK6</vt:lpstr>
      <vt:lpstr>KMOD_RES_MK6_N</vt:lpstr>
      <vt:lpstr>KMOD_RES_MK7</vt:lpstr>
      <vt:lpstr>KMOD_RES_MK7_N</vt:lpstr>
      <vt:lpstr>KMOD_RES_MK8</vt:lpstr>
      <vt:lpstr>KMOD_RES_MK8_N</vt:lpstr>
      <vt:lpstr>KMOD_RES_MK9</vt:lpstr>
      <vt:lpstr>KMOD_RES_MK9_N</vt:lpstr>
      <vt:lpstr>KRIT_RES_K1</vt:lpstr>
      <vt:lpstr>KRIT_RES_K1_N</vt:lpstr>
      <vt:lpstr>KRIT_RES_K1_NORM</vt:lpstr>
      <vt:lpstr>KRIT_RES_K10</vt:lpstr>
      <vt:lpstr>KRIT_RES_K10_N</vt:lpstr>
      <vt:lpstr>KRIT_RES_K11</vt:lpstr>
      <vt:lpstr>KRIT_RES_K11_N</vt:lpstr>
      <vt:lpstr>KRIT_RES_K12</vt:lpstr>
      <vt:lpstr>KRIT_RES_K12_N</vt:lpstr>
      <vt:lpstr>KRIT_RES_K2</vt:lpstr>
      <vt:lpstr>KRIT_RES_K2_N</vt:lpstr>
      <vt:lpstr>KRIT_RES_K2_NORM</vt:lpstr>
      <vt:lpstr>KRIT_RES_K3</vt:lpstr>
      <vt:lpstr>KRIT_RES_K3_N</vt:lpstr>
      <vt:lpstr>KRIT_RES_K4</vt:lpstr>
      <vt:lpstr>KRIT_RES_K4_N</vt:lpstr>
      <vt:lpstr>KRIT_RES_K5</vt:lpstr>
      <vt:lpstr>KRIT_RES_K5_N</vt:lpstr>
      <vt:lpstr>KRIT_RES_K6</vt:lpstr>
      <vt:lpstr>KRIT_RES_K6_N</vt:lpstr>
      <vt:lpstr>KRIT_RES_K7</vt:lpstr>
      <vt:lpstr>KRIT_RES_K7_N</vt:lpstr>
      <vt:lpstr>KRIT_RES_K8</vt:lpstr>
      <vt:lpstr>KRIT_RES_K8_N</vt:lpstr>
      <vt:lpstr>KRIT_RES_K9</vt:lpstr>
      <vt:lpstr>KRIT_RES_K9_N</vt:lpstr>
      <vt:lpstr>LEVERANDØR_MAVN</vt:lpstr>
      <vt:lpstr>LIS01_VALG</vt:lpstr>
      <vt:lpstr>LIS02_VALG</vt:lpstr>
      <vt:lpstr>LIS03_VALG</vt:lpstr>
      <vt:lpstr>LIS04_VALG</vt:lpstr>
      <vt:lpstr>LIS05_VALG</vt:lpstr>
      <vt:lpstr>LIS06_VALG</vt:lpstr>
      <vt:lpstr>LIS07_VALG</vt:lpstr>
      <vt:lpstr>LIS08_VALG</vt:lpstr>
      <vt:lpstr>LIS09_VALG</vt:lpstr>
      <vt:lpstr>LIS10_VALG</vt:lpstr>
      <vt:lpstr>LIS11_VALG</vt:lpstr>
      <vt:lpstr>LIS12_VALG</vt:lpstr>
      <vt:lpstr>LIS13_VALG</vt:lpstr>
      <vt:lpstr>LIS14_VALG</vt:lpstr>
      <vt:lpstr>LIS15_VALG</vt:lpstr>
      <vt:lpstr>LL_15_1_1_STATUS</vt:lpstr>
      <vt:lpstr>LL_KOMP</vt:lpstr>
      <vt:lpstr>LL_PROS</vt:lpstr>
      <vt:lpstr>LL_UTV</vt:lpstr>
      <vt:lpstr>LL_VED</vt:lpstr>
      <vt:lpstr>LL10_1_1</vt:lpstr>
      <vt:lpstr>LL10_1_1_N</vt:lpstr>
      <vt:lpstr>LL10_2_1</vt:lpstr>
      <vt:lpstr>LL10_2_1_N</vt:lpstr>
      <vt:lpstr>LL10_2_2</vt:lpstr>
      <vt:lpstr>LL10_2_2_N</vt:lpstr>
      <vt:lpstr>LL10_2_3</vt:lpstr>
      <vt:lpstr>LL10_2_3_N</vt:lpstr>
      <vt:lpstr>LL10_2_4</vt:lpstr>
      <vt:lpstr>LL10_2_4_N</vt:lpstr>
      <vt:lpstr>LL10_2_5</vt:lpstr>
      <vt:lpstr>LL10_2_5_N</vt:lpstr>
      <vt:lpstr>LL10_3_1</vt:lpstr>
      <vt:lpstr>LL10_3_1_N</vt:lpstr>
      <vt:lpstr>LL10_3_2</vt:lpstr>
      <vt:lpstr>LL10_3_2_N</vt:lpstr>
      <vt:lpstr>LL10_3_3</vt:lpstr>
      <vt:lpstr>LL10_3_3_N</vt:lpstr>
      <vt:lpstr>LL10_3_4</vt:lpstr>
      <vt:lpstr>LL10_3_4_N</vt:lpstr>
      <vt:lpstr>LL10_3_5</vt:lpstr>
      <vt:lpstr>LL10_3_5_N</vt:lpstr>
      <vt:lpstr>LL11_1_1</vt:lpstr>
      <vt:lpstr>LL11_1_1_N</vt:lpstr>
      <vt:lpstr>LL11_2_1</vt:lpstr>
      <vt:lpstr>LL11_2_1_N</vt:lpstr>
      <vt:lpstr>LL11_2_2</vt:lpstr>
      <vt:lpstr>LL11_2_2_N</vt:lpstr>
      <vt:lpstr>LL11_2_3</vt:lpstr>
      <vt:lpstr>LL11_2_3_N</vt:lpstr>
      <vt:lpstr>LL12_1_1</vt:lpstr>
      <vt:lpstr>LL12_1_1_N</vt:lpstr>
      <vt:lpstr>LL12_1_2</vt:lpstr>
      <vt:lpstr>LL12_1_2_N</vt:lpstr>
      <vt:lpstr>LL12_1_3</vt:lpstr>
      <vt:lpstr>LL12_1_3_N</vt:lpstr>
      <vt:lpstr>LL12_1_4</vt:lpstr>
      <vt:lpstr>LL12_1_4_N</vt:lpstr>
      <vt:lpstr>LL12_1_5</vt:lpstr>
      <vt:lpstr>LL12_1_5_N</vt:lpstr>
      <vt:lpstr>LL13_1_1</vt:lpstr>
      <vt:lpstr>LL13_1_1_N</vt:lpstr>
      <vt:lpstr>LL13_10_1</vt:lpstr>
      <vt:lpstr>LL13_10_1_N</vt:lpstr>
      <vt:lpstr>LL13_10_2</vt:lpstr>
      <vt:lpstr>LL13_10_2_N</vt:lpstr>
      <vt:lpstr>LL13_10_3</vt:lpstr>
      <vt:lpstr>LL13_10_3_N</vt:lpstr>
      <vt:lpstr>LL13_10_4</vt:lpstr>
      <vt:lpstr>LL13_10_4_N</vt:lpstr>
      <vt:lpstr>LL13_11_1</vt:lpstr>
      <vt:lpstr>LL13_11_1_N</vt:lpstr>
      <vt:lpstr>LL13_11_2</vt:lpstr>
      <vt:lpstr>LL13_11_2_N</vt:lpstr>
      <vt:lpstr>LL13_11_3</vt:lpstr>
      <vt:lpstr>LL13_11_3_N</vt:lpstr>
      <vt:lpstr>LL13_11_4</vt:lpstr>
      <vt:lpstr>LL13_11_4_N</vt:lpstr>
      <vt:lpstr>LL13_11_5</vt:lpstr>
      <vt:lpstr>LL13_11_5_N</vt:lpstr>
      <vt:lpstr>LL13_2_1_N</vt:lpstr>
      <vt:lpstr>LL13_2_2</vt:lpstr>
      <vt:lpstr>LL13_3_1</vt:lpstr>
      <vt:lpstr>LL13_3_1_N</vt:lpstr>
      <vt:lpstr>LL13_3_2</vt:lpstr>
      <vt:lpstr>LL13_3_2_N</vt:lpstr>
      <vt:lpstr>LL13_4_1</vt:lpstr>
      <vt:lpstr>LL13_4_1_N</vt:lpstr>
      <vt:lpstr>LL13_4_2</vt:lpstr>
      <vt:lpstr>LL13_4_2_N</vt:lpstr>
      <vt:lpstr>LL13_4_3</vt:lpstr>
      <vt:lpstr>LL13_4_3_N</vt:lpstr>
      <vt:lpstr>LL13_5_1</vt:lpstr>
      <vt:lpstr>LL13_5_1_N</vt:lpstr>
      <vt:lpstr>LL13_5_2</vt:lpstr>
      <vt:lpstr>LL13_5_2_N</vt:lpstr>
      <vt:lpstr>LL13_6_1</vt:lpstr>
      <vt:lpstr>LL13_6_1_N</vt:lpstr>
      <vt:lpstr>LL13_6_2</vt:lpstr>
      <vt:lpstr>LL13_6_2_N</vt:lpstr>
      <vt:lpstr>LL13_7_1</vt:lpstr>
      <vt:lpstr>LL13_7_1_N</vt:lpstr>
      <vt:lpstr>LL13_7_2</vt:lpstr>
      <vt:lpstr>LL13_7_2_N</vt:lpstr>
      <vt:lpstr>LL13_7_3</vt:lpstr>
      <vt:lpstr>LL13_7_3_N</vt:lpstr>
      <vt:lpstr>LL13_7_4</vt:lpstr>
      <vt:lpstr>LL13_7_4_N</vt:lpstr>
      <vt:lpstr>LL13_7_5</vt:lpstr>
      <vt:lpstr>LL13_7_5_N</vt:lpstr>
      <vt:lpstr>LL13_7_6</vt:lpstr>
      <vt:lpstr>LL13_7_6_N</vt:lpstr>
      <vt:lpstr>LL13_8_1</vt:lpstr>
      <vt:lpstr>LL13_8_1_N</vt:lpstr>
      <vt:lpstr>LL13_8_2</vt:lpstr>
      <vt:lpstr>LL13_8_2_N</vt:lpstr>
      <vt:lpstr>LL13_8_3</vt:lpstr>
      <vt:lpstr>LL13_8_3_N</vt:lpstr>
      <vt:lpstr>LL13_8_4</vt:lpstr>
      <vt:lpstr>LL13_8_4_N</vt:lpstr>
      <vt:lpstr>LL13_8_5</vt:lpstr>
      <vt:lpstr>LL13_8_5_N</vt:lpstr>
      <vt:lpstr>LL13_8_6</vt:lpstr>
      <vt:lpstr>LL13_8_6_N</vt:lpstr>
      <vt:lpstr>LL13_8_7</vt:lpstr>
      <vt:lpstr>LL13_8_7_N</vt:lpstr>
      <vt:lpstr>LL13_9_1</vt:lpstr>
      <vt:lpstr>LL13_9_1_N</vt:lpstr>
      <vt:lpstr>LL13_9_2</vt:lpstr>
      <vt:lpstr>LL13_9_2_N</vt:lpstr>
      <vt:lpstr>LL13_9_3</vt:lpstr>
      <vt:lpstr>LL13_9_3_N</vt:lpstr>
      <vt:lpstr>LL14_1_1</vt:lpstr>
      <vt:lpstr>LL14_1_1_N</vt:lpstr>
      <vt:lpstr>LL14_1_2</vt:lpstr>
      <vt:lpstr>LL14_1_2_N</vt:lpstr>
      <vt:lpstr>LL14_1_3</vt:lpstr>
      <vt:lpstr>LL14_1_3_N</vt:lpstr>
      <vt:lpstr>LL14_1_4</vt:lpstr>
      <vt:lpstr>LL14_1_4_N</vt:lpstr>
      <vt:lpstr>LL14_1_5</vt:lpstr>
      <vt:lpstr>LL14_1_5_N</vt:lpstr>
      <vt:lpstr>LL15_1_1</vt:lpstr>
      <vt:lpstr>LL15_1_1_N</vt:lpstr>
      <vt:lpstr>LL15_1_1_STATUS</vt:lpstr>
      <vt:lpstr>LL16_1_1</vt:lpstr>
      <vt:lpstr>LL16_1_1_N</vt:lpstr>
      <vt:lpstr>LL16_1_2</vt:lpstr>
      <vt:lpstr>LL16_1_2_N</vt:lpstr>
      <vt:lpstr>LL16_1_3</vt:lpstr>
      <vt:lpstr>LL16_1_3_N</vt:lpstr>
      <vt:lpstr>LL5_1_1</vt:lpstr>
      <vt:lpstr>LL5_1_1_N</vt:lpstr>
      <vt:lpstr>LL5_1_2</vt:lpstr>
      <vt:lpstr>LL5_1_2_N</vt:lpstr>
      <vt:lpstr>LL5_1_3</vt:lpstr>
      <vt:lpstr>LL5_1_3_N</vt:lpstr>
      <vt:lpstr>LL5_1_4</vt:lpstr>
      <vt:lpstr>LL5_1_4_N</vt:lpstr>
      <vt:lpstr>LL5_1_5</vt:lpstr>
      <vt:lpstr>LL5_1_5_N</vt:lpstr>
      <vt:lpstr>LL5_1_6</vt:lpstr>
      <vt:lpstr>LL5_1_6_N</vt:lpstr>
      <vt:lpstr>LL5_1_7</vt:lpstr>
      <vt:lpstr>LL5_1_7_N</vt:lpstr>
      <vt:lpstr>LL5_1_8</vt:lpstr>
      <vt:lpstr>LL5_1_8_N</vt:lpstr>
      <vt:lpstr>LL6_1_1</vt:lpstr>
      <vt:lpstr>LL6_1_1_N</vt:lpstr>
      <vt:lpstr>LL6_1_2</vt:lpstr>
      <vt:lpstr>LL6_1_2_N</vt:lpstr>
      <vt:lpstr>LL6_1_3</vt:lpstr>
      <vt:lpstr>LL6_1_3_N</vt:lpstr>
      <vt:lpstr>LL6_1_4</vt:lpstr>
      <vt:lpstr>LL6_1_4_N</vt:lpstr>
      <vt:lpstr>LL6_1_5</vt:lpstr>
      <vt:lpstr>LL6_1_5_N</vt:lpstr>
      <vt:lpstr>LL6_1_6</vt:lpstr>
      <vt:lpstr>LL6_1_6_N</vt:lpstr>
      <vt:lpstr>LL6_2_1</vt:lpstr>
      <vt:lpstr>LL6_2_1_N</vt:lpstr>
      <vt:lpstr>LL6_2_2</vt:lpstr>
      <vt:lpstr>LL6_2_2_N</vt:lpstr>
      <vt:lpstr>LL6_2_3</vt:lpstr>
      <vt:lpstr>LL6_2_3_N</vt:lpstr>
      <vt:lpstr>LL6_2_4</vt:lpstr>
      <vt:lpstr>LL6_2_4_N</vt:lpstr>
      <vt:lpstr>LL6_2_5</vt:lpstr>
      <vt:lpstr>LL6_2_5_N</vt:lpstr>
      <vt:lpstr>LL6_2_6</vt:lpstr>
      <vt:lpstr>LL6_2_6_N</vt:lpstr>
      <vt:lpstr>LL6_2_6_STATUS</vt:lpstr>
      <vt:lpstr>LL7_1_1</vt:lpstr>
      <vt:lpstr>LL7_1_1_N</vt:lpstr>
      <vt:lpstr>LL7_1_2</vt:lpstr>
      <vt:lpstr>LL7_1_2_N</vt:lpstr>
      <vt:lpstr>LL7_1_3</vt:lpstr>
      <vt:lpstr>LL7_1_3_N</vt:lpstr>
      <vt:lpstr>LL7_1_4</vt:lpstr>
      <vt:lpstr>LL7_1_4_N</vt:lpstr>
      <vt:lpstr>LL7_1_5</vt:lpstr>
      <vt:lpstr>LL7_1_6</vt:lpstr>
      <vt:lpstr>LL7_1_6_N</vt:lpstr>
      <vt:lpstr>LL7_1_7</vt:lpstr>
      <vt:lpstr>LL7_1_7_N</vt:lpstr>
      <vt:lpstr>LL7_1_8</vt:lpstr>
      <vt:lpstr>LL7_1_8_N</vt:lpstr>
      <vt:lpstr>LL8_1_1</vt:lpstr>
      <vt:lpstr>LL8_1_1_N</vt:lpstr>
      <vt:lpstr>LL8_1_2</vt:lpstr>
      <vt:lpstr>LL8_1_2_N</vt:lpstr>
      <vt:lpstr>LL8_1_3</vt:lpstr>
      <vt:lpstr>LL8_1_3_N</vt:lpstr>
      <vt:lpstr>LL8_1_4</vt:lpstr>
      <vt:lpstr>LL8_1_4_N</vt:lpstr>
      <vt:lpstr>LL8_1_5</vt:lpstr>
      <vt:lpstr>LL8_1_5_N</vt:lpstr>
      <vt:lpstr>LL8_1_6</vt:lpstr>
      <vt:lpstr>LL8_1_6_N</vt:lpstr>
      <vt:lpstr>LL8_1_7</vt:lpstr>
      <vt:lpstr>LL8_1_7_N</vt:lpstr>
      <vt:lpstr>LL8_1_8</vt:lpstr>
      <vt:lpstr>LL8_1_8_N</vt:lpstr>
      <vt:lpstr>LL9_1_1</vt:lpstr>
      <vt:lpstr>LL9_1_1_N</vt:lpstr>
      <vt:lpstr>LL9_1_2_N</vt:lpstr>
      <vt:lpstr>LL9_1_3</vt:lpstr>
      <vt:lpstr>LL9_1_3_N</vt:lpstr>
      <vt:lpstr>LL9_2_1</vt:lpstr>
      <vt:lpstr>LL9_2_1_N</vt:lpstr>
      <vt:lpstr>LL9_2_2_N</vt:lpstr>
      <vt:lpstr>LL9_3_1</vt:lpstr>
      <vt:lpstr>LL9_3_1_N</vt:lpstr>
      <vt:lpstr>LL9_3_2</vt:lpstr>
      <vt:lpstr>LL9_3_2_N</vt:lpstr>
      <vt:lpstr>LM1_1_1</vt:lpstr>
      <vt:lpstr>LM1_1_1_N</vt:lpstr>
      <vt:lpstr>LM1_1_2</vt:lpstr>
      <vt:lpstr>LM1_1_2_N</vt:lpstr>
      <vt:lpstr>LM1_1_3</vt:lpstr>
      <vt:lpstr>LM1_1_3_N</vt:lpstr>
      <vt:lpstr>LM1_1_4</vt:lpstr>
      <vt:lpstr>LM1_1_4_N</vt:lpstr>
      <vt:lpstr>LM1_1_5</vt:lpstr>
      <vt:lpstr>LM1_1_5_N</vt:lpstr>
      <vt:lpstr>LM1_1_6</vt:lpstr>
      <vt:lpstr>LM1_1_6_N</vt:lpstr>
      <vt:lpstr>LM1_1_7</vt:lpstr>
      <vt:lpstr>LM1_1_7_N</vt:lpstr>
      <vt:lpstr>LM1_1_8</vt:lpstr>
      <vt:lpstr>LM1_1_8_N</vt:lpstr>
      <vt:lpstr>LM1_2_1</vt:lpstr>
      <vt:lpstr>LM1_2_1_N</vt:lpstr>
      <vt:lpstr>LM1_2_2</vt:lpstr>
      <vt:lpstr>LM1_2_2_N</vt:lpstr>
      <vt:lpstr>LM1_2_3</vt:lpstr>
      <vt:lpstr>LM1_2_3_N</vt:lpstr>
      <vt:lpstr>LM1_2_4</vt:lpstr>
      <vt:lpstr>LM1_2_4_N</vt:lpstr>
      <vt:lpstr>LM1_2_5</vt:lpstr>
      <vt:lpstr>LM1_2_5_N</vt:lpstr>
      <vt:lpstr>LM1_2_6</vt:lpstr>
      <vt:lpstr>LM1_2_6_N</vt:lpstr>
      <vt:lpstr>LM1_3_1</vt:lpstr>
      <vt:lpstr>LM1_3_1_N</vt:lpstr>
      <vt:lpstr>LM2_1_1</vt:lpstr>
      <vt:lpstr>LM2_1_1_N</vt:lpstr>
      <vt:lpstr>LM2_1_2</vt:lpstr>
      <vt:lpstr>LM2_1_2_N</vt:lpstr>
      <vt:lpstr>LM2_1_3</vt:lpstr>
      <vt:lpstr>LM2_1_3_N</vt:lpstr>
      <vt:lpstr>LM3_1_1</vt:lpstr>
      <vt:lpstr>LM3_1_1_N</vt:lpstr>
      <vt:lpstr>LM3_1_2</vt:lpstr>
      <vt:lpstr>LM3_1_2_N</vt:lpstr>
      <vt:lpstr>LM4_1_1</vt:lpstr>
      <vt:lpstr>LM4_1_1_N</vt:lpstr>
      <vt:lpstr>LM4_1_2</vt:lpstr>
      <vt:lpstr>LM4_1_2_N</vt:lpstr>
      <vt:lpstr>LM4_1_3</vt:lpstr>
      <vt:lpstr>LM4_1_3_N</vt:lpstr>
      <vt:lpstr>LM4_1_4</vt:lpstr>
      <vt:lpstr>LM4_1_4_N</vt:lpstr>
      <vt:lpstr>LM4_1_5</vt:lpstr>
      <vt:lpstr>LM4_1_5_N</vt:lpstr>
      <vt:lpstr>LM4_1_6</vt:lpstr>
      <vt:lpstr>LM4_1_6_N</vt:lpstr>
      <vt:lpstr>LM4_1_7</vt:lpstr>
      <vt:lpstr>LM4_1_7_N</vt:lpstr>
      <vt:lpstr>LM4_1_8</vt:lpstr>
      <vt:lpstr>LM4_1_8_N</vt:lpstr>
      <vt:lpstr>OVERORDNET_KRIT_N</vt:lpstr>
      <vt:lpstr>RES_LIS0</vt:lpstr>
      <vt:lpstr>RES_LIS00</vt:lpstr>
      <vt:lpstr>RES_LIS01</vt:lpstr>
      <vt:lpstr>RES_LIS01_N</vt:lpstr>
      <vt:lpstr>RES_LIS02</vt:lpstr>
      <vt:lpstr>RES_LIS02_N</vt:lpstr>
      <vt:lpstr>RES_LIS03</vt:lpstr>
      <vt:lpstr>RES_LIS03_N</vt:lpstr>
      <vt:lpstr>RES_LIS04</vt:lpstr>
      <vt:lpstr>RES_LIS04_N</vt:lpstr>
      <vt:lpstr>RES_LIS05</vt:lpstr>
      <vt:lpstr>RES_LIS05_N</vt:lpstr>
      <vt:lpstr>RES_LIS06</vt:lpstr>
      <vt:lpstr>RES_LIS06_N</vt:lpstr>
      <vt:lpstr>RES_LIS07</vt:lpstr>
      <vt:lpstr>RES_LIS07_N</vt:lpstr>
      <vt:lpstr>RES_LIS08</vt:lpstr>
      <vt:lpstr>RES_LIS08_N</vt:lpstr>
      <vt:lpstr>RES_LIS08N</vt:lpstr>
      <vt:lpstr>RES_LIS09</vt:lpstr>
      <vt:lpstr>RES_LIS09_N</vt:lpstr>
      <vt:lpstr>RES_LIS10</vt:lpstr>
      <vt:lpstr>RES_LIS10_N</vt:lpstr>
      <vt:lpstr>RES_LIS11</vt:lpstr>
      <vt:lpstr>RES_LIS11_N</vt:lpstr>
      <vt:lpstr>RES_LIS12</vt:lpstr>
      <vt:lpstr>RES_LIS12_N</vt:lpstr>
      <vt:lpstr>RES_LIS13</vt:lpstr>
      <vt:lpstr>RES_LIS13_N</vt:lpstr>
      <vt:lpstr>RES_LIS14</vt:lpstr>
      <vt:lpstr>RES_LIS14_N</vt:lpstr>
      <vt:lpstr>RES_LIS15</vt:lpstr>
      <vt:lpstr>RES_LIS15_N</vt:lpstr>
      <vt:lpstr>SKJEMA_KRIT</vt:lpstr>
      <vt:lpstr>SKJEMA_LEV</vt:lpstr>
      <vt:lpstr>SUM_AVHENGIGHETER</vt:lpstr>
      <vt:lpstr>SUM_AVHENGIGHETER_N</vt:lpstr>
      <vt:lpstr>SUM_KONFIDENSIALITET_N</vt:lpstr>
      <vt:lpstr>SUM_KRITIKALITET</vt:lpstr>
      <vt:lpstr>SUM_KRITIKALITET_N</vt:lpstr>
      <vt:lpstr>SUM_L_AUTENTISERING</vt:lpstr>
      <vt:lpstr>SUM_L_BEREDSKAP_KONTINUITET</vt:lpstr>
      <vt:lpstr>SUM_L_DATALAGRING</vt:lpstr>
      <vt:lpstr>SUM_L_DOKUMENTASJON</vt:lpstr>
      <vt:lpstr>SUM_L_HENDELSER</vt:lpstr>
      <vt:lpstr>SUM_L_INTEGRASJON</vt:lpstr>
      <vt:lpstr>SUM_L_KRYPT_KONTROLL</vt:lpstr>
      <vt:lpstr>SUM_L_KRYPT_TILTAK</vt:lpstr>
      <vt:lpstr>SUM_L_LOGGING</vt:lpstr>
      <vt:lpstr>SUM_L_OVERVÅK</vt:lpstr>
      <vt:lpstr>SUM_L_SIKKERHET</vt:lpstr>
      <vt:lpstr>SUM_L_SIKKERHETSKOPI</vt:lpstr>
      <vt:lpstr>SUM_L_SIKKERHETSORG</vt:lpstr>
      <vt:lpstr>SUM_L_SUPPORT</vt:lpstr>
      <vt:lpstr>SUM_L_TILGANGSKONTROLL</vt:lpstr>
      <vt:lpstr>SUM_SEPARASJON_N</vt:lpstr>
      <vt:lpstr>SYSTEMANSVARLIG_INVOLVERING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Suhail Mushtaq</cp:lastModifiedBy>
  <cp:revision>16</cp:revision>
  <dcterms:created xsi:type="dcterms:W3CDTF">2023-12-04T23:55:48Z</dcterms:created>
  <dcterms:modified xsi:type="dcterms:W3CDTF">2024-05-16T09:14:31Z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gId">
    <vt:lpwstr>Excel.Sheet</vt:lpwstr>
  </property>
  <property fmtid="{D5CDD505-2E9C-101B-9397-08002B2CF9AE}" pid="3" name="ContentTypeId">
    <vt:lpwstr>0x0101005598F85011B33647B03FF6A36FE9CADB</vt:lpwstr>
  </property>
  <property fmtid="{D5CDD505-2E9C-101B-9397-08002B2CF9AE}" pid="4" name="MediaServiceImageTags">
    <vt:lpwstr/>
  </property>
  <property fmtid="{D5CDD505-2E9C-101B-9397-08002B2CF9AE}" pid="5" name="CloudStatistics_StoryID">
    <vt:lpwstr>5e988952-2f4c-41ab-9a93-33c474a3010d</vt:lpwstr>
  </property>
</Properties>
</file>